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Ktg.-vetés\2019\I-III. név\"/>
    </mc:Choice>
  </mc:AlternateContent>
  <xr:revisionPtr revIDLastSave="0" documentId="13_ncr:1_{AFDAEB21-7833-4527-A5F7-58F9EC2CDB9D}" xr6:coauthVersionLast="45" xr6:coauthVersionMax="45" xr10:uidLastSave="{00000000-0000-0000-0000-000000000000}"/>
  <bookViews>
    <workbookView xWindow="-60" yWindow="-60" windowWidth="28920" windowHeight="15660" tabRatio="894" activeTab="5" xr2:uid="{00000000-000D-0000-FFFF-FFFF00000000}"/>
  </bookViews>
  <sheets>
    <sheet name="Ktvetési mérleg - 1. mell." sheetId="128" r:id="rId1"/>
    <sheet name="Műk-felh.mérleg - 2. mell." sheetId="139" r:id="rId2"/>
    <sheet name="Bevétel össz. - 3. mell." sheetId="92" r:id="rId3"/>
    <sheet name="Kiadás össz. - 4. mell." sheetId="134" r:id="rId4"/>
    <sheet name="Állami - 5. mell." sheetId="91" r:id="rId5"/>
    <sheet name="Ber.-felú. - 6. mell." sheetId="97" r:id="rId6"/>
    <sheet name="Pénze.átadás - 7. mell." sheetId="95" r:id="rId7"/>
    <sheet name="Szoc.jutt. - 8. mell." sheetId="94" r:id="rId8"/>
    <sheet name="Önkormányzat - 9. mell." sheetId="123" r:id="rId9"/>
    <sheet name="Óvoda - 10. mell." sheetId="132" r:id="rId10"/>
    <sheet name="11 Élelm." sheetId="100" r:id="rId11"/>
    <sheet name="12 Létszám" sheetId="141" r:id="rId12"/>
    <sheet name="13 EI-felh. terv" sheetId="144" r:id="rId13"/>
    <sheet name="14 Címrend" sheetId="140" r:id="rId14"/>
    <sheet name="15 gördülő" sheetId="142" r:id="rId15"/>
    <sheet name="16 stab.tv saját bevétel" sheetId="145" r:id="rId16"/>
  </sheets>
  <externalReferences>
    <externalReference r:id="rId17"/>
  </externalReferences>
  <definedNames>
    <definedName name="_xlnm._FilterDatabase" localSheetId="5" hidden="1">'Ber.-felú. - 6. mell.'!$F$1:$F$58</definedName>
    <definedName name="_xlnm._FilterDatabase" localSheetId="2" hidden="1">'Bevétel össz. - 3. mell.'!$A$1:$N$56</definedName>
    <definedName name="_xlnm._FilterDatabase" localSheetId="3">'Kiadás össz. - 4. mell.'!$A$1:$M$28</definedName>
    <definedName name="_xlnm._FilterDatabase" localSheetId="0" hidden="1">'Ktvetési mérleg - 1. mell.'!$J$1:$J$35</definedName>
    <definedName name="_xlnm._FilterDatabase" localSheetId="1" hidden="1">'Műk-felh.mérleg - 2. mell.'!$A$1:$J$31</definedName>
    <definedName name="_xlnm._FilterDatabase" localSheetId="9" hidden="1">'Óvoda - 10. mell.'!$A$1:$F$140</definedName>
    <definedName name="_xlnm._FilterDatabase" localSheetId="8" hidden="1">'Önkormányzat - 9. mell.'!$A$1:$F$136</definedName>
    <definedName name="_xlnm._FilterDatabase" localSheetId="6" hidden="1">'Pénze.átadás - 7. mell.'!$F$1:$F$38</definedName>
    <definedName name="_xlnm._FilterDatabase" localSheetId="7" hidden="1">'Szoc.jutt. - 8. mell.'!$F$1:$F$28</definedName>
    <definedName name="_xlnm.Print_Titles" localSheetId="8">'Önkormányzat - 9. mell.'!$1:$4</definedName>
    <definedName name="_xlnm.Print_Area" localSheetId="12">'13 EI-felh. terv'!$A$1:$N$36</definedName>
    <definedName name="_xlnm.Print_Area" localSheetId="13">'14 Címrend'!$A$1:$C$8</definedName>
    <definedName name="_xlnm.Print_Area" localSheetId="14">'15 gördülő'!$A$1:$E$41</definedName>
    <definedName name="_xlnm.Print_Area" localSheetId="15">'16 stab.tv saját bevétel'!$A$1:$J$16</definedName>
    <definedName name="_xlnm.Print_Area" localSheetId="4">'Állami - 5. mell.'!$A$1:$F$35</definedName>
    <definedName name="_xlnm.Print_Area" localSheetId="5">'Ber.-felú. - 6. mell.'!$A$1:$F$52</definedName>
    <definedName name="_xlnm.Print_Area" localSheetId="2">'Bevétel össz. - 3. mell.'!$A$2:$N$56</definedName>
    <definedName name="_xlnm.Print_Area" localSheetId="3">'Kiadás össz. - 4. mell.'!$A$1:$N$27</definedName>
    <definedName name="_xlnm.Print_Area" localSheetId="0">'Ktvetési mérleg - 1. mell.'!$A$1:$J$35</definedName>
    <definedName name="_xlnm.Print_Area" localSheetId="1">'Műk-felh.mérleg - 2. mell.'!$A$1:$J$31</definedName>
    <definedName name="_xlnm.Print_Area" localSheetId="9">'Óvoda - 10. mell.'!$A$1:$F$140</definedName>
    <definedName name="_xlnm.Print_Area" localSheetId="8">'Önkormányzat - 9. mell.'!$A$1:$AU$139</definedName>
    <definedName name="_xlnm.Print_Area" localSheetId="6">'Pénze.átadás - 7. mell.'!$A$1:$F$37</definedName>
    <definedName name="_xlnm.Print_Area" localSheetId="7">'Szoc.jutt. - 8. mell.'!$A$1:$F$28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5" i="145" l="1"/>
  <c r="J16" i="145" s="1"/>
  <c r="I15" i="145"/>
  <c r="I16" i="145" s="1"/>
  <c r="H15" i="145"/>
  <c r="H16" i="145" s="1"/>
  <c r="G15" i="145"/>
  <c r="G16" i="145" s="1"/>
  <c r="F15" i="145"/>
  <c r="F16" i="145" s="1"/>
  <c r="E15" i="145"/>
  <c r="E16" i="145" s="1"/>
  <c r="D15" i="145"/>
  <c r="D16" i="145" s="1"/>
  <c r="C15" i="145"/>
  <c r="C16" i="145" s="1"/>
  <c r="B11" i="145"/>
  <c r="B8" i="145"/>
  <c r="B15" i="145" l="1"/>
  <c r="B16" i="145" s="1"/>
  <c r="D20" i="92"/>
  <c r="D19" i="92"/>
  <c r="D18" i="92"/>
  <c r="F34" i="91"/>
  <c r="F33" i="91"/>
  <c r="F44" i="97"/>
  <c r="F43" i="97"/>
  <c r="E5" i="95"/>
  <c r="N60" i="123" l="1"/>
  <c r="AU134" i="123" l="1"/>
  <c r="E134" i="123" s="1"/>
  <c r="AU133" i="123"/>
  <c r="E133" i="123" s="1"/>
  <c r="AU132" i="123"/>
  <c r="E132" i="123" s="1"/>
  <c r="AU131" i="123"/>
  <c r="AU128" i="123"/>
  <c r="E128" i="123" s="1"/>
  <c r="AU127" i="123"/>
  <c r="E127" i="123" s="1"/>
  <c r="AU125" i="123"/>
  <c r="E125" i="123" s="1"/>
  <c r="AU124" i="123"/>
  <c r="AU122" i="123"/>
  <c r="E122" i="123" s="1"/>
  <c r="AU121" i="123"/>
  <c r="AU119" i="123"/>
  <c r="E119" i="123" s="1"/>
  <c r="AU118" i="123"/>
  <c r="E118" i="123" s="1"/>
  <c r="AU117" i="123"/>
  <c r="E117" i="123" s="1"/>
  <c r="AU116" i="123"/>
  <c r="E116" i="123" s="1"/>
  <c r="AU115" i="123"/>
  <c r="E115" i="123" s="1"/>
  <c r="AU114" i="123"/>
  <c r="E114" i="123" s="1"/>
  <c r="AU113" i="123"/>
  <c r="E113" i="123" s="1"/>
  <c r="AU112" i="123"/>
  <c r="E112" i="123" s="1"/>
  <c r="AU111" i="123"/>
  <c r="E111" i="123" s="1"/>
  <c r="AU108" i="123"/>
  <c r="AU107" i="123"/>
  <c r="E107" i="123" s="1"/>
  <c r="AU106" i="123"/>
  <c r="E106" i="123" s="1"/>
  <c r="AU104" i="123"/>
  <c r="E104" i="123" s="1"/>
  <c r="AU103" i="123"/>
  <c r="AU102" i="123"/>
  <c r="E102" i="123" s="1"/>
  <c r="AU100" i="123"/>
  <c r="E100" i="123" s="1"/>
  <c r="AU99" i="123"/>
  <c r="AU98" i="123"/>
  <c r="E98" i="123" s="1"/>
  <c r="AU96" i="123"/>
  <c r="E96" i="123" s="1"/>
  <c r="AU95" i="123"/>
  <c r="AU92" i="123"/>
  <c r="E92" i="123" s="1"/>
  <c r="AU91" i="123"/>
  <c r="E91" i="123" s="1"/>
  <c r="AU90" i="123"/>
  <c r="E90" i="123" s="1"/>
  <c r="AU89" i="123"/>
  <c r="E89" i="123" s="1"/>
  <c r="AU88" i="123"/>
  <c r="E88" i="123" s="1"/>
  <c r="AU86" i="123"/>
  <c r="E86" i="123" s="1"/>
  <c r="AU85" i="123"/>
  <c r="E85" i="123" s="1"/>
  <c r="AU84" i="123"/>
  <c r="E84" i="123" s="1"/>
  <c r="AU83" i="123"/>
  <c r="E83" i="123" s="1"/>
  <c r="AU82" i="123"/>
  <c r="AU81" i="123"/>
  <c r="E81" i="123" s="1"/>
  <c r="AU78" i="123"/>
  <c r="E78" i="123" s="1"/>
  <c r="AU77" i="123"/>
  <c r="E77" i="123" s="1"/>
  <c r="AU76" i="123"/>
  <c r="AU73" i="123"/>
  <c r="E73" i="123" s="1"/>
  <c r="AU72" i="123"/>
  <c r="E72" i="123" s="1"/>
  <c r="AU71" i="123"/>
  <c r="AU70" i="123"/>
  <c r="E70" i="123" s="1"/>
  <c r="AU69" i="123"/>
  <c r="E69" i="123" s="1"/>
  <c r="AU67" i="123"/>
  <c r="E67" i="123" s="1"/>
  <c r="AU66" i="123"/>
  <c r="E66" i="123" s="1"/>
  <c r="AU65" i="123"/>
  <c r="AU64" i="123"/>
  <c r="E64" i="123" s="1"/>
  <c r="AU63" i="123"/>
  <c r="E63" i="123" s="1"/>
  <c r="AU62" i="123"/>
  <c r="E62" i="123" s="1"/>
  <c r="AU59" i="123"/>
  <c r="E59" i="123" s="1"/>
  <c r="AU58" i="123"/>
  <c r="E58" i="123" s="1"/>
  <c r="AU57" i="123"/>
  <c r="E57" i="123" s="1"/>
  <c r="AU56" i="123"/>
  <c r="E56" i="123" s="1"/>
  <c r="AU55" i="123"/>
  <c r="AU53" i="123"/>
  <c r="E53" i="123" s="1"/>
  <c r="AU52" i="123"/>
  <c r="AU50" i="123"/>
  <c r="E50" i="123" s="1"/>
  <c r="AU49" i="123"/>
  <c r="E49" i="123" s="1"/>
  <c r="AU48" i="123"/>
  <c r="E48" i="123" s="1"/>
  <c r="AU47" i="123"/>
  <c r="E47" i="123" s="1"/>
  <c r="AU46" i="123"/>
  <c r="E46" i="123" s="1"/>
  <c r="AU45" i="123"/>
  <c r="AU44" i="123"/>
  <c r="E44" i="123" s="1"/>
  <c r="AU42" i="123"/>
  <c r="E42" i="123" s="1"/>
  <c r="AU41" i="123"/>
  <c r="AU38" i="123"/>
  <c r="E38" i="123" s="1"/>
  <c r="AU37" i="123"/>
  <c r="E37" i="123" s="1"/>
  <c r="AU36" i="123"/>
  <c r="E36" i="123" s="1"/>
  <c r="AU35" i="123"/>
  <c r="E35" i="123" s="1"/>
  <c r="AU34" i="123"/>
  <c r="AU33" i="123"/>
  <c r="E33" i="123" s="1"/>
  <c r="AU31" i="123"/>
  <c r="E31" i="123" s="1"/>
  <c r="AU30" i="123"/>
  <c r="E30" i="123" s="1"/>
  <c r="AU29" i="123"/>
  <c r="AU27" i="123"/>
  <c r="E27" i="123" s="1"/>
  <c r="AU26" i="123"/>
  <c r="E26" i="123" s="1"/>
  <c r="AU25" i="123"/>
  <c r="E25" i="123" s="1"/>
  <c r="AU24" i="123"/>
  <c r="AU21" i="123"/>
  <c r="E21" i="123" s="1"/>
  <c r="AU20" i="123"/>
  <c r="E20" i="123" s="1"/>
  <c r="AU19" i="123"/>
  <c r="AU17" i="123"/>
  <c r="E17" i="123" s="1"/>
  <c r="AU16" i="123"/>
  <c r="E16" i="123" s="1"/>
  <c r="AU15" i="123"/>
  <c r="E15" i="123" s="1"/>
  <c r="AU14" i="123"/>
  <c r="E14" i="123" s="1"/>
  <c r="AU13" i="123"/>
  <c r="E13" i="123" s="1"/>
  <c r="AU12" i="123"/>
  <c r="E12" i="123" s="1"/>
  <c r="AU11" i="123"/>
  <c r="E11" i="123" s="1"/>
  <c r="AU10" i="123"/>
  <c r="E10" i="123" s="1"/>
  <c r="AU9" i="123"/>
  <c r="E9" i="123" s="1"/>
  <c r="AU8" i="123"/>
  <c r="E8" i="123" s="1"/>
  <c r="AU7" i="123"/>
  <c r="E7" i="123" s="1"/>
  <c r="AU6" i="123"/>
  <c r="E6" i="123" s="1"/>
  <c r="AU5" i="123"/>
  <c r="E5" i="123" s="1"/>
  <c r="AT135" i="123"/>
  <c r="AS135" i="123"/>
  <c r="AR135" i="123"/>
  <c r="AQ135" i="123"/>
  <c r="AP135" i="123"/>
  <c r="AO135" i="123"/>
  <c r="AN135" i="123"/>
  <c r="AM135" i="123"/>
  <c r="AL135" i="123"/>
  <c r="AK135" i="123"/>
  <c r="AJ135" i="123"/>
  <c r="AI135" i="123"/>
  <c r="AH135" i="123"/>
  <c r="AG135" i="123"/>
  <c r="AF135" i="123"/>
  <c r="AE135" i="123"/>
  <c r="AD135" i="123"/>
  <c r="AC135" i="123"/>
  <c r="AB135" i="123"/>
  <c r="AA135" i="123"/>
  <c r="Z135" i="123"/>
  <c r="Y135" i="123"/>
  <c r="X135" i="123"/>
  <c r="W135" i="123"/>
  <c r="V135" i="123"/>
  <c r="U135" i="123"/>
  <c r="T135" i="123"/>
  <c r="S135" i="123"/>
  <c r="R135" i="123"/>
  <c r="Q135" i="123"/>
  <c r="P135" i="123"/>
  <c r="O135" i="123"/>
  <c r="N135" i="123"/>
  <c r="M135" i="123"/>
  <c r="L135" i="123"/>
  <c r="K135" i="123"/>
  <c r="J135" i="123"/>
  <c r="I135" i="123"/>
  <c r="H135" i="123"/>
  <c r="AT129" i="123"/>
  <c r="AS129" i="123"/>
  <c r="AR129" i="123"/>
  <c r="AQ129" i="123"/>
  <c r="AP129" i="123"/>
  <c r="AO129" i="123"/>
  <c r="AN129" i="123"/>
  <c r="AM129" i="123"/>
  <c r="AL129" i="123"/>
  <c r="AK129" i="123"/>
  <c r="AJ129" i="123"/>
  <c r="AI129" i="123"/>
  <c r="AH129" i="123"/>
  <c r="AG129" i="123"/>
  <c r="AF129" i="123"/>
  <c r="AE129" i="123"/>
  <c r="AD129" i="123"/>
  <c r="AC129" i="123"/>
  <c r="AB129" i="123"/>
  <c r="AA129" i="123"/>
  <c r="Z129" i="123"/>
  <c r="Y129" i="123"/>
  <c r="X129" i="123"/>
  <c r="W129" i="123"/>
  <c r="V129" i="123"/>
  <c r="U129" i="123"/>
  <c r="T129" i="123"/>
  <c r="S129" i="123"/>
  <c r="R129" i="123"/>
  <c r="Q129" i="123"/>
  <c r="P129" i="123"/>
  <c r="O129" i="123"/>
  <c r="N129" i="123"/>
  <c r="M129" i="123"/>
  <c r="L129" i="123"/>
  <c r="K129" i="123"/>
  <c r="J129" i="123"/>
  <c r="I129" i="123"/>
  <c r="H129" i="123"/>
  <c r="AT126" i="123"/>
  <c r="AS126" i="123"/>
  <c r="AR126" i="123"/>
  <c r="AQ126" i="123"/>
  <c r="AP126" i="123"/>
  <c r="AO126" i="123"/>
  <c r="AN126" i="123"/>
  <c r="AM126" i="123"/>
  <c r="AL126" i="123"/>
  <c r="AK126" i="123"/>
  <c r="AJ126" i="123"/>
  <c r="AI126" i="123"/>
  <c r="AH126" i="123"/>
  <c r="AG126" i="123"/>
  <c r="AF126" i="123"/>
  <c r="AE126" i="123"/>
  <c r="AD126" i="123"/>
  <c r="AC126" i="123"/>
  <c r="AB126" i="123"/>
  <c r="AA126" i="123"/>
  <c r="Z126" i="123"/>
  <c r="Y126" i="123"/>
  <c r="X126" i="123"/>
  <c r="W126" i="123"/>
  <c r="V126" i="123"/>
  <c r="U126" i="123"/>
  <c r="T126" i="123"/>
  <c r="S126" i="123"/>
  <c r="R126" i="123"/>
  <c r="Q126" i="123"/>
  <c r="P126" i="123"/>
  <c r="O126" i="123"/>
  <c r="N126" i="123"/>
  <c r="M126" i="123"/>
  <c r="L126" i="123"/>
  <c r="K126" i="123"/>
  <c r="J126" i="123"/>
  <c r="I126" i="123"/>
  <c r="H126" i="123"/>
  <c r="AT123" i="123"/>
  <c r="AS123" i="123"/>
  <c r="AR123" i="123"/>
  <c r="AQ123" i="123"/>
  <c r="AP123" i="123"/>
  <c r="AO123" i="123"/>
  <c r="AN123" i="123"/>
  <c r="AM123" i="123"/>
  <c r="AL123" i="123"/>
  <c r="AK123" i="123"/>
  <c r="AJ123" i="123"/>
  <c r="AI123" i="123"/>
  <c r="AH123" i="123"/>
  <c r="AG123" i="123"/>
  <c r="AF123" i="123"/>
  <c r="AE123" i="123"/>
  <c r="AD123" i="123"/>
  <c r="AC123" i="123"/>
  <c r="AB123" i="123"/>
  <c r="AA123" i="123"/>
  <c r="Z123" i="123"/>
  <c r="Y123" i="123"/>
  <c r="X123" i="123"/>
  <c r="W123" i="123"/>
  <c r="V123" i="123"/>
  <c r="U123" i="123"/>
  <c r="T123" i="123"/>
  <c r="S123" i="123"/>
  <c r="R123" i="123"/>
  <c r="Q123" i="123"/>
  <c r="P123" i="123"/>
  <c r="O123" i="123"/>
  <c r="N123" i="123"/>
  <c r="M123" i="123"/>
  <c r="L123" i="123"/>
  <c r="K123" i="123"/>
  <c r="J123" i="123"/>
  <c r="I123" i="123"/>
  <c r="H123" i="123"/>
  <c r="AT120" i="123"/>
  <c r="AS120" i="123"/>
  <c r="AR120" i="123"/>
  <c r="AQ120" i="123"/>
  <c r="AP120" i="123"/>
  <c r="AO120" i="123"/>
  <c r="AN120" i="123"/>
  <c r="AM120" i="123"/>
  <c r="AL120" i="123"/>
  <c r="AK120" i="123"/>
  <c r="AJ120" i="123"/>
  <c r="AI120" i="123"/>
  <c r="AH120" i="123"/>
  <c r="AG120" i="123"/>
  <c r="AF120" i="123"/>
  <c r="AE120" i="123"/>
  <c r="AD120" i="123"/>
  <c r="AC120" i="123"/>
  <c r="AB120" i="123"/>
  <c r="AA120" i="123"/>
  <c r="Z120" i="123"/>
  <c r="Y120" i="123"/>
  <c r="X120" i="123"/>
  <c r="W120" i="123"/>
  <c r="V120" i="123"/>
  <c r="U120" i="123"/>
  <c r="T120" i="123"/>
  <c r="S120" i="123"/>
  <c r="R120" i="123"/>
  <c r="Q120" i="123"/>
  <c r="P120" i="123"/>
  <c r="O120" i="123"/>
  <c r="N120" i="123"/>
  <c r="M120" i="123"/>
  <c r="L120" i="123"/>
  <c r="K120" i="123"/>
  <c r="J120" i="123"/>
  <c r="I120" i="123"/>
  <c r="H120" i="123"/>
  <c r="AT109" i="123"/>
  <c r="AS109" i="123"/>
  <c r="AR109" i="123"/>
  <c r="AQ109" i="123"/>
  <c r="AP109" i="123"/>
  <c r="AO109" i="123"/>
  <c r="AN109" i="123"/>
  <c r="AM109" i="123"/>
  <c r="AL109" i="123"/>
  <c r="AK109" i="123"/>
  <c r="AJ109" i="123"/>
  <c r="AI109" i="123"/>
  <c r="AH109" i="123"/>
  <c r="AG109" i="123"/>
  <c r="AF109" i="123"/>
  <c r="AE109" i="123"/>
  <c r="AD109" i="123"/>
  <c r="AC109" i="123"/>
  <c r="AB109" i="123"/>
  <c r="AA109" i="123"/>
  <c r="Z109" i="123"/>
  <c r="Y109" i="123"/>
  <c r="X109" i="123"/>
  <c r="W109" i="123"/>
  <c r="V109" i="123"/>
  <c r="U109" i="123"/>
  <c r="T109" i="123"/>
  <c r="S109" i="123"/>
  <c r="R109" i="123"/>
  <c r="Q109" i="123"/>
  <c r="P109" i="123"/>
  <c r="O109" i="123"/>
  <c r="N109" i="123"/>
  <c r="M109" i="123"/>
  <c r="L109" i="123"/>
  <c r="K109" i="123"/>
  <c r="J109" i="123"/>
  <c r="I109" i="123"/>
  <c r="H109" i="123"/>
  <c r="AT105" i="123"/>
  <c r="AS105" i="123"/>
  <c r="AR105" i="123"/>
  <c r="AQ105" i="123"/>
  <c r="AP105" i="123"/>
  <c r="AO105" i="123"/>
  <c r="AN105" i="123"/>
  <c r="AM105" i="123"/>
  <c r="AL105" i="123"/>
  <c r="AK105" i="123"/>
  <c r="AJ105" i="123"/>
  <c r="AI105" i="123"/>
  <c r="AH105" i="123"/>
  <c r="AG105" i="123"/>
  <c r="AF105" i="123"/>
  <c r="AE105" i="123"/>
  <c r="AD105" i="123"/>
  <c r="AC105" i="123"/>
  <c r="AB105" i="123"/>
  <c r="AA105" i="123"/>
  <c r="Z105" i="123"/>
  <c r="Y105" i="123"/>
  <c r="X105" i="123"/>
  <c r="W105" i="123"/>
  <c r="V105" i="123"/>
  <c r="U105" i="123"/>
  <c r="T105" i="123"/>
  <c r="S105" i="123"/>
  <c r="R105" i="123"/>
  <c r="Q105" i="123"/>
  <c r="P105" i="123"/>
  <c r="O105" i="123"/>
  <c r="N105" i="123"/>
  <c r="M105" i="123"/>
  <c r="L105" i="123"/>
  <c r="K105" i="123"/>
  <c r="J105" i="123"/>
  <c r="I105" i="123"/>
  <c r="H105" i="123"/>
  <c r="AT101" i="123"/>
  <c r="AS101" i="123"/>
  <c r="AR101" i="123"/>
  <c r="AQ101" i="123"/>
  <c r="AP101" i="123"/>
  <c r="AO101" i="123"/>
  <c r="AN101" i="123"/>
  <c r="AM101" i="123"/>
  <c r="AL101" i="123"/>
  <c r="AK101" i="123"/>
  <c r="AJ101" i="123"/>
  <c r="AI101" i="123"/>
  <c r="AH101" i="123"/>
  <c r="AG101" i="123"/>
  <c r="AF101" i="123"/>
  <c r="AE101" i="123"/>
  <c r="AD101" i="123"/>
  <c r="AC101" i="123"/>
  <c r="AB101" i="123"/>
  <c r="AA101" i="123"/>
  <c r="Z101" i="123"/>
  <c r="Y101" i="123"/>
  <c r="X101" i="123"/>
  <c r="W101" i="123"/>
  <c r="V101" i="123"/>
  <c r="U101" i="123"/>
  <c r="T101" i="123"/>
  <c r="S101" i="123"/>
  <c r="R101" i="123"/>
  <c r="Q101" i="123"/>
  <c r="P101" i="123"/>
  <c r="O101" i="123"/>
  <c r="N101" i="123"/>
  <c r="M101" i="123"/>
  <c r="L101" i="123"/>
  <c r="K101" i="123"/>
  <c r="J101" i="123"/>
  <c r="I101" i="123"/>
  <c r="H101" i="123"/>
  <c r="AT97" i="123"/>
  <c r="AS97" i="123"/>
  <c r="AR97" i="123"/>
  <c r="AQ97" i="123"/>
  <c r="AP97" i="123"/>
  <c r="AO97" i="123"/>
  <c r="AN97" i="123"/>
  <c r="AM97" i="123"/>
  <c r="AL97" i="123"/>
  <c r="AK97" i="123"/>
  <c r="AJ97" i="123"/>
  <c r="AI97" i="123"/>
  <c r="AH97" i="123"/>
  <c r="AG97" i="123"/>
  <c r="AF97" i="123"/>
  <c r="AE97" i="123"/>
  <c r="AD97" i="123"/>
  <c r="AC97" i="123"/>
  <c r="AB97" i="123"/>
  <c r="AA97" i="123"/>
  <c r="Z97" i="123"/>
  <c r="Y97" i="123"/>
  <c r="X97" i="123"/>
  <c r="W97" i="123"/>
  <c r="V97" i="123"/>
  <c r="U97" i="123"/>
  <c r="T97" i="123"/>
  <c r="S97" i="123"/>
  <c r="R97" i="123"/>
  <c r="Q97" i="123"/>
  <c r="P97" i="123"/>
  <c r="O97" i="123"/>
  <c r="N97" i="123"/>
  <c r="M97" i="123"/>
  <c r="L97" i="123"/>
  <c r="K97" i="123"/>
  <c r="J97" i="123"/>
  <c r="I97" i="123"/>
  <c r="H97" i="123"/>
  <c r="AT93" i="123"/>
  <c r="AS93" i="123"/>
  <c r="AR93" i="123"/>
  <c r="AQ93" i="123"/>
  <c r="AP93" i="123"/>
  <c r="AO93" i="123"/>
  <c r="AN93" i="123"/>
  <c r="AM93" i="123"/>
  <c r="AL93" i="123"/>
  <c r="AK93" i="123"/>
  <c r="AJ93" i="123"/>
  <c r="AI93" i="123"/>
  <c r="AH93" i="123"/>
  <c r="AG93" i="123"/>
  <c r="AF93" i="123"/>
  <c r="AE93" i="123"/>
  <c r="AD93" i="123"/>
  <c r="AC93" i="123"/>
  <c r="AB93" i="123"/>
  <c r="AA93" i="123"/>
  <c r="Z93" i="123"/>
  <c r="Y93" i="123"/>
  <c r="X93" i="123"/>
  <c r="W93" i="123"/>
  <c r="V93" i="123"/>
  <c r="U93" i="123"/>
  <c r="T93" i="123"/>
  <c r="S93" i="123"/>
  <c r="R93" i="123"/>
  <c r="Q93" i="123"/>
  <c r="P93" i="123"/>
  <c r="O93" i="123"/>
  <c r="N93" i="123"/>
  <c r="M93" i="123"/>
  <c r="L93" i="123"/>
  <c r="K93" i="123"/>
  <c r="J93" i="123"/>
  <c r="I93" i="123"/>
  <c r="H93" i="123"/>
  <c r="AT87" i="123"/>
  <c r="AS87" i="123"/>
  <c r="AR87" i="123"/>
  <c r="AQ87" i="123"/>
  <c r="AP87" i="123"/>
  <c r="AO87" i="123"/>
  <c r="AN87" i="123"/>
  <c r="AM87" i="123"/>
  <c r="AL87" i="123"/>
  <c r="AK87" i="123"/>
  <c r="AJ87" i="123"/>
  <c r="AI87" i="123"/>
  <c r="AH87" i="123"/>
  <c r="AG87" i="123"/>
  <c r="AF87" i="123"/>
  <c r="AE87" i="123"/>
  <c r="AD87" i="123"/>
  <c r="AC87" i="123"/>
  <c r="AB87" i="123"/>
  <c r="AA87" i="123"/>
  <c r="Z87" i="123"/>
  <c r="Y87" i="123"/>
  <c r="X87" i="123"/>
  <c r="W87" i="123"/>
  <c r="V87" i="123"/>
  <c r="U87" i="123"/>
  <c r="T87" i="123"/>
  <c r="S87" i="123"/>
  <c r="R87" i="123"/>
  <c r="Q87" i="123"/>
  <c r="P87" i="123"/>
  <c r="O87" i="123"/>
  <c r="N87" i="123"/>
  <c r="M87" i="123"/>
  <c r="L87" i="123"/>
  <c r="K87" i="123"/>
  <c r="J87" i="123"/>
  <c r="I87" i="123"/>
  <c r="H87" i="123"/>
  <c r="AT79" i="123"/>
  <c r="AS79" i="123"/>
  <c r="AR79" i="123"/>
  <c r="AQ79" i="123"/>
  <c r="AP79" i="123"/>
  <c r="AO79" i="123"/>
  <c r="AN79" i="123"/>
  <c r="AM79" i="123"/>
  <c r="AL79" i="123"/>
  <c r="AK79" i="123"/>
  <c r="AJ79" i="123"/>
  <c r="AI79" i="123"/>
  <c r="AH79" i="123"/>
  <c r="AG79" i="123"/>
  <c r="AF79" i="123"/>
  <c r="AE79" i="123"/>
  <c r="AD79" i="123"/>
  <c r="AC79" i="123"/>
  <c r="AB79" i="123"/>
  <c r="AA79" i="123"/>
  <c r="Z79" i="123"/>
  <c r="Y79" i="123"/>
  <c r="X79" i="123"/>
  <c r="W79" i="123"/>
  <c r="V79" i="123"/>
  <c r="U79" i="123"/>
  <c r="T79" i="123"/>
  <c r="S79" i="123"/>
  <c r="R79" i="123"/>
  <c r="Q79" i="123"/>
  <c r="P79" i="123"/>
  <c r="O79" i="123"/>
  <c r="N79" i="123"/>
  <c r="M79" i="123"/>
  <c r="L79" i="123"/>
  <c r="K79" i="123"/>
  <c r="J79" i="123"/>
  <c r="I79" i="123"/>
  <c r="H79" i="123"/>
  <c r="AT74" i="123"/>
  <c r="AS74" i="123"/>
  <c r="AR74" i="123"/>
  <c r="AQ74" i="123"/>
  <c r="AP74" i="123"/>
  <c r="AO74" i="123"/>
  <c r="AN74" i="123"/>
  <c r="AM74" i="123"/>
  <c r="AL74" i="123"/>
  <c r="AK74" i="123"/>
  <c r="AJ74" i="123"/>
  <c r="AI74" i="123"/>
  <c r="AH74" i="123"/>
  <c r="AG74" i="123"/>
  <c r="AF74" i="123"/>
  <c r="AE74" i="123"/>
  <c r="AD74" i="123"/>
  <c r="AC74" i="123"/>
  <c r="AB74" i="123"/>
  <c r="AA74" i="123"/>
  <c r="Z74" i="123"/>
  <c r="Y74" i="123"/>
  <c r="X74" i="123"/>
  <c r="W74" i="123"/>
  <c r="V74" i="123"/>
  <c r="U74" i="123"/>
  <c r="T74" i="123"/>
  <c r="S74" i="123"/>
  <c r="R74" i="123"/>
  <c r="Q74" i="123"/>
  <c r="P74" i="123"/>
  <c r="O74" i="123"/>
  <c r="N74" i="123"/>
  <c r="M74" i="123"/>
  <c r="L74" i="123"/>
  <c r="K74" i="123"/>
  <c r="J74" i="123"/>
  <c r="I74" i="123"/>
  <c r="H74" i="123"/>
  <c r="AT68" i="123"/>
  <c r="AS68" i="123"/>
  <c r="AR68" i="123"/>
  <c r="AQ68" i="123"/>
  <c r="AP68" i="123"/>
  <c r="AO68" i="123"/>
  <c r="AN68" i="123"/>
  <c r="AM68" i="123"/>
  <c r="AL68" i="123"/>
  <c r="AK68" i="123"/>
  <c r="AJ68" i="123"/>
  <c r="AI68" i="123"/>
  <c r="AH68" i="123"/>
  <c r="AG68" i="123"/>
  <c r="AF68" i="123"/>
  <c r="AE68" i="123"/>
  <c r="AD68" i="123"/>
  <c r="AC68" i="123"/>
  <c r="AB68" i="123"/>
  <c r="AA68" i="123"/>
  <c r="Z68" i="123"/>
  <c r="Y68" i="123"/>
  <c r="X68" i="123"/>
  <c r="W68" i="123"/>
  <c r="V68" i="123"/>
  <c r="U68" i="123"/>
  <c r="T68" i="123"/>
  <c r="S68" i="123"/>
  <c r="R68" i="123"/>
  <c r="Q68" i="123"/>
  <c r="P68" i="123"/>
  <c r="O68" i="123"/>
  <c r="N68" i="123"/>
  <c r="M68" i="123"/>
  <c r="L68" i="123"/>
  <c r="K68" i="123"/>
  <c r="J68" i="123"/>
  <c r="I68" i="123"/>
  <c r="H68" i="123"/>
  <c r="AT60" i="123"/>
  <c r="AS60" i="123"/>
  <c r="AR60" i="123"/>
  <c r="AQ60" i="123"/>
  <c r="AP60" i="123"/>
  <c r="AO60" i="123"/>
  <c r="AN60" i="123"/>
  <c r="AM60" i="123"/>
  <c r="AL60" i="123"/>
  <c r="AK60" i="123"/>
  <c r="AJ60" i="123"/>
  <c r="AI60" i="123"/>
  <c r="AH60" i="123"/>
  <c r="AG60" i="123"/>
  <c r="AF60" i="123"/>
  <c r="AE60" i="123"/>
  <c r="AD60" i="123"/>
  <c r="AC60" i="123"/>
  <c r="AB60" i="123"/>
  <c r="AA60" i="123"/>
  <c r="Z60" i="123"/>
  <c r="Y60" i="123"/>
  <c r="X60" i="123"/>
  <c r="W60" i="123"/>
  <c r="V60" i="123"/>
  <c r="U60" i="123"/>
  <c r="T60" i="123"/>
  <c r="S60" i="123"/>
  <c r="R60" i="123"/>
  <c r="Q60" i="123"/>
  <c r="P60" i="123"/>
  <c r="O60" i="123"/>
  <c r="M60" i="123"/>
  <c r="L60" i="123"/>
  <c r="K60" i="123"/>
  <c r="J60" i="123"/>
  <c r="I60" i="123"/>
  <c r="H60" i="123"/>
  <c r="AT54" i="123"/>
  <c r="AS54" i="123"/>
  <c r="AR54" i="123"/>
  <c r="AQ54" i="123"/>
  <c r="AP54" i="123"/>
  <c r="AO54" i="123"/>
  <c r="AN54" i="123"/>
  <c r="AM54" i="123"/>
  <c r="AL54" i="123"/>
  <c r="AK54" i="123"/>
  <c r="AJ54" i="123"/>
  <c r="AI54" i="123"/>
  <c r="AH54" i="123"/>
  <c r="AG54" i="123"/>
  <c r="AF54" i="123"/>
  <c r="AE54" i="123"/>
  <c r="AD54" i="123"/>
  <c r="AC54" i="123"/>
  <c r="AB54" i="123"/>
  <c r="AA54" i="123"/>
  <c r="Z54" i="123"/>
  <c r="Y54" i="123"/>
  <c r="X54" i="123"/>
  <c r="W54" i="123"/>
  <c r="V54" i="123"/>
  <c r="U54" i="123"/>
  <c r="T54" i="123"/>
  <c r="S54" i="123"/>
  <c r="R54" i="123"/>
  <c r="Q54" i="123"/>
  <c r="P54" i="123"/>
  <c r="O54" i="123"/>
  <c r="N54" i="123"/>
  <c r="M54" i="123"/>
  <c r="L54" i="123"/>
  <c r="K54" i="123"/>
  <c r="J54" i="123"/>
  <c r="I54" i="123"/>
  <c r="H54" i="123"/>
  <c r="AT51" i="123"/>
  <c r="AS51" i="123"/>
  <c r="AR51" i="123"/>
  <c r="AQ51" i="123"/>
  <c r="AP51" i="123"/>
  <c r="AO51" i="123"/>
  <c r="AN51" i="123"/>
  <c r="AM51" i="123"/>
  <c r="AL51" i="123"/>
  <c r="AK51" i="123"/>
  <c r="AJ51" i="123"/>
  <c r="AI51" i="123"/>
  <c r="AH51" i="123"/>
  <c r="AG51" i="123"/>
  <c r="AF51" i="123"/>
  <c r="AE51" i="123"/>
  <c r="AD51" i="123"/>
  <c r="AC51" i="123"/>
  <c r="AB51" i="123"/>
  <c r="AA51" i="123"/>
  <c r="Z51" i="123"/>
  <c r="Y51" i="123"/>
  <c r="X51" i="123"/>
  <c r="W51" i="123"/>
  <c r="V51" i="123"/>
  <c r="U51" i="123"/>
  <c r="T51" i="123"/>
  <c r="S51" i="123"/>
  <c r="R51" i="123"/>
  <c r="Q51" i="123"/>
  <c r="P51" i="123"/>
  <c r="O51" i="123"/>
  <c r="N51" i="123"/>
  <c r="M51" i="123"/>
  <c r="L51" i="123"/>
  <c r="K51" i="123"/>
  <c r="J51" i="123"/>
  <c r="I51" i="123"/>
  <c r="H51" i="123"/>
  <c r="AT43" i="123"/>
  <c r="AS43" i="123"/>
  <c r="AR43" i="123"/>
  <c r="AQ43" i="123"/>
  <c r="AP43" i="123"/>
  <c r="AO43" i="123"/>
  <c r="AN43" i="123"/>
  <c r="AM43" i="123"/>
  <c r="AL43" i="123"/>
  <c r="AK43" i="123"/>
  <c r="AJ43" i="123"/>
  <c r="AI43" i="123"/>
  <c r="AH43" i="123"/>
  <c r="AG43" i="123"/>
  <c r="AF43" i="123"/>
  <c r="AE43" i="123"/>
  <c r="AD43" i="123"/>
  <c r="AC43" i="123"/>
  <c r="AB43" i="123"/>
  <c r="AA43" i="123"/>
  <c r="Z43" i="123"/>
  <c r="Y43" i="123"/>
  <c r="X43" i="123"/>
  <c r="W43" i="123"/>
  <c r="V43" i="123"/>
  <c r="U43" i="123"/>
  <c r="T43" i="123"/>
  <c r="S43" i="123"/>
  <c r="R43" i="123"/>
  <c r="Q43" i="123"/>
  <c r="P43" i="123"/>
  <c r="O43" i="123"/>
  <c r="N43" i="123"/>
  <c r="M43" i="123"/>
  <c r="L43" i="123"/>
  <c r="K43" i="123"/>
  <c r="J43" i="123"/>
  <c r="I43" i="123"/>
  <c r="H43" i="123"/>
  <c r="AT39" i="123"/>
  <c r="AS39" i="123"/>
  <c r="AR39" i="123"/>
  <c r="AQ39" i="123"/>
  <c r="AP39" i="123"/>
  <c r="AO39" i="123"/>
  <c r="AN39" i="123"/>
  <c r="AM39" i="123"/>
  <c r="AL39" i="123"/>
  <c r="AK39" i="123"/>
  <c r="AJ39" i="123"/>
  <c r="AI39" i="123"/>
  <c r="AH39" i="123"/>
  <c r="AG39" i="123"/>
  <c r="AF39" i="123"/>
  <c r="AE39" i="123"/>
  <c r="AD39" i="123"/>
  <c r="AC39" i="123"/>
  <c r="AB39" i="123"/>
  <c r="AA39" i="123"/>
  <c r="Z39" i="123"/>
  <c r="Y39" i="123"/>
  <c r="X39" i="123"/>
  <c r="W39" i="123"/>
  <c r="V39" i="123"/>
  <c r="U39" i="123"/>
  <c r="T39" i="123"/>
  <c r="S39" i="123"/>
  <c r="R39" i="123"/>
  <c r="Q39" i="123"/>
  <c r="P39" i="123"/>
  <c r="O39" i="123"/>
  <c r="N39" i="123"/>
  <c r="M39" i="123"/>
  <c r="L39" i="123"/>
  <c r="K39" i="123"/>
  <c r="J39" i="123"/>
  <c r="I39" i="123"/>
  <c r="H39" i="123"/>
  <c r="AT32" i="123"/>
  <c r="AS32" i="123"/>
  <c r="AR32" i="123"/>
  <c r="AQ32" i="123"/>
  <c r="AP32" i="123"/>
  <c r="AO32" i="123"/>
  <c r="AN32" i="123"/>
  <c r="AM32" i="123"/>
  <c r="AL32" i="123"/>
  <c r="AK32" i="123"/>
  <c r="AJ32" i="123"/>
  <c r="AI32" i="123"/>
  <c r="AH32" i="123"/>
  <c r="AG32" i="123"/>
  <c r="AF32" i="123"/>
  <c r="AE32" i="123"/>
  <c r="AD32" i="123"/>
  <c r="AC32" i="123"/>
  <c r="AB32" i="123"/>
  <c r="AA32" i="123"/>
  <c r="Z32" i="123"/>
  <c r="Y32" i="123"/>
  <c r="X32" i="123"/>
  <c r="W32" i="123"/>
  <c r="V32" i="123"/>
  <c r="U32" i="123"/>
  <c r="T32" i="123"/>
  <c r="S32" i="123"/>
  <c r="R32" i="123"/>
  <c r="Q32" i="123"/>
  <c r="P32" i="123"/>
  <c r="O32" i="123"/>
  <c r="N32" i="123"/>
  <c r="M32" i="123"/>
  <c r="L32" i="123"/>
  <c r="K32" i="123"/>
  <c r="J32" i="123"/>
  <c r="I32" i="123"/>
  <c r="H32" i="123"/>
  <c r="AT28" i="123"/>
  <c r="AS28" i="123"/>
  <c r="AR28" i="123"/>
  <c r="AQ28" i="123"/>
  <c r="AP28" i="123"/>
  <c r="AO28" i="123"/>
  <c r="AN28" i="123"/>
  <c r="AM28" i="123"/>
  <c r="AL28" i="123"/>
  <c r="AK28" i="123"/>
  <c r="AJ28" i="123"/>
  <c r="AI28" i="123"/>
  <c r="AH28" i="123"/>
  <c r="AG28" i="123"/>
  <c r="AF28" i="123"/>
  <c r="AE28" i="123"/>
  <c r="AD28" i="123"/>
  <c r="AC28" i="123"/>
  <c r="AB28" i="123"/>
  <c r="AA28" i="123"/>
  <c r="Z28" i="123"/>
  <c r="Y28" i="123"/>
  <c r="X28" i="123"/>
  <c r="W28" i="123"/>
  <c r="V28" i="123"/>
  <c r="U28" i="123"/>
  <c r="T28" i="123"/>
  <c r="S28" i="123"/>
  <c r="R28" i="123"/>
  <c r="Q28" i="123"/>
  <c r="P28" i="123"/>
  <c r="O28" i="123"/>
  <c r="N28" i="123"/>
  <c r="M28" i="123"/>
  <c r="L28" i="123"/>
  <c r="K28" i="123"/>
  <c r="J28" i="123"/>
  <c r="I28" i="123"/>
  <c r="H28" i="123"/>
  <c r="AT22" i="123"/>
  <c r="AS22" i="123"/>
  <c r="AR22" i="123"/>
  <c r="AQ22" i="123"/>
  <c r="AP22" i="123"/>
  <c r="AO22" i="123"/>
  <c r="AN22" i="123"/>
  <c r="AM22" i="123"/>
  <c r="AL22" i="123"/>
  <c r="AK22" i="123"/>
  <c r="AJ22" i="123"/>
  <c r="AI22" i="123"/>
  <c r="AH22" i="123"/>
  <c r="AG22" i="123"/>
  <c r="AF22" i="123"/>
  <c r="AE22" i="123"/>
  <c r="AD22" i="123"/>
  <c r="AC22" i="123"/>
  <c r="AB22" i="123"/>
  <c r="AA22" i="123"/>
  <c r="Z22" i="123"/>
  <c r="Y22" i="123"/>
  <c r="X22" i="123"/>
  <c r="W22" i="123"/>
  <c r="V22" i="123"/>
  <c r="U22" i="123"/>
  <c r="T22" i="123"/>
  <c r="S22" i="123"/>
  <c r="R22" i="123"/>
  <c r="Q22" i="123"/>
  <c r="P22" i="123"/>
  <c r="O22" i="123"/>
  <c r="N22" i="123"/>
  <c r="M22" i="123"/>
  <c r="L22" i="123"/>
  <c r="K22" i="123"/>
  <c r="J22" i="123"/>
  <c r="I22" i="123"/>
  <c r="H22" i="123"/>
  <c r="AT18" i="123"/>
  <c r="AS18" i="123"/>
  <c r="AR18" i="123"/>
  <c r="AQ18" i="123"/>
  <c r="AP18" i="123"/>
  <c r="AO18" i="123"/>
  <c r="AN18" i="123"/>
  <c r="AM18" i="123"/>
  <c r="AL18" i="123"/>
  <c r="AK18" i="123"/>
  <c r="AJ18" i="123"/>
  <c r="AI18" i="123"/>
  <c r="AH18" i="123"/>
  <c r="AG18" i="123"/>
  <c r="AF18" i="123"/>
  <c r="AE18" i="123"/>
  <c r="AD18" i="123"/>
  <c r="AC18" i="123"/>
  <c r="AB18" i="123"/>
  <c r="AA18" i="123"/>
  <c r="Z18" i="123"/>
  <c r="Y18" i="123"/>
  <c r="X18" i="123"/>
  <c r="W18" i="123"/>
  <c r="V18" i="123"/>
  <c r="U18" i="123"/>
  <c r="T18" i="123"/>
  <c r="S18" i="123"/>
  <c r="R18" i="123"/>
  <c r="Q18" i="123"/>
  <c r="P18" i="123"/>
  <c r="O18" i="123"/>
  <c r="N18" i="123"/>
  <c r="M18" i="123"/>
  <c r="L18" i="123"/>
  <c r="K18" i="123"/>
  <c r="J18" i="123"/>
  <c r="I18" i="123"/>
  <c r="H18" i="123"/>
  <c r="D134" i="132"/>
  <c r="D22" i="132"/>
  <c r="D15" i="132"/>
  <c r="D119" i="123"/>
  <c r="D116" i="123"/>
  <c r="D112" i="123"/>
  <c r="D96" i="123"/>
  <c r="D34" i="91"/>
  <c r="D33" i="91"/>
  <c r="D30" i="91"/>
  <c r="D13" i="91"/>
  <c r="D81" i="123" s="1"/>
  <c r="D78" i="123"/>
  <c r="D77" i="123"/>
  <c r="D48" i="97"/>
  <c r="C45" i="97"/>
  <c r="D44" i="97"/>
  <c r="D43" i="97"/>
  <c r="D40" i="97"/>
  <c r="AU129" i="123" l="1"/>
  <c r="AU60" i="123"/>
  <c r="AU32" i="123"/>
  <c r="AU54" i="123"/>
  <c r="AU51" i="123"/>
  <c r="AU39" i="123"/>
  <c r="AU28" i="123"/>
  <c r="AU68" i="123"/>
  <c r="E65" i="123"/>
  <c r="AU79" i="123"/>
  <c r="E76" i="123"/>
  <c r="AU87" i="123"/>
  <c r="E82" i="123"/>
  <c r="AU97" i="123"/>
  <c r="E95" i="123"/>
  <c r="AU105" i="123"/>
  <c r="E103" i="123"/>
  <c r="AU109" i="123"/>
  <c r="E108" i="123"/>
  <c r="E109" i="123" s="1"/>
  <c r="AU123" i="123"/>
  <c r="E121" i="123"/>
  <c r="AU126" i="123"/>
  <c r="E124" i="123"/>
  <c r="AU135" i="123"/>
  <c r="E131" i="123"/>
  <c r="E24" i="123"/>
  <c r="E29" i="123"/>
  <c r="E34" i="123"/>
  <c r="E45" i="123"/>
  <c r="E55" i="123"/>
  <c r="E52" i="123"/>
  <c r="AU22" i="123"/>
  <c r="AU43" i="123"/>
  <c r="AU74" i="123"/>
  <c r="AU101" i="123"/>
  <c r="E19" i="123"/>
  <c r="E41" i="123"/>
  <c r="E71" i="123"/>
  <c r="E99" i="123"/>
  <c r="M110" i="123"/>
  <c r="Y110" i="123"/>
  <c r="AK110" i="123"/>
  <c r="AU18" i="123"/>
  <c r="I110" i="123"/>
  <c r="U110" i="123"/>
  <c r="AG110" i="123"/>
  <c r="AS110" i="123"/>
  <c r="AU93" i="123"/>
  <c r="Q110" i="123"/>
  <c r="AC110" i="123"/>
  <c r="AO110" i="123"/>
  <c r="AU120" i="123"/>
  <c r="K23" i="123"/>
  <c r="S23" i="123"/>
  <c r="W23" i="123"/>
  <c r="AE23" i="123"/>
  <c r="AM23" i="123"/>
  <c r="L23" i="123"/>
  <c r="T23" i="123"/>
  <c r="AB23" i="123"/>
  <c r="AJ23" i="123"/>
  <c r="AN23" i="123"/>
  <c r="L40" i="123"/>
  <c r="L61" i="123" s="1"/>
  <c r="T40" i="123"/>
  <c r="T61" i="123" s="1"/>
  <c r="AB40" i="123"/>
  <c r="AB61" i="123" s="1"/>
  <c r="AJ40" i="123"/>
  <c r="AJ61" i="123" s="1"/>
  <c r="AR40" i="123"/>
  <c r="AR61" i="123"/>
  <c r="O94" i="123"/>
  <c r="W94" i="123"/>
  <c r="AE94" i="123"/>
  <c r="AI94" i="123"/>
  <c r="AQ94" i="123"/>
  <c r="I23" i="123"/>
  <c r="M23" i="123"/>
  <c r="Q23" i="123"/>
  <c r="U23" i="123"/>
  <c r="Y23" i="123"/>
  <c r="AC23" i="123"/>
  <c r="O23" i="123"/>
  <c r="AA23" i="123"/>
  <c r="AI23" i="123"/>
  <c r="H23" i="123"/>
  <c r="P23" i="123"/>
  <c r="X23" i="123"/>
  <c r="AF23" i="123"/>
  <c r="AR23" i="123"/>
  <c r="H40" i="123"/>
  <c r="H61" i="123" s="1"/>
  <c r="P40" i="123"/>
  <c r="P61" i="123" s="1"/>
  <c r="X40" i="123"/>
  <c r="X61" i="123" s="1"/>
  <c r="AF40" i="123"/>
  <c r="AF61" i="123" s="1"/>
  <c r="AN40" i="123"/>
  <c r="AN61" i="123" s="1"/>
  <c r="K94" i="123"/>
  <c r="S94" i="123"/>
  <c r="AA94" i="123"/>
  <c r="AM94" i="123"/>
  <c r="J23" i="123"/>
  <c r="N23" i="123"/>
  <c r="R23" i="123"/>
  <c r="V23" i="123"/>
  <c r="Z23" i="123"/>
  <c r="AD23" i="123"/>
  <c r="AH23" i="123"/>
  <c r="AL23" i="123"/>
  <c r="AL75" i="123" s="1"/>
  <c r="AL80" i="123" s="1"/>
  <c r="AP23" i="123"/>
  <c r="AT23" i="123"/>
  <c r="AG23" i="123"/>
  <c r="AK23" i="123"/>
  <c r="AO23" i="123"/>
  <c r="AS23" i="123"/>
  <c r="I40" i="123"/>
  <c r="I61" i="123" s="1"/>
  <c r="M40" i="123"/>
  <c r="M61" i="123" s="1"/>
  <c r="Q40" i="123"/>
  <c r="Q61" i="123" s="1"/>
  <c r="U40" i="123"/>
  <c r="U61" i="123" s="1"/>
  <c r="Y40" i="123"/>
  <c r="Y61" i="123" s="1"/>
  <c r="AC40" i="123"/>
  <c r="AC61" i="123" s="1"/>
  <c r="AG40" i="123"/>
  <c r="AG61" i="123" s="1"/>
  <c r="AK40" i="123"/>
  <c r="AK61" i="123" s="1"/>
  <c r="AO40" i="123"/>
  <c r="AO61" i="123" s="1"/>
  <c r="AS40" i="123"/>
  <c r="AS61" i="123" s="1"/>
  <c r="H94" i="123"/>
  <c r="L94" i="123"/>
  <c r="P94" i="123"/>
  <c r="T94" i="123"/>
  <c r="X94" i="123"/>
  <c r="AB94" i="123"/>
  <c r="AF94" i="123"/>
  <c r="AJ94" i="123"/>
  <c r="AN94" i="123"/>
  <c r="AR94" i="123"/>
  <c r="J110" i="123"/>
  <c r="N110" i="123"/>
  <c r="R110" i="123"/>
  <c r="V110" i="123"/>
  <c r="Z110" i="123"/>
  <c r="AD110" i="123"/>
  <c r="AH110" i="123"/>
  <c r="AL110" i="123"/>
  <c r="AP110" i="123"/>
  <c r="AT110" i="123"/>
  <c r="J40" i="123"/>
  <c r="J61" i="123" s="1"/>
  <c r="N40" i="123"/>
  <c r="N61" i="123" s="1"/>
  <c r="R40" i="123"/>
  <c r="R61" i="123" s="1"/>
  <c r="V40" i="123"/>
  <c r="V61" i="123" s="1"/>
  <c r="Z40" i="123"/>
  <c r="Z61" i="123" s="1"/>
  <c r="AD40" i="123"/>
  <c r="AD61" i="123" s="1"/>
  <c r="AH40" i="123"/>
  <c r="AH61" i="123" s="1"/>
  <c r="AL40" i="123"/>
  <c r="AL61" i="123" s="1"/>
  <c r="AP40" i="123"/>
  <c r="AP61" i="123" s="1"/>
  <c r="AT40" i="123"/>
  <c r="AT61" i="123" s="1"/>
  <c r="I94" i="123"/>
  <c r="M94" i="123"/>
  <c r="Q94" i="123"/>
  <c r="Q130" i="123" s="1"/>
  <c r="Q136" i="123" s="1"/>
  <c r="U94" i="123"/>
  <c r="Y94" i="123"/>
  <c r="Y130" i="123" s="1"/>
  <c r="Y136" i="123" s="1"/>
  <c r="AC94" i="123"/>
  <c r="AG94" i="123"/>
  <c r="AK94" i="123"/>
  <c r="AO94" i="123"/>
  <c r="AS94" i="123"/>
  <c r="K110" i="123"/>
  <c r="O110" i="123"/>
  <c r="S110" i="123"/>
  <c r="W110" i="123"/>
  <c r="AA110" i="123"/>
  <c r="AE110" i="123"/>
  <c r="AI110" i="123"/>
  <c r="AM110" i="123"/>
  <c r="AQ110" i="123"/>
  <c r="AQ23" i="123"/>
  <c r="K40" i="123"/>
  <c r="K61" i="123" s="1"/>
  <c r="K75" i="123" s="1"/>
  <c r="K80" i="123" s="1"/>
  <c r="O40" i="123"/>
  <c r="O61" i="123" s="1"/>
  <c r="S40" i="123"/>
  <c r="S61" i="123" s="1"/>
  <c r="W40" i="123"/>
  <c r="W61" i="123" s="1"/>
  <c r="AA40" i="123"/>
  <c r="AA61" i="123" s="1"/>
  <c r="AE40" i="123"/>
  <c r="AE61" i="123" s="1"/>
  <c r="AE75" i="123" s="1"/>
  <c r="AE80" i="123" s="1"/>
  <c r="AI40" i="123"/>
  <c r="AI61" i="123" s="1"/>
  <c r="AM40" i="123"/>
  <c r="AM61" i="123" s="1"/>
  <c r="AQ40" i="123"/>
  <c r="AQ61" i="123" s="1"/>
  <c r="J94" i="123"/>
  <c r="N94" i="123"/>
  <c r="R94" i="123"/>
  <c r="V94" i="123"/>
  <c r="V130" i="123" s="1"/>
  <c r="V136" i="123" s="1"/>
  <c r="Z94" i="123"/>
  <c r="AD94" i="123"/>
  <c r="AH94" i="123"/>
  <c r="AL94" i="123"/>
  <c r="AL130" i="123" s="1"/>
  <c r="AL136" i="123" s="1"/>
  <c r="AP94" i="123"/>
  <c r="AT94" i="123"/>
  <c r="H110" i="123"/>
  <c r="L110" i="123"/>
  <c r="L130" i="123" s="1"/>
  <c r="L136" i="123" s="1"/>
  <c r="P110" i="123"/>
  <c r="T110" i="123"/>
  <c r="X110" i="123"/>
  <c r="AB110" i="123"/>
  <c r="AB130" i="123" s="1"/>
  <c r="AB136" i="123" s="1"/>
  <c r="AF110" i="123"/>
  <c r="AJ110" i="123"/>
  <c r="AN110" i="123"/>
  <c r="AR110" i="123"/>
  <c r="AR130" i="123" s="1"/>
  <c r="AR136" i="123" s="1"/>
  <c r="D34" i="97"/>
  <c r="D31" i="97"/>
  <c r="D26" i="97"/>
  <c r="D25" i="97"/>
  <c r="D19" i="97"/>
  <c r="D31" i="95"/>
  <c r="D16" i="95"/>
  <c r="D18" i="95"/>
  <c r="D59" i="123"/>
  <c r="D56" i="123"/>
  <c r="D55" i="123"/>
  <c r="D50" i="123"/>
  <c r="D48" i="123"/>
  <c r="D47" i="123"/>
  <c r="D46" i="123"/>
  <c r="D44" i="123"/>
  <c r="D33" i="123"/>
  <c r="D38" i="123"/>
  <c r="D24" i="123"/>
  <c r="D21" i="123"/>
  <c r="D20" i="123"/>
  <c r="D19" i="123"/>
  <c r="D17" i="123"/>
  <c r="D9" i="123"/>
  <c r="D5" i="123"/>
  <c r="AM75" i="123" l="1"/>
  <c r="AM80" i="123" s="1"/>
  <c r="AS130" i="123"/>
  <c r="AS136" i="123" s="1"/>
  <c r="U130" i="123"/>
  <c r="U136" i="123" s="1"/>
  <c r="Y75" i="123"/>
  <c r="Y80" i="123" s="1"/>
  <c r="T75" i="123"/>
  <c r="T80" i="123" s="1"/>
  <c r="AU40" i="123"/>
  <c r="AG130" i="123"/>
  <c r="AG136" i="123" s="1"/>
  <c r="I130" i="123"/>
  <c r="I136" i="123" s="1"/>
  <c r="K130" i="123"/>
  <c r="K136" i="123" s="1"/>
  <c r="AA130" i="123"/>
  <c r="AA136" i="123" s="1"/>
  <c r="AA75" i="123"/>
  <c r="AA80" i="123" s="1"/>
  <c r="AF130" i="123"/>
  <c r="AF136" i="123" s="1"/>
  <c r="W130" i="123"/>
  <c r="W136" i="123" s="1"/>
  <c r="AU110" i="123"/>
  <c r="AU94" i="123"/>
  <c r="X75" i="123"/>
  <c r="X80" i="123" s="1"/>
  <c r="AU23" i="123"/>
  <c r="P75" i="123"/>
  <c r="P80" i="123" s="1"/>
  <c r="AK75" i="123"/>
  <c r="AK80" i="123" s="1"/>
  <c r="AU61" i="123"/>
  <c r="AN75" i="123"/>
  <c r="AN80" i="123" s="1"/>
  <c r="L75" i="123"/>
  <c r="L80" i="123" s="1"/>
  <c r="P130" i="123"/>
  <c r="P136" i="123" s="1"/>
  <c r="H130" i="123"/>
  <c r="H136" i="123" s="1"/>
  <c r="AP130" i="123"/>
  <c r="AP136" i="123" s="1"/>
  <c r="Z130" i="123"/>
  <c r="Z136" i="123" s="1"/>
  <c r="J130" i="123"/>
  <c r="J136" i="123" s="1"/>
  <c r="AK130" i="123"/>
  <c r="AK136" i="123" s="1"/>
  <c r="AC130" i="123"/>
  <c r="AC136" i="123" s="1"/>
  <c r="M130" i="123"/>
  <c r="M136" i="123" s="1"/>
  <c r="V75" i="123"/>
  <c r="V80" i="123" s="1"/>
  <c r="AP75" i="123"/>
  <c r="AP80" i="123" s="1"/>
  <c r="Z75" i="123"/>
  <c r="Z80" i="123" s="1"/>
  <c r="J75" i="123"/>
  <c r="J80" i="123" s="1"/>
  <c r="W75" i="123"/>
  <c r="W80" i="123" s="1"/>
  <c r="T130" i="123"/>
  <c r="T136" i="123" s="1"/>
  <c r="AR75" i="123"/>
  <c r="AR80" i="123" s="1"/>
  <c r="AF75" i="123"/>
  <c r="AF80" i="123" s="1"/>
  <c r="U75" i="123"/>
  <c r="U80" i="123" s="1"/>
  <c r="AQ130" i="123"/>
  <c r="AQ136" i="123" s="1"/>
  <c r="O130" i="123"/>
  <c r="O136" i="123" s="1"/>
  <c r="AJ75" i="123"/>
  <c r="AJ80" i="123" s="1"/>
  <c r="AJ130" i="123"/>
  <c r="AJ136" i="123" s="1"/>
  <c r="AO75" i="123"/>
  <c r="AO80" i="123" s="1"/>
  <c r="I75" i="123"/>
  <c r="I80" i="123" s="1"/>
  <c r="R75" i="123"/>
  <c r="R80" i="123" s="1"/>
  <c r="AM130" i="123"/>
  <c r="AM136" i="123" s="1"/>
  <c r="H75" i="123"/>
  <c r="H80" i="123" s="1"/>
  <c r="O75" i="123"/>
  <c r="O80" i="123" s="1"/>
  <c r="Q75" i="123"/>
  <c r="Q80" i="123" s="1"/>
  <c r="AQ75" i="123"/>
  <c r="AQ80" i="123" s="1"/>
  <c r="S130" i="123"/>
  <c r="S136" i="123" s="1"/>
  <c r="AO130" i="123"/>
  <c r="AO136" i="123" s="1"/>
  <c r="AN130" i="123"/>
  <c r="AN136" i="123" s="1"/>
  <c r="X130" i="123"/>
  <c r="X136" i="123" s="1"/>
  <c r="AS75" i="123"/>
  <c r="AS80" i="123" s="1"/>
  <c r="M75" i="123"/>
  <c r="M80" i="123" s="1"/>
  <c r="AG75" i="123"/>
  <c r="AG80" i="123" s="1"/>
  <c r="AH75" i="123"/>
  <c r="AH80" i="123" s="1"/>
  <c r="AI130" i="123"/>
  <c r="AI136" i="123" s="1"/>
  <c r="AH130" i="123"/>
  <c r="AH136" i="123" s="1"/>
  <c r="AT75" i="123"/>
  <c r="AT80" i="123" s="1"/>
  <c r="AD75" i="123"/>
  <c r="AD80" i="123" s="1"/>
  <c r="N75" i="123"/>
  <c r="N80" i="123" s="1"/>
  <c r="AI75" i="123"/>
  <c r="AI80" i="123" s="1"/>
  <c r="AC75" i="123"/>
  <c r="AC80" i="123" s="1"/>
  <c r="AE130" i="123"/>
  <c r="AE136" i="123" s="1"/>
  <c r="S75" i="123"/>
  <c r="S80" i="123" s="1"/>
  <c r="AB75" i="123"/>
  <c r="AB80" i="123" s="1"/>
  <c r="R130" i="123"/>
  <c r="R136" i="123" s="1"/>
  <c r="AT130" i="123"/>
  <c r="AT136" i="123" s="1"/>
  <c r="AD130" i="123"/>
  <c r="AD136" i="123" s="1"/>
  <c r="N130" i="123"/>
  <c r="N136" i="123" s="1"/>
  <c r="I26" i="92"/>
  <c r="AU130" i="123" l="1"/>
  <c r="AU136" i="123" s="1"/>
  <c r="AU75" i="123"/>
  <c r="AU80" i="123" s="1"/>
  <c r="F56" i="123"/>
  <c r="D4" i="95"/>
  <c r="F4" i="95" s="1"/>
  <c r="D3" i="95"/>
  <c r="F3" i="95" s="1"/>
  <c r="F31" i="95" l="1"/>
  <c r="F48" i="97"/>
  <c r="F34" i="97"/>
  <c r="F17" i="97"/>
  <c r="F16" i="97"/>
  <c r="F5" i="97"/>
  <c r="F13" i="91"/>
  <c r="E29" i="91"/>
  <c r="C29" i="91"/>
  <c r="I23" i="134" l="1"/>
  <c r="I22" i="134"/>
  <c r="I21" i="134"/>
  <c r="I19" i="134"/>
  <c r="I17" i="134"/>
  <c r="I16" i="134"/>
  <c r="I15" i="134"/>
  <c r="I14" i="134"/>
  <c r="H14" i="134"/>
  <c r="I13" i="134"/>
  <c r="I11" i="134"/>
  <c r="I10" i="134"/>
  <c r="I9" i="134"/>
  <c r="I8" i="134"/>
  <c r="I7" i="134"/>
  <c r="H7" i="134"/>
  <c r="G22" i="134"/>
  <c r="G23" i="134"/>
  <c r="G21" i="134"/>
  <c r="G19" i="134"/>
  <c r="G15" i="134"/>
  <c r="G16" i="134"/>
  <c r="G17" i="134"/>
  <c r="G14" i="134"/>
  <c r="G13" i="134"/>
  <c r="G11" i="134"/>
  <c r="G10" i="134"/>
  <c r="G9" i="134"/>
  <c r="D65" i="132"/>
  <c r="D64" i="132"/>
  <c r="G7" i="134"/>
  <c r="D78" i="132"/>
  <c r="H9" i="134" l="1"/>
  <c r="H22" i="134"/>
  <c r="H8" i="134"/>
  <c r="I18" i="134"/>
  <c r="G18" i="134"/>
  <c r="D66" i="132"/>
  <c r="G8" i="134"/>
  <c r="E23" i="134"/>
  <c r="E22" i="134"/>
  <c r="E21" i="134"/>
  <c r="E17" i="134"/>
  <c r="E16" i="134"/>
  <c r="E15" i="134"/>
  <c r="H10" i="134" l="1"/>
  <c r="M16" i="134"/>
  <c r="M21" i="134"/>
  <c r="M23" i="134"/>
  <c r="M15" i="134"/>
  <c r="M17" i="134"/>
  <c r="M22" i="134"/>
  <c r="E69" i="132"/>
  <c r="D5" i="95"/>
  <c r="F5" i="95" s="1"/>
  <c r="C23" i="134"/>
  <c r="K23" i="134" s="1"/>
  <c r="C22" i="134"/>
  <c r="K22" i="134" s="1"/>
  <c r="C21" i="134"/>
  <c r="K21" i="134" s="1"/>
  <c r="C17" i="134"/>
  <c r="K17" i="134" s="1"/>
  <c r="C16" i="134"/>
  <c r="K16" i="134" s="1"/>
  <c r="C15" i="134"/>
  <c r="K15" i="134" s="1"/>
  <c r="H16" i="128" l="1"/>
  <c r="H22" i="139"/>
  <c r="H33" i="128"/>
  <c r="H26" i="139"/>
  <c r="H15" i="128"/>
  <c r="H21" i="139"/>
  <c r="H17" i="128"/>
  <c r="H23" i="139"/>
  <c r="H25" i="139"/>
  <c r="H32" i="128"/>
  <c r="H34" i="128"/>
  <c r="H27" i="139"/>
  <c r="C69" i="132"/>
  <c r="H24" i="139" l="1"/>
  <c r="H19" i="128"/>
  <c r="E55" i="92"/>
  <c r="I55" i="92"/>
  <c r="E53" i="92"/>
  <c r="I53" i="92"/>
  <c r="E54" i="92"/>
  <c r="I54" i="92"/>
  <c r="C53" i="92"/>
  <c r="G53" i="92"/>
  <c r="C54" i="92"/>
  <c r="G54" i="92"/>
  <c r="C55" i="92"/>
  <c r="G55" i="92"/>
  <c r="I52" i="92"/>
  <c r="E52" i="92"/>
  <c r="G52" i="92"/>
  <c r="C52" i="92"/>
  <c r="E49" i="92"/>
  <c r="I49" i="92"/>
  <c r="C49" i="92"/>
  <c r="G49" i="92"/>
  <c r="I48" i="92"/>
  <c r="E48" i="92"/>
  <c r="G48" i="92"/>
  <c r="C48" i="92"/>
  <c r="E46" i="92"/>
  <c r="I46" i="92"/>
  <c r="C46" i="92"/>
  <c r="G46" i="92"/>
  <c r="I45" i="92"/>
  <c r="E45" i="92"/>
  <c r="G45" i="92"/>
  <c r="C45" i="92"/>
  <c r="I43" i="92"/>
  <c r="E43" i="92"/>
  <c r="G43" i="92"/>
  <c r="C43" i="92"/>
  <c r="I42" i="92"/>
  <c r="E42" i="92"/>
  <c r="G42" i="92"/>
  <c r="C42" i="92"/>
  <c r="I40" i="92"/>
  <c r="E40" i="92"/>
  <c r="I39" i="92"/>
  <c r="E39" i="92"/>
  <c r="I38" i="92"/>
  <c r="E38" i="92"/>
  <c r="I37" i="92"/>
  <c r="E37" i="92"/>
  <c r="I36" i="92"/>
  <c r="E36" i="92"/>
  <c r="I35" i="92"/>
  <c r="E35" i="92"/>
  <c r="I34" i="92"/>
  <c r="E34" i="92"/>
  <c r="I33" i="92"/>
  <c r="E33" i="92"/>
  <c r="I32" i="92"/>
  <c r="E32" i="92"/>
  <c r="G40" i="92"/>
  <c r="G39" i="92"/>
  <c r="G38" i="92"/>
  <c r="G37" i="92"/>
  <c r="G36" i="92"/>
  <c r="G35" i="92"/>
  <c r="G34" i="92"/>
  <c r="G33" i="92"/>
  <c r="G32" i="92"/>
  <c r="C40" i="92"/>
  <c r="C39" i="92"/>
  <c r="C38" i="92"/>
  <c r="C37" i="92"/>
  <c r="C36" i="92"/>
  <c r="C35" i="92"/>
  <c r="C34" i="92"/>
  <c r="C33" i="92"/>
  <c r="I30" i="92"/>
  <c r="I29" i="92"/>
  <c r="E30" i="92"/>
  <c r="M30" i="92" s="1"/>
  <c r="E29" i="92"/>
  <c r="M29" i="92" s="1"/>
  <c r="G30" i="92"/>
  <c r="G29" i="92"/>
  <c r="C30" i="92"/>
  <c r="K30" i="92" s="1"/>
  <c r="C29" i="92"/>
  <c r="K29" i="92" s="1"/>
  <c r="I28" i="92"/>
  <c r="E28" i="92"/>
  <c r="G28" i="92"/>
  <c r="C28" i="92"/>
  <c r="I27" i="92"/>
  <c r="E27" i="92"/>
  <c r="G27" i="92"/>
  <c r="C27" i="92"/>
  <c r="E26" i="92"/>
  <c r="M26" i="92" s="1"/>
  <c r="G26" i="92"/>
  <c r="C26" i="92"/>
  <c r="I25" i="92"/>
  <c r="E25" i="92"/>
  <c r="G25" i="92"/>
  <c r="C25" i="92"/>
  <c r="I24" i="92"/>
  <c r="E24" i="92"/>
  <c r="G24" i="92"/>
  <c r="C24" i="92"/>
  <c r="I23" i="92"/>
  <c r="G23" i="92"/>
  <c r="E23" i="92"/>
  <c r="C23" i="92"/>
  <c r="K23" i="92" s="1"/>
  <c r="I22" i="92"/>
  <c r="G22" i="92"/>
  <c r="E110" i="132"/>
  <c r="C110" i="132"/>
  <c r="D109" i="132"/>
  <c r="D108" i="132"/>
  <c r="D107" i="132"/>
  <c r="E106" i="132"/>
  <c r="C106" i="132"/>
  <c r="D105" i="132"/>
  <c r="D104" i="132"/>
  <c r="D103" i="132"/>
  <c r="E102" i="132"/>
  <c r="C102" i="132"/>
  <c r="D101" i="132"/>
  <c r="D100" i="132"/>
  <c r="D99" i="132"/>
  <c r="E22" i="92"/>
  <c r="C22" i="92"/>
  <c r="I18" i="92"/>
  <c r="H18" i="92"/>
  <c r="I19" i="92"/>
  <c r="H19" i="92"/>
  <c r="C19" i="92"/>
  <c r="G18" i="92"/>
  <c r="C18" i="92"/>
  <c r="K18" i="92" s="1"/>
  <c r="I15" i="92"/>
  <c r="I14" i="92"/>
  <c r="I13" i="92"/>
  <c r="I12" i="92"/>
  <c r="I11" i="92"/>
  <c r="H15" i="92"/>
  <c r="H14" i="92"/>
  <c r="H13" i="92"/>
  <c r="H12" i="92"/>
  <c r="G15" i="92"/>
  <c r="G14" i="92"/>
  <c r="G13" i="92"/>
  <c r="G12" i="92"/>
  <c r="G11" i="92"/>
  <c r="E15" i="92"/>
  <c r="E14" i="92"/>
  <c r="M14" i="92" s="1"/>
  <c r="E13" i="92"/>
  <c r="M13" i="92" s="1"/>
  <c r="E12" i="92"/>
  <c r="E11" i="92"/>
  <c r="M11" i="92" s="1"/>
  <c r="C12" i="92"/>
  <c r="C13" i="92"/>
  <c r="C14" i="92"/>
  <c r="C15" i="92"/>
  <c r="C11" i="92"/>
  <c r="K11" i="92" s="1"/>
  <c r="E93" i="132"/>
  <c r="C93" i="132"/>
  <c r="I9" i="92"/>
  <c r="I8" i="92"/>
  <c r="I7" i="92"/>
  <c r="I6" i="92"/>
  <c r="I5" i="92"/>
  <c r="I4" i="92"/>
  <c r="G9" i="92"/>
  <c r="G8" i="92"/>
  <c r="G7" i="92"/>
  <c r="G6" i="92"/>
  <c r="G5" i="92"/>
  <c r="G4" i="92"/>
  <c r="D15" i="139"/>
  <c r="E21" i="97"/>
  <c r="C21" i="97"/>
  <c r="D33" i="97"/>
  <c r="E32" i="97"/>
  <c r="C32" i="97"/>
  <c r="F31" i="97"/>
  <c r="F19" i="97"/>
  <c r="E136" i="132"/>
  <c r="C136" i="132"/>
  <c r="D133" i="132"/>
  <c r="E121" i="132"/>
  <c r="C121" i="132"/>
  <c r="D120" i="132"/>
  <c r="D70" i="132"/>
  <c r="E61" i="132"/>
  <c r="E55" i="132"/>
  <c r="D50" i="132"/>
  <c r="F50" i="132" s="1"/>
  <c r="D60" i="132"/>
  <c r="F60" i="132" s="1"/>
  <c r="D49" i="132"/>
  <c r="F49" i="132" s="1"/>
  <c r="E39" i="132"/>
  <c r="D33" i="132"/>
  <c r="D34" i="132"/>
  <c r="F34" i="132" s="1"/>
  <c r="D35" i="132"/>
  <c r="D36" i="132"/>
  <c r="D37" i="132"/>
  <c r="F37" i="132" s="1"/>
  <c r="D38" i="132"/>
  <c r="F38" i="132" s="1"/>
  <c r="E32" i="132"/>
  <c r="E27" i="132"/>
  <c r="F22" i="132"/>
  <c r="D23" i="132"/>
  <c r="M15" i="92" l="1"/>
  <c r="L18" i="92"/>
  <c r="M23" i="92"/>
  <c r="M12" i="92"/>
  <c r="K15" i="92"/>
  <c r="K13" i="92"/>
  <c r="K22" i="92"/>
  <c r="K27" i="92"/>
  <c r="M27" i="92"/>
  <c r="K28" i="92"/>
  <c r="M28" i="92"/>
  <c r="K33" i="92"/>
  <c r="K35" i="92"/>
  <c r="K37" i="92"/>
  <c r="K39" i="92"/>
  <c r="K46" i="92"/>
  <c r="M46" i="92"/>
  <c r="K49" i="92"/>
  <c r="M49" i="92"/>
  <c r="K55" i="92"/>
  <c r="K54" i="92"/>
  <c r="K53" i="92"/>
  <c r="M54" i="92"/>
  <c r="M53" i="92"/>
  <c r="M55" i="92"/>
  <c r="K14" i="92"/>
  <c r="K12" i="92"/>
  <c r="L19" i="92"/>
  <c r="M22" i="92"/>
  <c r="K24" i="92"/>
  <c r="M24" i="92"/>
  <c r="K25" i="92"/>
  <c r="M25" i="92"/>
  <c r="K26" i="92"/>
  <c r="K34" i="92"/>
  <c r="K36" i="92"/>
  <c r="K38" i="92"/>
  <c r="K40" i="92"/>
  <c r="M32" i="92"/>
  <c r="M33" i="92"/>
  <c r="M34" i="92"/>
  <c r="M35" i="92"/>
  <c r="M36" i="92"/>
  <c r="M37" i="92"/>
  <c r="M38" i="92"/>
  <c r="M39" i="92"/>
  <c r="M40" i="92"/>
  <c r="K42" i="92"/>
  <c r="M42" i="92"/>
  <c r="K43" i="92"/>
  <c r="M43" i="92"/>
  <c r="K45" i="92"/>
  <c r="M45" i="92"/>
  <c r="K48" i="92"/>
  <c r="M48" i="92"/>
  <c r="K52" i="92"/>
  <c r="M52" i="92"/>
  <c r="C111" i="132"/>
  <c r="I5" i="134"/>
  <c r="H13" i="134"/>
  <c r="J13" i="134" s="1"/>
  <c r="F70" i="132"/>
  <c r="H53" i="92"/>
  <c r="J53" i="92" s="1"/>
  <c r="F133" i="132"/>
  <c r="H23" i="92"/>
  <c r="H25" i="92"/>
  <c r="H27" i="92"/>
  <c r="H29" i="92"/>
  <c r="H40" i="92"/>
  <c r="H54" i="92"/>
  <c r="J54" i="92" s="1"/>
  <c r="F134" i="132"/>
  <c r="H22" i="92"/>
  <c r="H24" i="92"/>
  <c r="H26" i="92"/>
  <c r="H28" i="92"/>
  <c r="H30" i="92"/>
  <c r="D21" i="97"/>
  <c r="F21" i="97" s="1"/>
  <c r="E111" i="132"/>
  <c r="D102" i="132"/>
  <c r="D106" i="132"/>
  <c r="D110" i="132"/>
  <c r="E40" i="132"/>
  <c r="D39" i="132"/>
  <c r="F39" i="132" s="1"/>
  <c r="D24" i="132"/>
  <c r="D25" i="132"/>
  <c r="D26" i="132"/>
  <c r="F26" i="132" s="1"/>
  <c r="D111" i="132" l="1"/>
  <c r="D27" i="132"/>
  <c r="H5" i="134" l="1"/>
  <c r="J5" i="134" s="1"/>
  <c r="F27" i="132"/>
  <c r="E20" i="132"/>
  <c r="C20" i="132"/>
  <c r="E16" i="132"/>
  <c r="C16" i="132"/>
  <c r="F15" i="132"/>
  <c r="D3" i="132"/>
  <c r="D135" i="132"/>
  <c r="D132" i="132"/>
  <c r="D129" i="132"/>
  <c r="D128" i="132"/>
  <c r="D126" i="132"/>
  <c r="D125" i="132"/>
  <c r="D123" i="132"/>
  <c r="D122" i="132"/>
  <c r="D119" i="132"/>
  <c r="D118" i="132"/>
  <c r="D117" i="132"/>
  <c r="D116" i="132"/>
  <c r="D115" i="132"/>
  <c r="D114" i="132"/>
  <c r="D113" i="132"/>
  <c r="D112" i="132"/>
  <c r="D96" i="132"/>
  <c r="D88" i="132"/>
  <c r="D86" i="132"/>
  <c r="D85" i="132"/>
  <c r="D84" i="132"/>
  <c r="D83" i="132"/>
  <c r="D82" i="132"/>
  <c r="D81" i="132"/>
  <c r="D79" i="132"/>
  <c r="D77" i="132"/>
  <c r="D74" i="132"/>
  <c r="D73" i="132"/>
  <c r="D72" i="132"/>
  <c r="D68" i="132"/>
  <c r="D67" i="132"/>
  <c r="D59" i="132"/>
  <c r="D58" i="132"/>
  <c r="D57" i="132"/>
  <c r="D56" i="132"/>
  <c r="F56" i="132" s="1"/>
  <c r="D54" i="132"/>
  <c r="D53" i="132"/>
  <c r="D52" i="132"/>
  <c r="F52" i="132" s="1"/>
  <c r="D48" i="132"/>
  <c r="D47" i="132"/>
  <c r="F47" i="132" s="1"/>
  <c r="D46" i="132"/>
  <c r="D45" i="132"/>
  <c r="F45" i="132" s="1"/>
  <c r="D44" i="132"/>
  <c r="F44" i="132" s="1"/>
  <c r="D42" i="132"/>
  <c r="F42" i="132" s="1"/>
  <c r="D41" i="132"/>
  <c r="D31" i="132"/>
  <c r="F31" i="132" s="1"/>
  <c r="D30" i="132"/>
  <c r="F30" i="132" s="1"/>
  <c r="D29" i="132"/>
  <c r="F29" i="132" s="1"/>
  <c r="D28" i="132"/>
  <c r="F28" i="132" s="1"/>
  <c r="D19" i="132"/>
  <c r="D18" i="132"/>
  <c r="F18" i="132" s="1"/>
  <c r="D17" i="132"/>
  <c r="D14" i="132"/>
  <c r="D13" i="132"/>
  <c r="F13" i="132" s="1"/>
  <c r="D12" i="132"/>
  <c r="D11" i="132"/>
  <c r="D10" i="132"/>
  <c r="F10" i="132" s="1"/>
  <c r="D9" i="132"/>
  <c r="F9" i="132" s="1"/>
  <c r="D8" i="132"/>
  <c r="F8" i="132" s="1"/>
  <c r="D7" i="132"/>
  <c r="D6" i="132"/>
  <c r="D5" i="132"/>
  <c r="F5" i="132" s="1"/>
  <c r="D4" i="132"/>
  <c r="F3" i="132" l="1"/>
  <c r="H11" i="134"/>
  <c r="H15" i="134"/>
  <c r="H17" i="134"/>
  <c r="H23" i="134"/>
  <c r="H5" i="92"/>
  <c r="H7" i="92"/>
  <c r="H9" i="92"/>
  <c r="H33" i="92"/>
  <c r="H35" i="92"/>
  <c r="H37" i="92"/>
  <c r="H39" i="92"/>
  <c r="H43" i="92"/>
  <c r="H46" i="92"/>
  <c r="H49" i="92"/>
  <c r="H55" i="92"/>
  <c r="H19" i="134"/>
  <c r="H16" i="134"/>
  <c r="H21" i="134"/>
  <c r="H4" i="92"/>
  <c r="H6" i="92"/>
  <c r="H8" i="92"/>
  <c r="H32" i="92"/>
  <c r="H34" i="92"/>
  <c r="H36" i="92"/>
  <c r="J36" i="92" s="1"/>
  <c r="F116" i="132"/>
  <c r="H38" i="92"/>
  <c r="H42" i="92"/>
  <c r="H45" i="92"/>
  <c r="H48" i="92"/>
  <c r="H52" i="92"/>
  <c r="D69" i="132"/>
  <c r="D121" i="132"/>
  <c r="F121" i="132" s="1"/>
  <c r="D93" i="132"/>
  <c r="H11" i="92"/>
  <c r="D136" i="132"/>
  <c r="F136" i="132" s="1"/>
  <c r="C21" i="132"/>
  <c r="G4" i="134" s="1"/>
  <c r="E21" i="132"/>
  <c r="D16" i="132"/>
  <c r="F16" i="132" s="1"/>
  <c r="D32" i="132"/>
  <c r="D61" i="132"/>
  <c r="F61" i="132" s="1"/>
  <c r="D20" i="132"/>
  <c r="F20" i="132" s="1"/>
  <c r="D55" i="132"/>
  <c r="F55" i="132" s="1"/>
  <c r="C32" i="132"/>
  <c r="C39" i="132"/>
  <c r="D132" i="123"/>
  <c r="D133" i="123"/>
  <c r="D134" i="123"/>
  <c r="D131" i="123"/>
  <c r="E135" i="123"/>
  <c r="C135" i="123"/>
  <c r="E129" i="123"/>
  <c r="D128" i="123"/>
  <c r="D127" i="123"/>
  <c r="C129" i="123"/>
  <c r="D125" i="123"/>
  <c r="E126" i="123"/>
  <c r="D124" i="123"/>
  <c r="C126" i="123"/>
  <c r="D122" i="123"/>
  <c r="D121" i="123"/>
  <c r="E123" i="123"/>
  <c r="C123" i="123"/>
  <c r="E120" i="123"/>
  <c r="C120" i="123"/>
  <c r="D113" i="123"/>
  <c r="D114" i="123"/>
  <c r="D115" i="123"/>
  <c r="D117" i="123"/>
  <c r="D118" i="123"/>
  <c r="D111" i="123"/>
  <c r="C109" i="123"/>
  <c r="D108" i="123"/>
  <c r="E105" i="123"/>
  <c r="C105" i="123"/>
  <c r="E101" i="123"/>
  <c r="C101" i="123"/>
  <c r="D100" i="123"/>
  <c r="D102" i="123"/>
  <c r="D99" i="123"/>
  <c r="D104" i="123"/>
  <c r="D103" i="123"/>
  <c r="D106" i="123"/>
  <c r="D107" i="123"/>
  <c r="D98" i="123"/>
  <c r="D95" i="123"/>
  <c r="E97" i="123"/>
  <c r="C97" i="123"/>
  <c r="E93" i="123"/>
  <c r="C93" i="123"/>
  <c r="D90" i="123"/>
  <c r="D89" i="123"/>
  <c r="D91" i="123"/>
  <c r="D92" i="123"/>
  <c r="D88" i="123"/>
  <c r="D85" i="123"/>
  <c r="E8" i="92"/>
  <c r="M8" i="92" s="1"/>
  <c r="D86" i="123"/>
  <c r="E9" i="92"/>
  <c r="M9" i="92" s="1"/>
  <c r="C86" i="123"/>
  <c r="C9" i="92" s="1"/>
  <c r="K9" i="92" s="1"/>
  <c r="C85" i="123"/>
  <c r="C8" i="92" s="1"/>
  <c r="K8" i="92" s="1"/>
  <c r="C83" i="123"/>
  <c r="C6" i="92" s="1"/>
  <c r="K6" i="92" s="1"/>
  <c r="C82" i="123"/>
  <c r="C5" i="92" s="1"/>
  <c r="K5" i="92" s="1"/>
  <c r="C81" i="123"/>
  <c r="C4" i="92" s="1"/>
  <c r="K4" i="92" s="1"/>
  <c r="F30" i="91"/>
  <c r="D26" i="91"/>
  <c r="D83" i="123" s="1"/>
  <c r="D23" i="91"/>
  <c r="D76" i="123"/>
  <c r="E79" i="123"/>
  <c r="C79" i="123"/>
  <c r="D72" i="123"/>
  <c r="D73" i="123"/>
  <c r="D71" i="123"/>
  <c r="E74" i="123"/>
  <c r="C74" i="123"/>
  <c r="D65" i="123"/>
  <c r="E10" i="134"/>
  <c r="C65" i="123"/>
  <c r="C10" i="134" s="1"/>
  <c r="K10" i="134" s="1"/>
  <c r="C63" i="123"/>
  <c r="C8" i="134" s="1"/>
  <c r="K8" i="134" s="1"/>
  <c r="E60" i="123"/>
  <c r="C60" i="123"/>
  <c r="D57" i="123"/>
  <c r="D58" i="123"/>
  <c r="D53" i="123"/>
  <c r="D52" i="123"/>
  <c r="E54" i="123"/>
  <c r="C54" i="123"/>
  <c r="D49" i="123"/>
  <c r="E51" i="123"/>
  <c r="C51" i="123"/>
  <c r="D45" i="123"/>
  <c r="D42" i="123"/>
  <c r="D41" i="123"/>
  <c r="E43" i="123"/>
  <c r="C43" i="123"/>
  <c r="E39" i="123"/>
  <c r="D34" i="123"/>
  <c r="D35" i="123"/>
  <c r="D36" i="123"/>
  <c r="D37" i="123"/>
  <c r="C39" i="123"/>
  <c r="D30" i="123"/>
  <c r="D31" i="123"/>
  <c r="D29" i="123"/>
  <c r="E32" i="123"/>
  <c r="C32" i="123"/>
  <c r="D25" i="123"/>
  <c r="D26" i="123"/>
  <c r="D27" i="123"/>
  <c r="E28" i="123"/>
  <c r="C28" i="123"/>
  <c r="C5" i="134" s="1"/>
  <c r="E22" i="123"/>
  <c r="C22" i="123"/>
  <c r="D6" i="123"/>
  <c r="D16" i="123"/>
  <c r="D15" i="123"/>
  <c r="D14" i="123"/>
  <c r="D13" i="123"/>
  <c r="D12" i="123"/>
  <c r="D11" i="123"/>
  <c r="D10" i="123"/>
  <c r="D8" i="123"/>
  <c r="D7" i="123"/>
  <c r="E18" i="123"/>
  <c r="C18" i="123"/>
  <c r="D26" i="94"/>
  <c r="D23" i="94"/>
  <c r="F23" i="94" s="1"/>
  <c r="D24" i="94"/>
  <c r="F24" i="94" s="1"/>
  <c r="D25" i="94"/>
  <c r="F25" i="94" s="1"/>
  <c r="D22" i="94"/>
  <c r="F22" i="94" s="1"/>
  <c r="D16" i="94"/>
  <c r="D17" i="94"/>
  <c r="D18" i="94"/>
  <c r="D19" i="94"/>
  <c r="F19" i="94" s="1"/>
  <c r="D20" i="94"/>
  <c r="D15" i="94"/>
  <c r="E21" i="94"/>
  <c r="C21" i="94"/>
  <c r="C27" i="94"/>
  <c r="E33" i="95"/>
  <c r="E30" i="95"/>
  <c r="D33" i="95"/>
  <c r="C33" i="95"/>
  <c r="D30" i="95"/>
  <c r="D36" i="95" s="1"/>
  <c r="D67" i="123" s="1"/>
  <c r="E29" i="95"/>
  <c r="D25" i="95"/>
  <c r="F25" i="95" s="1"/>
  <c r="D28" i="95"/>
  <c r="F28" i="95" s="1"/>
  <c r="D27" i="95"/>
  <c r="F27" i="95" s="1"/>
  <c r="D26" i="95"/>
  <c r="F26" i="95" s="1"/>
  <c r="D24" i="95"/>
  <c r="F24" i="95" s="1"/>
  <c r="D23" i="95"/>
  <c r="D22" i="95"/>
  <c r="F22" i="95" s="1"/>
  <c r="D21" i="95"/>
  <c r="F21" i="95" s="1"/>
  <c r="D20" i="95"/>
  <c r="F20" i="95" s="1"/>
  <c r="D19" i="95"/>
  <c r="F18" i="95"/>
  <c r="D17" i="95"/>
  <c r="F16" i="95"/>
  <c r="D15" i="95"/>
  <c r="F15" i="95" s="1"/>
  <c r="D14" i="95"/>
  <c r="F14" i="95" s="1"/>
  <c r="D13" i="95"/>
  <c r="C29" i="95"/>
  <c r="C66" i="123" s="1"/>
  <c r="C11" i="134" s="1"/>
  <c r="K11" i="134" s="1"/>
  <c r="C30" i="95"/>
  <c r="E8" i="95"/>
  <c r="E27" i="94" l="1"/>
  <c r="E110" i="123"/>
  <c r="F23" i="91"/>
  <c r="F26" i="91"/>
  <c r="D29" i="91"/>
  <c r="F29" i="91" s="1"/>
  <c r="D82" i="123"/>
  <c r="D9" i="92"/>
  <c r="D19" i="134"/>
  <c r="L19" i="134" s="1"/>
  <c r="D10" i="134"/>
  <c r="L10" i="134" s="1"/>
  <c r="I10" i="139" s="1"/>
  <c r="D8" i="92"/>
  <c r="L8" i="92" s="1"/>
  <c r="D6" i="92"/>
  <c r="L6" i="92" s="1"/>
  <c r="D4" i="92"/>
  <c r="L4" i="92" s="1"/>
  <c r="L9" i="92"/>
  <c r="F19" i="123"/>
  <c r="F9" i="123"/>
  <c r="F11" i="123"/>
  <c r="F15" i="123"/>
  <c r="F17" i="123"/>
  <c r="F26" i="123"/>
  <c r="F24" i="123"/>
  <c r="F31" i="123"/>
  <c r="F37" i="123"/>
  <c r="F33" i="123"/>
  <c r="F41" i="123"/>
  <c r="F44" i="123"/>
  <c r="F46" i="123"/>
  <c r="F47" i="123"/>
  <c r="F50" i="123"/>
  <c r="F53" i="123"/>
  <c r="F55" i="123"/>
  <c r="F5" i="123"/>
  <c r="F12" i="123"/>
  <c r="F14" i="123"/>
  <c r="F27" i="123"/>
  <c r="F29" i="123"/>
  <c r="F30" i="123"/>
  <c r="F38" i="123"/>
  <c r="F36" i="123"/>
  <c r="F34" i="123"/>
  <c r="F42" i="123"/>
  <c r="F45" i="123"/>
  <c r="F49" i="123"/>
  <c r="F52" i="123"/>
  <c r="F59" i="123"/>
  <c r="F99" i="123"/>
  <c r="F21" i="123"/>
  <c r="F20" i="123"/>
  <c r="E8" i="134"/>
  <c r="E6" i="92"/>
  <c r="F83" i="123"/>
  <c r="E5" i="92"/>
  <c r="E4" i="92"/>
  <c r="F81" i="123"/>
  <c r="H18" i="134"/>
  <c r="J18" i="134" s="1"/>
  <c r="D40" i="132"/>
  <c r="F40" i="132" s="1"/>
  <c r="F32" i="132"/>
  <c r="I4" i="134"/>
  <c r="D17" i="134"/>
  <c r="L17" i="134" s="1"/>
  <c r="I17" i="128" s="1"/>
  <c r="D23" i="134"/>
  <c r="F23" i="134" s="1"/>
  <c r="F78" i="123"/>
  <c r="D11" i="92"/>
  <c r="L11" i="92" s="1"/>
  <c r="D14" i="92"/>
  <c r="L14" i="92" s="1"/>
  <c r="F91" i="123"/>
  <c r="D13" i="92"/>
  <c r="L13" i="92" s="1"/>
  <c r="E19" i="92"/>
  <c r="M19" i="92" s="1"/>
  <c r="D29" i="92"/>
  <c r="L29" i="92" s="1"/>
  <c r="F107" i="123"/>
  <c r="D26" i="92"/>
  <c r="L26" i="92" s="1"/>
  <c r="F103" i="123"/>
  <c r="D24" i="92"/>
  <c r="L24" i="92" s="1"/>
  <c r="F100" i="123"/>
  <c r="D30" i="92"/>
  <c r="L30" i="92" s="1"/>
  <c r="D32" i="92"/>
  <c r="L32" i="92" s="1"/>
  <c r="D39" i="92"/>
  <c r="L39" i="92" s="1"/>
  <c r="D37" i="92"/>
  <c r="L37" i="92" s="1"/>
  <c r="F116" i="123"/>
  <c r="D35" i="92"/>
  <c r="L35" i="92" s="1"/>
  <c r="D33" i="92"/>
  <c r="L33" i="92" s="1"/>
  <c r="F112" i="123"/>
  <c r="D42" i="92"/>
  <c r="L42" i="92" s="1"/>
  <c r="F121" i="123"/>
  <c r="D49" i="92"/>
  <c r="F128" i="123"/>
  <c r="D52" i="92"/>
  <c r="F131" i="123"/>
  <c r="D54" i="92"/>
  <c r="L54" i="92" s="1"/>
  <c r="E5" i="134"/>
  <c r="M5" i="134" s="1"/>
  <c r="D15" i="134"/>
  <c r="L15" i="134" s="1"/>
  <c r="D16" i="134"/>
  <c r="L16" i="134" s="1"/>
  <c r="I16" i="128" s="1"/>
  <c r="D21" i="134"/>
  <c r="F21" i="134" s="1"/>
  <c r="F76" i="123"/>
  <c r="D22" i="134"/>
  <c r="F22" i="134" s="1"/>
  <c r="F77" i="123"/>
  <c r="D15" i="92"/>
  <c r="L15" i="92" s="1"/>
  <c r="F92" i="123"/>
  <c r="D12" i="92"/>
  <c r="L12" i="92" s="1"/>
  <c r="E18" i="92"/>
  <c r="M18" i="92" s="1"/>
  <c r="D22" i="92"/>
  <c r="L22" i="92" s="1"/>
  <c r="F98" i="123"/>
  <c r="D28" i="92"/>
  <c r="L28" i="92" s="1"/>
  <c r="F106" i="123"/>
  <c r="D27" i="92"/>
  <c r="L27" i="92" s="1"/>
  <c r="F104" i="123"/>
  <c r="D25" i="92"/>
  <c r="L25" i="92" s="1"/>
  <c r="F102" i="123"/>
  <c r="D40" i="92"/>
  <c r="F119" i="123"/>
  <c r="D38" i="92"/>
  <c r="L38" i="92" s="1"/>
  <c r="D36" i="92"/>
  <c r="F115" i="123"/>
  <c r="D34" i="92"/>
  <c r="F113" i="123"/>
  <c r="D43" i="92"/>
  <c r="L43" i="92" s="1"/>
  <c r="D45" i="92"/>
  <c r="L45" i="92" s="1"/>
  <c r="D46" i="92"/>
  <c r="F125" i="123"/>
  <c r="D48" i="92"/>
  <c r="L48" i="92" s="1"/>
  <c r="D55" i="92"/>
  <c r="L55" i="92" s="1"/>
  <c r="D53" i="92"/>
  <c r="F132" i="123"/>
  <c r="F30" i="95"/>
  <c r="C36" i="95"/>
  <c r="D29" i="95"/>
  <c r="D66" i="123" s="1"/>
  <c r="F13" i="95"/>
  <c r="E36" i="95"/>
  <c r="F36" i="95" s="1"/>
  <c r="C67" i="123"/>
  <c r="C19" i="134" s="1"/>
  <c r="K19" i="134" s="1"/>
  <c r="H20" i="128" s="1"/>
  <c r="M10" i="134"/>
  <c r="M8" i="134"/>
  <c r="H10" i="139"/>
  <c r="H9" i="128"/>
  <c r="H10" i="128"/>
  <c r="H11" i="139"/>
  <c r="D101" i="123"/>
  <c r="D23" i="92"/>
  <c r="L23" i="92" s="1"/>
  <c r="H7" i="128"/>
  <c r="H8" i="139"/>
  <c r="D21" i="132"/>
  <c r="H4" i="134" s="1"/>
  <c r="D22" i="123"/>
  <c r="D123" i="123"/>
  <c r="D126" i="123"/>
  <c r="D129" i="123"/>
  <c r="C40" i="132"/>
  <c r="C110" i="123"/>
  <c r="D109" i="123"/>
  <c r="D120" i="123"/>
  <c r="D135" i="123"/>
  <c r="D97" i="123"/>
  <c r="D105" i="123"/>
  <c r="D39" i="123"/>
  <c r="D28" i="123"/>
  <c r="D51" i="123"/>
  <c r="D93" i="123"/>
  <c r="D60" i="123"/>
  <c r="C23" i="123"/>
  <c r="C4" i="134" s="1"/>
  <c r="E23" i="123"/>
  <c r="C40" i="123"/>
  <c r="D79" i="123"/>
  <c r="D74" i="123"/>
  <c r="D54" i="123"/>
  <c r="E40" i="123"/>
  <c r="D43" i="123"/>
  <c r="D32" i="123"/>
  <c r="D18" i="123"/>
  <c r="D21" i="94"/>
  <c r="F21" i="94" s="1"/>
  <c r="D27" i="94"/>
  <c r="F27" i="94" s="1"/>
  <c r="F82" i="123" l="1"/>
  <c r="D5" i="92"/>
  <c r="L5" i="92" s="1"/>
  <c r="I9" i="128"/>
  <c r="D11" i="134"/>
  <c r="L11" i="134" s="1"/>
  <c r="I10" i="128" s="1"/>
  <c r="J10" i="128" s="1"/>
  <c r="F32" i="123"/>
  <c r="F93" i="123"/>
  <c r="F51" i="123"/>
  <c r="F39" i="123"/>
  <c r="F120" i="123"/>
  <c r="F126" i="123"/>
  <c r="F22" i="123"/>
  <c r="F101" i="123"/>
  <c r="F40" i="92"/>
  <c r="L40" i="92"/>
  <c r="F52" i="92"/>
  <c r="L52" i="92"/>
  <c r="F49" i="92"/>
  <c r="L49" i="92"/>
  <c r="F4" i="92"/>
  <c r="M4" i="92"/>
  <c r="M5" i="92"/>
  <c r="F6" i="92"/>
  <c r="M6" i="92"/>
  <c r="F43" i="123"/>
  <c r="F54" i="123"/>
  <c r="F79" i="123"/>
  <c r="F60" i="123"/>
  <c r="D5" i="134"/>
  <c r="L5" i="134" s="1"/>
  <c r="N5" i="134" s="1"/>
  <c r="F105" i="123"/>
  <c r="F135" i="123"/>
  <c r="F109" i="123"/>
  <c r="F129" i="123"/>
  <c r="F123" i="123"/>
  <c r="F53" i="92"/>
  <c r="L53" i="92"/>
  <c r="F46" i="92"/>
  <c r="L46" i="92"/>
  <c r="F34" i="92"/>
  <c r="L34" i="92"/>
  <c r="F36" i="92"/>
  <c r="L36" i="92"/>
  <c r="E11" i="134"/>
  <c r="M11" i="134" s="1"/>
  <c r="F66" i="123"/>
  <c r="J4" i="134"/>
  <c r="F21" i="132"/>
  <c r="F24" i="92"/>
  <c r="F27" i="92"/>
  <c r="I23" i="139"/>
  <c r="L22" i="134"/>
  <c r="I26" i="139" s="1"/>
  <c r="J26" i="139" s="1"/>
  <c r="F29" i="92"/>
  <c r="F33" i="92"/>
  <c r="F22" i="92"/>
  <c r="L21" i="134"/>
  <c r="I32" i="128" s="1"/>
  <c r="J32" i="128" s="1"/>
  <c r="F26" i="92"/>
  <c r="F15" i="92"/>
  <c r="F42" i="92"/>
  <c r="F25" i="92"/>
  <c r="F28" i="92"/>
  <c r="F14" i="92"/>
  <c r="L23" i="134"/>
  <c r="I34" i="128" s="1"/>
  <c r="J34" i="128" s="1"/>
  <c r="F37" i="92"/>
  <c r="D23" i="123"/>
  <c r="I15" i="128"/>
  <c r="I19" i="128" s="1"/>
  <c r="I21" i="139"/>
  <c r="E4" i="134"/>
  <c r="F18" i="123"/>
  <c r="F28" i="123"/>
  <c r="F23" i="92"/>
  <c r="I22" i="139"/>
  <c r="H13" i="139"/>
  <c r="F29" i="95"/>
  <c r="I13" i="139"/>
  <c r="I20" i="128"/>
  <c r="J20" i="128" s="1"/>
  <c r="K4" i="134"/>
  <c r="H3" i="128" s="1"/>
  <c r="D110" i="123"/>
  <c r="D40" i="123"/>
  <c r="F5" i="92" l="1"/>
  <c r="I4" i="128"/>
  <c r="F11" i="134"/>
  <c r="N11" i="134"/>
  <c r="I11" i="139"/>
  <c r="J11" i="139" s="1"/>
  <c r="J13" i="139"/>
  <c r="F40" i="123"/>
  <c r="F110" i="123"/>
  <c r="I5" i="139"/>
  <c r="F5" i="134"/>
  <c r="D4" i="134"/>
  <c r="L4" i="134" s="1"/>
  <c r="I3" i="128" s="1"/>
  <c r="J3" i="128" s="1"/>
  <c r="E19" i="134"/>
  <c r="M19" i="134" s="1"/>
  <c r="N19" i="134" s="1"/>
  <c r="F67" i="123"/>
  <c r="N22" i="134"/>
  <c r="N21" i="134"/>
  <c r="I33" i="128"/>
  <c r="J33" i="128" s="1"/>
  <c r="M4" i="134"/>
  <c r="N23" i="134"/>
  <c r="I27" i="139"/>
  <c r="J27" i="139" s="1"/>
  <c r="I25" i="139"/>
  <c r="J25" i="139" s="1"/>
  <c r="I24" i="139"/>
  <c r="F23" i="123"/>
  <c r="H4" i="139"/>
  <c r="E11" i="95"/>
  <c r="C11" i="95"/>
  <c r="D10" i="95"/>
  <c r="F10" i="95" s="1"/>
  <c r="D9" i="95"/>
  <c r="F9" i="95" s="1"/>
  <c r="D8" i="95"/>
  <c r="F8" i="95" s="1"/>
  <c r="D7" i="95"/>
  <c r="F7" i="95" s="1"/>
  <c r="D6" i="95"/>
  <c r="N4" i="134" l="1"/>
  <c r="I4" i="139"/>
  <c r="J4" i="139" s="1"/>
  <c r="F4" i="134"/>
  <c r="F19" i="134"/>
  <c r="I28" i="139"/>
  <c r="D11" i="95"/>
  <c r="D64" i="123" s="1"/>
  <c r="F6" i="95"/>
  <c r="C64" i="123"/>
  <c r="C9" i="134" s="1"/>
  <c r="K9" i="134" s="1"/>
  <c r="C37" i="95"/>
  <c r="F64" i="123"/>
  <c r="E37" i="95"/>
  <c r="D63" i="123"/>
  <c r="D51" i="97"/>
  <c r="E51" i="97"/>
  <c r="C51" i="97"/>
  <c r="E47" i="97"/>
  <c r="C47" i="97"/>
  <c r="D46" i="97"/>
  <c r="E45" i="97"/>
  <c r="F40" i="97"/>
  <c r="D37" i="97"/>
  <c r="D38" i="97"/>
  <c r="F38" i="97" s="1"/>
  <c r="D39" i="97"/>
  <c r="F39" i="97" s="1"/>
  <c r="D41" i="97"/>
  <c r="F41" i="97" s="1"/>
  <c r="D42" i="97"/>
  <c r="F42" i="97" s="1"/>
  <c r="D36" i="97"/>
  <c r="F26" i="97"/>
  <c r="D23" i="97"/>
  <c r="F23" i="97" s="1"/>
  <c r="D24" i="97"/>
  <c r="F24" i="97" s="1"/>
  <c r="F25" i="97"/>
  <c r="D27" i="97"/>
  <c r="F27" i="97" s="1"/>
  <c r="D28" i="97"/>
  <c r="F28" i="97" s="1"/>
  <c r="D29" i="97"/>
  <c r="F29" i="97" s="1"/>
  <c r="D30" i="97"/>
  <c r="F30" i="97" s="1"/>
  <c r="D22" i="97"/>
  <c r="D8" i="97"/>
  <c r="F8" i="97" s="1"/>
  <c r="F36" i="97" l="1"/>
  <c r="D45" i="97"/>
  <c r="F37" i="97"/>
  <c r="F11" i="95"/>
  <c r="F63" i="123"/>
  <c r="D9" i="134"/>
  <c r="L9" i="134" s="1"/>
  <c r="I8" i="128" s="1"/>
  <c r="D37" i="95"/>
  <c r="F37" i="95" s="1"/>
  <c r="E9" i="134"/>
  <c r="E68" i="123"/>
  <c r="H8" i="128"/>
  <c r="H9" i="139"/>
  <c r="H12" i="139" s="1"/>
  <c r="D32" i="97"/>
  <c r="F32" i="97" s="1"/>
  <c r="F22" i="97"/>
  <c r="D47" i="97"/>
  <c r="F46" i="97"/>
  <c r="F47" i="97"/>
  <c r="D68" i="123"/>
  <c r="D8" i="134"/>
  <c r="C49" i="97"/>
  <c r="C70" i="123" s="1"/>
  <c r="C14" i="134" s="1"/>
  <c r="K14" i="134" s="1"/>
  <c r="E49" i="97"/>
  <c r="J8" i="128" l="1"/>
  <c r="I9" i="139"/>
  <c r="J9" i="139" s="1"/>
  <c r="F68" i="123"/>
  <c r="F9" i="134"/>
  <c r="M9" i="134"/>
  <c r="N9" i="134" s="1"/>
  <c r="D49" i="97"/>
  <c r="D70" i="123" s="1"/>
  <c r="F45" i="97"/>
  <c r="L8" i="134"/>
  <c r="I7" i="128" s="1"/>
  <c r="J7" i="128" s="1"/>
  <c r="F8" i="134"/>
  <c r="H14" i="128"/>
  <c r="H19" i="139"/>
  <c r="E18" i="97"/>
  <c r="D14" i="97"/>
  <c r="F14" i="97" s="1"/>
  <c r="D13" i="97"/>
  <c r="F13" i="97" s="1"/>
  <c r="D12" i="97"/>
  <c r="F12" i="97" s="1"/>
  <c r="D10" i="97"/>
  <c r="F10" i="97" s="1"/>
  <c r="D9" i="97"/>
  <c r="F9" i="97" s="1"/>
  <c r="D7" i="97"/>
  <c r="F7" i="97" s="1"/>
  <c r="D11" i="97"/>
  <c r="F11" i="97" s="1"/>
  <c r="C18" i="97"/>
  <c r="F49" i="97" l="1"/>
  <c r="D14" i="134"/>
  <c r="L14" i="134" s="1"/>
  <c r="E14" i="134"/>
  <c r="M14" i="134" s="1"/>
  <c r="F70" i="123"/>
  <c r="I8" i="139"/>
  <c r="J8" i="139" s="1"/>
  <c r="N8" i="134"/>
  <c r="D18" i="97"/>
  <c r="F18" i="97" s="1"/>
  <c r="E20" i="92"/>
  <c r="E16" i="92"/>
  <c r="D16" i="92"/>
  <c r="I50" i="92"/>
  <c r="I47" i="92"/>
  <c r="I44" i="92"/>
  <c r="I31" i="92"/>
  <c r="I20" i="92"/>
  <c r="I16" i="92"/>
  <c r="I10" i="92"/>
  <c r="H50" i="92"/>
  <c r="H47" i="92"/>
  <c r="H44" i="92"/>
  <c r="H31" i="92"/>
  <c r="H20" i="92"/>
  <c r="H21" i="92" s="1"/>
  <c r="H16" i="92"/>
  <c r="H10" i="92"/>
  <c r="E6" i="97"/>
  <c r="D6" i="97"/>
  <c r="L16" i="92" l="1"/>
  <c r="M20" i="92"/>
  <c r="N14" i="134"/>
  <c r="D35" i="97"/>
  <c r="D52" i="97" s="1"/>
  <c r="F14" i="134"/>
  <c r="M16" i="92"/>
  <c r="I19" i="139"/>
  <c r="J19" i="139" s="1"/>
  <c r="I14" i="128"/>
  <c r="J14" i="128" s="1"/>
  <c r="I12" i="139"/>
  <c r="J12" i="139" s="1"/>
  <c r="F16" i="92"/>
  <c r="E35" i="97"/>
  <c r="F6" i="97"/>
  <c r="I21" i="92"/>
  <c r="I17" i="92"/>
  <c r="H41" i="92"/>
  <c r="I41" i="92"/>
  <c r="E21" i="92"/>
  <c r="M21" i="92" s="1"/>
  <c r="H17" i="92"/>
  <c r="L20" i="92"/>
  <c r="E41" i="92"/>
  <c r="M41" i="92" s="1"/>
  <c r="D41" i="92"/>
  <c r="E31" i="92"/>
  <c r="M31" i="92" s="1"/>
  <c r="E44" i="92"/>
  <c r="M44" i="92" s="1"/>
  <c r="E47" i="92"/>
  <c r="M47" i="92" s="1"/>
  <c r="E50" i="92"/>
  <c r="M50" i="92" s="1"/>
  <c r="D31" i="92"/>
  <c r="L31" i="92" s="1"/>
  <c r="D44" i="92"/>
  <c r="L44" i="92" s="1"/>
  <c r="D47" i="92"/>
  <c r="L47" i="92" s="1"/>
  <c r="D50" i="92"/>
  <c r="L50" i="92" s="1"/>
  <c r="D32" i="91"/>
  <c r="E32" i="91"/>
  <c r="L41" i="92" l="1"/>
  <c r="F32" i="91"/>
  <c r="E35" i="91"/>
  <c r="D84" i="123"/>
  <c r="D35" i="91"/>
  <c r="E52" i="97"/>
  <c r="F52" i="97" s="1"/>
  <c r="F35" i="97"/>
  <c r="F50" i="92"/>
  <c r="F44" i="92"/>
  <c r="F47" i="92"/>
  <c r="F31" i="92"/>
  <c r="F41" i="92"/>
  <c r="J41" i="92"/>
  <c r="H51" i="92"/>
  <c r="H56" i="92" s="1"/>
  <c r="I51" i="92"/>
  <c r="D69" i="123"/>
  <c r="E28" i="94"/>
  <c r="D28" i="94"/>
  <c r="D62" i="123" s="1"/>
  <c r="D131" i="132"/>
  <c r="D137" i="132" s="1"/>
  <c r="E131" i="132"/>
  <c r="D51" i="132"/>
  <c r="E51" i="132"/>
  <c r="D43" i="132"/>
  <c r="E43" i="132"/>
  <c r="D61" i="123"/>
  <c r="E61" i="123"/>
  <c r="F35" i="91" l="1"/>
  <c r="D87" i="123"/>
  <c r="D94" i="123" s="1"/>
  <c r="D130" i="123" s="1"/>
  <c r="D7" i="92"/>
  <c r="E7" i="92"/>
  <c r="E87" i="123"/>
  <c r="F84" i="123"/>
  <c r="D7" i="134"/>
  <c r="L7" i="134" s="1"/>
  <c r="I7" i="139" s="1"/>
  <c r="D6" i="134"/>
  <c r="D13" i="134"/>
  <c r="D18" i="134" s="1"/>
  <c r="E13" i="134"/>
  <c r="E18" i="134" s="1"/>
  <c r="F69" i="123"/>
  <c r="F43" i="132"/>
  <c r="F51" i="132"/>
  <c r="E137" i="132"/>
  <c r="F137" i="132" s="1"/>
  <c r="F131" i="132"/>
  <c r="E6" i="134"/>
  <c r="F61" i="123"/>
  <c r="F28" i="94"/>
  <c r="J51" i="92"/>
  <c r="I56" i="92"/>
  <c r="J56" i="92" s="1"/>
  <c r="I15" i="139"/>
  <c r="I11" i="128"/>
  <c r="D75" i="123"/>
  <c r="E62" i="132"/>
  <c r="D62" i="132"/>
  <c r="H6" i="134" s="1"/>
  <c r="D21" i="92"/>
  <c r="L21" i="92" s="1"/>
  <c r="D12" i="134" l="1"/>
  <c r="I6" i="128"/>
  <c r="M7" i="92"/>
  <c r="F7" i="92"/>
  <c r="E10" i="92"/>
  <c r="L7" i="92"/>
  <c r="D10" i="92"/>
  <c r="D136" i="123"/>
  <c r="F87" i="123"/>
  <c r="E94" i="123"/>
  <c r="F6" i="134"/>
  <c r="L13" i="134"/>
  <c r="I18" i="139" s="1"/>
  <c r="F13" i="134"/>
  <c r="D80" i="123"/>
  <c r="E7" i="134"/>
  <c r="E12" i="134" s="1"/>
  <c r="F12" i="134" s="1"/>
  <c r="F62" i="123"/>
  <c r="E75" i="123"/>
  <c r="F75" i="123" s="1"/>
  <c r="M13" i="134"/>
  <c r="I6" i="134"/>
  <c r="I12" i="134" s="1"/>
  <c r="F62" i="132"/>
  <c r="F18" i="134"/>
  <c r="M18" i="134"/>
  <c r="D20" i="134"/>
  <c r="D24" i="134" s="1"/>
  <c r="L18" i="134"/>
  <c r="L6" i="134"/>
  <c r="H12" i="134"/>
  <c r="E76" i="132"/>
  <c r="D76" i="132"/>
  <c r="D80" i="132" s="1"/>
  <c r="C6" i="97"/>
  <c r="M10" i="92" l="1"/>
  <c r="F10" i="92"/>
  <c r="E17" i="92"/>
  <c r="E130" i="123"/>
  <c r="F94" i="123"/>
  <c r="L10" i="92"/>
  <c r="D17" i="92"/>
  <c r="E80" i="123"/>
  <c r="F80" i="123" s="1"/>
  <c r="N13" i="134"/>
  <c r="M6" i="134"/>
  <c r="N6" i="134" s="1"/>
  <c r="J6" i="134"/>
  <c r="I13" i="128"/>
  <c r="F7" i="134"/>
  <c r="M7" i="134"/>
  <c r="N7" i="134" s="1"/>
  <c r="E80" i="132"/>
  <c r="F80" i="132" s="1"/>
  <c r="F76" i="132"/>
  <c r="E20" i="134"/>
  <c r="F20" i="134" s="1"/>
  <c r="N18" i="134"/>
  <c r="J12" i="134"/>
  <c r="I29" i="139"/>
  <c r="I5" i="128"/>
  <c r="I6" i="139"/>
  <c r="M12" i="134"/>
  <c r="I20" i="134"/>
  <c r="L12" i="134"/>
  <c r="H20" i="134"/>
  <c r="C35" i="97"/>
  <c r="C32" i="91"/>
  <c r="G16" i="92"/>
  <c r="G10" i="92"/>
  <c r="G31" i="92"/>
  <c r="G44" i="92"/>
  <c r="G47" i="92"/>
  <c r="G50" i="92"/>
  <c r="C27" i="132"/>
  <c r="C43" i="132"/>
  <c r="C51" i="132"/>
  <c r="C61" i="132"/>
  <c r="C55" i="132"/>
  <c r="C8" i="94"/>
  <c r="C5" i="94"/>
  <c r="G27" i="134"/>
  <c r="C27" i="134"/>
  <c r="M4" i="100"/>
  <c r="K6" i="100"/>
  <c r="L6" i="100" s="1"/>
  <c r="E4" i="100"/>
  <c r="F4" i="100" s="1"/>
  <c r="E5" i="100"/>
  <c r="F5" i="100" s="1"/>
  <c r="G5" i="100" s="1"/>
  <c r="K5" i="100"/>
  <c r="M5" i="100" s="1"/>
  <c r="E6" i="100"/>
  <c r="F6" i="100" s="1"/>
  <c r="B7" i="100"/>
  <c r="H7" i="100"/>
  <c r="E9" i="100"/>
  <c r="L9" i="100"/>
  <c r="M9" i="100" s="1"/>
  <c r="E10" i="100"/>
  <c r="F10" i="100" s="1"/>
  <c r="G10" i="100" s="1"/>
  <c r="K10" i="100"/>
  <c r="L10" i="100" s="1"/>
  <c r="E11" i="100"/>
  <c r="F11" i="100" s="1"/>
  <c r="G11" i="100" s="1"/>
  <c r="K11" i="100"/>
  <c r="L11" i="100" s="1"/>
  <c r="E12" i="100"/>
  <c r="F12" i="100" s="1"/>
  <c r="G12" i="100" s="1"/>
  <c r="K12" i="100"/>
  <c r="L12" i="100" s="1"/>
  <c r="B13" i="100"/>
  <c r="H13" i="100"/>
  <c r="E15" i="100"/>
  <c r="K15" i="100"/>
  <c r="L15" i="100" s="1"/>
  <c r="B16" i="100"/>
  <c r="C16" i="100"/>
  <c r="D16" i="100"/>
  <c r="H16" i="100"/>
  <c r="I16" i="100"/>
  <c r="J16" i="100"/>
  <c r="E19" i="100"/>
  <c r="K19" i="100"/>
  <c r="E20" i="100"/>
  <c r="F20" i="100" s="1"/>
  <c r="G20" i="100" s="1"/>
  <c r="K20" i="100"/>
  <c r="B21" i="100"/>
  <c r="H21" i="100"/>
  <c r="E23" i="100"/>
  <c r="F23" i="100" s="1"/>
  <c r="K23" i="100"/>
  <c r="L23" i="100" s="1"/>
  <c r="M23" i="100" s="1"/>
  <c r="E27" i="100"/>
  <c r="F27" i="100" s="1"/>
  <c r="G27" i="100" s="1"/>
  <c r="E28" i="100"/>
  <c r="F28" i="100" s="1"/>
  <c r="K28" i="100"/>
  <c r="M28" i="100" s="1"/>
  <c r="M34" i="100" s="1"/>
  <c r="E29" i="100"/>
  <c r="F29" i="100" s="1"/>
  <c r="E30" i="100"/>
  <c r="F30" i="100" s="1"/>
  <c r="G30" i="100" s="1"/>
  <c r="E31" i="100"/>
  <c r="F31" i="100" s="1"/>
  <c r="G31" i="100" s="1"/>
  <c r="F32" i="100"/>
  <c r="G32" i="100" s="1"/>
  <c r="F33" i="100"/>
  <c r="G33" i="100" s="1"/>
  <c r="B34" i="100"/>
  <c r="H34" i="100"/>
  <c r="E36" i="100"/>
  <c r="F36" i="100" s="1"/>
  <c r="G36" i="100" s="1"/>
  <c r="M36" i="100"/>
  <c r="E37" i="100"/>
  <c r="F37" i="100" s="1"/>
  <c r="G37" i="100" s="1"/>
  <c r="E38" i="100"/>
  <c r="F38" i="100" s="1"/>
  <c r="G38" i="100" s="1"/>
  <c r="E39" i="100"/>
  <c r="F39" i="100" s="1"/>
  <c r="G39" i="100" s="1"/>
  <c r="K39" i="100"/>
  <c r="M39" i="100" s="1"/>
  <c r="E40" i="100"/>
  <c r="F40" i="100" s="1"/>
  <c r="G40" i="100" s="1"/>
  <c r="E41" i="100"/>
  <c r="F41" i="100" s="1"/>
  <c r="G41" i="100" s="1"/>
  <c r="M41" i="100"/>
  <c r="E42" i="100"/>
  <c r="F42" i="100" s="1"/>
  <c r="G42" i="100" s="1"/>
  <c r="E43" i="100"/>
  <c r="F43" i="100" s="1"/>
  <c r="G43" i="100" s="1"/>
  <c r="G44" i="100"/>
  <c r="M44" i="100"/>
  <c r="B45" i="100"/>
  <c r="H45" i="100"/>
  <c r="L45" i="100"/>
  <c r="E47" i="100"/>
  <c r="F47" i="100" s="1"/>
  <c r="G47" i="100" s="1"/>
  <c r="K47" i="100"/>
  <c r="L47" i="100" s="1"/>
  <c r="M47" i="100" s="1"/>
  <c r="B48" i="100"/>
  <c r="C48" i="100"/>
  <c r="D48" i="100"/>
  <c r="E48" i="100"/>
  <c r="I48" i="100"/>
  <c r="J48" i="100"/>
  <c r="G49" i="100"/>
  <c r="M49" i="100"/>
  <c r="G50" i="100"/>
  <c r="K50" i="100"/>
  <c r="L50" i="100" s="1"/>
  <c r="E51" i="100"/>
  <c r="F51" i="100" s="1"/>
  <c r="K51" i="100"/>
  <c r="L51" i="100" s="1"/>
  <c r="M51" i="100" s="1"/>
  <c r="E52" i="100"/>
  <c r="F52" i="100" s="1"/>
  <c r="G52" i="100" s="1"/>
  <c r="K52" i="100"/>
  <c r="L52" i="100" s="1"/>
  <c r="M52" i="100" s="1"/>
  <c r="B53" i="100"/>
  <c r="H53" i="100"/>
  <c r="E55" i="100"/>
  <c r="F55" i="100" s="1"/>
  <c r="G55" i="100" s="1"/>
  <c r="K55" i="100"/>
  <c r="L55" i="100" s="1"/>
  <c r="M55" i="100" s="1"/>
  <c r="E56" i="100"/>
  <c r="F56" i="100" s="1"/>
  <c r="G56" i="100" s="1"/>
  <c r="K56" i="100"/>
  <c r="L56" i="100" s="1"/>
  <c r="M56" i="100" s="1"/>
  <c r="C75" i="132"/>
  <c r="C87" i="132"/>
  <c r="C94" i="132" s="1"/>
  <c r="C97" i="132"/>
  <c r="C124" i="132"/>
  <c r="C127" i="132"/>
  <c r="C130" i="132"/>
  <c r="C10" i="94"/>
  <c r="C14" i="94"/>
  <c r="C15" i="139"/>
  <c r="K13" i="100"/>
  <c r="F34" i="100"/>
  <c r="F19" i="100"/>
  <c r="E21" i="100"/>
  <c r="G21" i="100" s="1"/>
  <c r="F9" i="100"/>
  <c r="E13" i="100"/>
  <c r="K48" i="100"/>
  <c r="K34" i="100"/>
  <c r="E34" i="100"/>
  <c r="G23" i="100"/>
  <c r="E7" i="100"/>
  <c r="G6" i="100"/>
  <c r="F15" i="100"/>
  <c r="F16" i="100" s="1"/>
  <c r="E16" i="100"/>
  <c r="G9" i="100"/>
  <c r="G13" i="100" s="1"/>
  <c r="G19" i="100"/>
  <c r="F21" i="100"/>
  <c r="M45" i="100"/>
  <c r="L13" i="100"/>
  <c r="K21" i="100"/>
  <c r="L16" i="100"/>
  <c r="G15" i="100" l="1"/>
  <c r="E53" i="100"/>
  <c r="M53" i="100"/>
  <c r="M12" i="100"/>
  <c r="M11" i="100"/>
  <c r="M10" i="100"/>
  <c r="K7" i="100"/>
  <c r="B24" i="100"/>
  <c r="M17" i="92"/>
  <c r="E51" i="92"/>
  <c r="F17" i="92"/>
  <c r="C35" i="91"/>
  <c r="C84" i="123"/>
  <c r="L17" i="92"/>
  <c r="D51" i="92"/>
  <c r="E136" i="123"/>
  <c r="F136" i="123" s="1"/>
  <c r="F130" i="123"/>
  <c r="E24" i="134"/>
  <c r="F24" i="134" s="1"/>
  <c r="K27" i="134"/>
  <c r="I27" i="128"/>
  <c r="I31" i="128" s="1"/>
  <c r="N12" i="134"/>
  <c r="J20" i="134"/>
  <c r="I16" i="139"/>
  <c r="H24" i="134"/>
  <c r="L20" i="134"/>
  <c r="I24" i="134"/>
  <c r="M20" i="134"/>
  <c r="G5" i="134"/>
  <c r="C98" i="132"/>
  <c r="C131" i="132" s="1"/>
  <c r="C137" i="132" s="1"/>
  <c r="G19" i="92"/>
  <c r="K19" i="92" s="1"/>
  <c r="C62" i="132"/>
  <c r="G4" i="100"/>
  <c r="G7" i="100" s="1"/>
  <c r="F7" i="100"/>
  <c r="M13" i="100"/>
  <c r="L53" i="100"/>
  <c r="F45" i="100"/>
  <c r="L48" i="100"/>
  <c r="M48" i="100" s="1"/>
  <c r="M58" i="100" s="1"/>
  <c r="G41" i="92"/>
  <c r="L20" i="100"/>
  <c r="M20" i="100"/>
  <c r="L19" i="100"/>
  <c r="L21" i="100" s="1"/>
  <c r="L24" i="100" s="1"/>
  <c r="M19" i="100"/>
  <c r="H24" i="100"/>
  <c r="E45" i="100"/>
  <c r="E58" i="100" s="1"/>
  <c r="M50" i="100"/>
  <c r="F13" i="100"/>
  <c r="F24" i="100" s="1"/>
  <c r="G16" i="100"/>
  <c r="E24" i="100"/>
  <c r="F48" i="100"/>
  <c r="G48" i="100" s="1"/>
  <c r="K45" i="100"/>
  <c r="H58" i="100"/>
  <c r="B58" i="100"/>
  <c r="C28" i="94"/>
  <c r="G17" i="92"/>
  <c r="C32" i="92"/>
  <c r="K32" i="92" s="1"/>
  <c r="C87" i="123"/>
  <c r="C68" i="123"/>
  <c r="G51" i="100"/>
  <c r="G53" i="100" s="1"/>
  <c r="F53" i="100"/>
  <c r="G45" i="100"/>
  <c r="K53" i="100"/>
  <c r="G29" i="100"/>
  <c r="G28" i="100"/>
  <c r="K16" i="100"/>
  <c r="M15" i="100"/>
  <c r="M6" i="100"/>
  <c r="M7" i="100" s="1"/>
  <c r="K58" i="100" l="1"/>
  <c r="J24" i="134"/>
  <c r="L51" i="92"/>
  <c r="D56" i="92"/>
  <c r="L56" i="92" s="1"/>
  <c r="M51" i="92"/>
  <c r="E56" i="92"/>
  <c r="F51" i="92"/>
  <c r="C7" i="92"/>
  <c r="K7" i="92" s="1"/>
  <c r="N20" i="134"/>
  <c r="M24" i="134"/>
  <c r="L24" i="134"/>
  <c r="I31" i="139"/>
  <c r="K5" i="134"/>
  <c r="G6" i="134"/>
  <c r="G20" i="92"/>
  <c r="G21" i="92" s="1"/>
  <c r="G51" i="92" s="1"/>
  <c r="G56" i="92" s="1"/>
  <c r="C7" i="140" s="1"/>
  <c r="C62" i="123"/>
  <c r="C69" i="123"/>
  <c r="C52" i="97"/>
  <c r="L58" i="100"/>
  <c r="G24" i="100"/>
  <c r="C20" i="92"/>
  <c r="K20" i="92" s="1"/>
  <c r="F58" i="100"/>
  <c r="M21" i="100"/>
  <c r="C44" i="92"/>
  <c r="K44" i="92" s="1"/>
  <c r="C94" i="123"/>
  <c r="C76" i="132"/>
  <c r="C80" i="132" s="1"/>
  <c r="M16" i="100"/>
  <c r="K24" i="100"/>
  <c r="C47" i="92"/>
  <c r="K47" i="92" s="1"/>
  <c r="G34" i="100"/>
  <c r="G58" i="100" s="1"/>
  <c r="C10" i="92" l="1"/>
  <c r="K10" i="92" s="1"/>
  <c r="M56" i="92"/>
  <c r="F56" i="92"/>
  <c r="C7" i="134"/>
  <c r="K7" i="134" s="1"/>
  <c r="H6" i="128" s="1"/>
  <c r="J6" i="128" s="1"/>
  <c r="C13" i="134"/>
  <c r="K13" i="134" s="1"/>
  <c r="N24" i="134"/>
  <c r="G12" i="134"/>
  <c r="H5" i="139"/>
  <c r="J5" i="139" s="1"/>
  <c r="H4" i="128"/>
  <c r="J4" i="128" s="1"/>
  <c r="C50" i="92"/>
  <c r="K50" i="92" s="1"/>
  <c r="C21" i="92"/>
  <c r="K21" i="92" s="1"/>
  <c r="M24" i="100"/>
  <c r="C61" i="123"/>
  <c r="C41" i="92"/>
  <c r="K41" i="92" s="1"/>
  <c r="C16" i="92"/>
  <c r="K16" i="92" s="1"/>
  <c r="C31" i="92"/>
  <c r="K31" i="92" s="1"/>
  <c r="C130" i="123"/>
  <c r="H7" i="139" l="1"/>
  <c r="J7" i="139" s="1"/>
  <c r="C18" i="134"/>
  <c r="K18" i="134" s="1"/>
  <c r="C6" i="134"/>
  <c r="C12" i="134" s="1"/>
  <c r="C136" i="123"/>
  <c r="H13" i="128"/>
  <c r="J13" i="128" s="1"/>
  <c r="H18" i="139"/>
  <c r="J18" i="139" s="1"/>
  <c r="G20" i="134"/>
  <c r="C17" i="92"/>
  <c r="K17" i="92" s="1"/>
  <c r="C75" i="123"/>
  <c r="C20" i="134" l="1"/>
  <c r="C24" i="134" s="1"/>
  <c r="K12" i="134"/>
  <c r="K6" i="134"/>
  <c r="H6" i="139" s="1"/>
  <c r="J6" i="139" s="1"/>
  <c r="C80" i="123"/>
  <c r="C51" i="92"/>
  <c r="G24" i="134"/>
  <c r="H5" i="128" l="1"/>
  <c r="J5" i="128" s="1"/>
  <c r="K20" i="134"/>
  <c r="C56" i="92"/>
  <c r="K56" i="92" s="1"/>
  <c r="K51" i="92"/>
  <c r="K24" i="134"/>
  <c r="C6" i="140" l="1"/>
  <c r="C8" i="140" s="1"/>
  <c r="I35" i="128"/>
  <c r="H11" i="128"/>
  <c r="H15" i="139"/>
  <c r="H28" i="139"/>
  <c r="J28" i="139" s="1"/>
  <c r="C5" i="140" l="1"/>
  <c r="H27" i="128"/>
  <c r="J11" i="128"/>
  <c r="H16" i="139"/>
  <c r="J16" i="139" s="1"/>
  <c r="J15" i="139"/>
  <c r="H29" i="139"/>
  <c r="J29" i="139" s="1"/>
  <c r="H31" i="128" l="1"/>
  <c r="J27" i="128"/>
  <c r="H31" i="139"/>
  <c r="J31" i="139" s="1"/>
  <c r="J31" i="128" l="1"/>
  <c r="H35" i="128"/>
  <c r="J35" i="128" s="1"/>
  <c r="C28" i="128" l="1"/>
  <c r="C25" i="139" s="1"/>
  <c r="C22" i="128"/>
  <c r="C11" i="139" s="1"/>
  <c r="C25" i="128"/>
  <c r="C23" i="139" s="1"/>
  <c r="C7" i="128"/>
  <c r="C19" i="139" s="1"/>
  <c r="C24" i="128"/>
  <c r="C20" i="128"/>
  <c r="C21" i="139" s="1"/>
  <c r="C15" i="128"/>
  <c r="C4" i="128"/>
  <c r="C5" i="139" s="1"/>
  <c r="C19" i="128"/>
  <c r="C9" i="139" s="1"/>
  <c r="C10" i="128"/>
  <c r="C21" i="128"/>
  <c r="C10" i="139" s="1"/>
  <c r="C32" i="128"/>
  <c r="C27" i="139" s="1"/>
  <c r="C33" i="128"/>
  <c r="C12" i="128"/>
  <c r="C17" i="128"/>
  <c r="C29" i="128"/>
  <c r="C26" i="139" s="1"/>
  <c r="C9" i="128"/>
  <c r="C11" i="128"/>
  <c r="C13" i="128"/>
  <c r="C6" i="128"/>
  <c r="C16" i="128"/>
  <c r="C14" i="128"/>
  <c r="C3" i="128"/>
  <c r="C4" i="139" s="1"/>
  <c r="C6" i="139" l="1"/>
  <c r="C26" i="128"/>
  <c r="C12" i="139"/>
  <c r="C5" i="128"/>
  <c r="C23" i="128"/>
  <c r="C8" i="128"/>
  <c r="C18" i="139"/>
  <c r="C20" i="139" s="1"/>
  <c r="C18" i="128"/>
  <c r="C8" i="139" s="1"/>
  <c r="C22" i="139"/>
  <c r="C24" i="139" s="1"/>
  <c r="C28" i="139"/>
  <c r="C16" i="139" l="1"/>
  <c r="C29" i="139"/>
  <c r="C27" i="128"/>
  <c r="C31" i="128" s="1"/>
  <c r="C35" i="128" s="1"/>
  <c r="N4" i="92"/>
  <c r="N56" i="92"/>
  <c r="N14" i="92"/>
  <c r="N24" i="92"/>
  <c r="D12" i="128"/>
  <c r="E12" i="128" s="1"/>
  <c r="D7" i="128"/>
  <c r="D19" i="139" s="1"/>
  <c r="N50" i="92"/>
  <c r="N25" i="92"/>
  <c r="N46" i="92"/>
  <c r="N33" i="92"/>
  <c r="N53" i="92"/>
  <c r="D14" i="128"/>
  <c r="E14" i="128" s="1"/>
  <c r="N40" i="92"/>
  <c r="N22" i="92"/>
  <c r="D10" i="128"/>
  <c r="E10" i="128" s="1"/>
  <c r="N36" i="92"/>
  <c r="D13" i="128"/>
  <c r="E13" i="128" s="1"/>
  <c r="N52" i="92"/>
  <c r="N37" i="92"/>
  <c r="N34" i="92"/>
  <c r="N31" i="92"/>
  <c r="N17" i="92"/>
  <c r="N49" i="92"/>
  <c r="N26" i="92"/>
  <c r="D22" i="128"/>
  <c r="D11" i="139" s="1"/>
  <c r="N23" i="92"/>
  <c r="N44" i="92"/>
  <c r="N16" i="92"/>
  <c r="N5" i="92"/>
  <c r="N15" i="92"/>
  <c r="N54" i="92"/>
  <c r="D28" i="128"/>
  <c r="D25" i="139" s="1"/>
  <c r="N28" i="92"/>
  <c r="N6" i="92"/>
  <c r="D11" i="128"/>
  <c r="E11" i="128" s="1"/>
  <c r="D25" i="128"/>
  <c r="E25" i="128" s="1"/>
  <c r="D16" i="128"/>
  <c r="E16" i="128" s="1"/>
  <c r="N47" i="92"/>
  <c r="N41" i="92"/>
  <c r="N42" i="92"/>
  <c r="N10" i="92"/>
  <c r="D29" i="128"/>
  <c r="D26" i="139" s="1"/>
  <c r="E26" i="139" s="1"/>
  <c r="D33" i="128"/>
  <c r="N27" i="92"/>
  <c r="D6" i="128"/>
  <c r="D17" i="128"/>
  <c r="D15" i="128"/>
  <c r="E15" i="128" s="1"/>
  <c r="N29" i="92"/>
  <c r="D21" i="128"/>
  <c r="D23" i="128" s="1"/>
  <c r="D32" i="128"/>
  <c r="E32" i="128" s="1"/>
  <c r="N7" i="92"/>
  <c r="D19" i="128"/>
  <c r="D9" i="139" s="1"/>
  <c r="E9" i="139" s="1"/>
  <c r="D20" i="128"/>
  <c r="D21" i="139" s="1"/>
  <c r="E21" i="139" s="1"/>
  <c r="D24" i="128"/>
  <c r="D22" i="139" s="1"/>
  <c r="D4" i="128"/>
  <c r="D5" i="139" s="1"/>
  <c r="E5" i="139" s="1"/>
  <c r="N51" i="92"/>
  <c r="D3" i="128"/>
  <c r="D4" i="139" s="1"/>
  <c r="D9" i="128"/>
  <c r="C31" i="139" l="1"/>
  <c r="D8" i="128"/>
  <c r="D5" i="128"/>
  <c r="E5" i="128" s="1"/>
  <c r="D26" i="128"/>
  <c r="E20" i="128"/>
  <c r="E19" i="128"/>
  <c r="D10" i="139"/>
  <c r="D12" i="139" s="1"/>
  <c r="E3" i="128"/>
  <c r="D18" i="139"/>
  <c r="D20" i="139" s="1"/>
  <c r="D18" i="128"/>
  <c r="E18" i="128" s="1"/>
  <c r="E29" i="128"/>
  <c r="E4" i="139"/>
  <c r="D6" i="139"/>
  <c r="E25" i="139"/>
  <c r="E9" i="128"/>
  <c r="D27" i="139"/>
  <c r="E27" i="139" s="1"/>
  <c r="D23" i="139"/>
  <c r="E23" i="139" s="1"/>
  <c r="E4" i="128"/>
  <c r="E28" i="128"/>
  <c r="D8" i="139" l="1"/>
  <c r="E8" i="139" s="1"/>
  <c r="D27" i="128"/>
  <c r="E27" i="128" s="1"/>
  <c r="E26" i="128"/>
  <c r="D28" i="139"/>
  <c r="E6" i="139"/>
  <c r="D24" i="139"/>
  <c r="E24" i="139" s="1"/>
  <c r="D16" i="139" l="1"/>
  <c r="E16" i="139" s="1"/>
  <c r="D31" i="128"/>
  <c r="E31" i="128" s="1"/>
  <c r="D29" i="139"/>
  <c r="E29" i="139" s="1"/>
  <c r="E28" i="139"/>
  <c r="D35" i="128" l="1"/>
  <c r="E35" i="128" s="1"/>
  <c r="D31" i="139"/>
  <c r="E31" i="139" s="1"/>
</calcChain>
</file>

<file path=xl/sharedStrings.xml><?xml version="1.0" encoding="utf-8"?>
<sst xmlns="http://schemas.openxmlformats.org/spreadsheetml/2006/main" count="1357" uniqueCount="745">
  <si>
    <t>Személyi juttatások</t>
  </si>
  <si>
    <t>Dologi kiadás</t>
  </si>
  <si>
    <t>Ellátottak juttatása</t>
  </si>
  <si>
    <t>Beruházás</t>
  </si>
  <si>
    <t>KIADÁSOK</t>
  </si>
  <si>
    <t>Rónafő</t>
  </si>
  <si>
    <t>Gyerekek</t>
  </si>
  <si>
    <t xml:space="preserve"> fő</t>
  </si>
  <si>
    <t>nap</t>
  </si>
  <si>
    <t>Ft/fő/nap</t>
  </si>
  <si>
    <t xml:space="preserve">Ft </t>
  </si>
  <si>
    <t>áfa</t>
  </si>
  <si>
    <t>2013. évi terv</t>
  </si>
  <si>
    <t>I.1.bc.</t>
  </si>
  <si>
    <t>I.1.bd.</t>
  </si>
  <si>
    <t>Zöldterület gazdálkodással kapcsolatos feladatok</t>
  </si>
  <si>
    <t>Közvilágítás fenntartásának támogatása</t>
  </si>
  <si>
    <t>Közutak fenntartásának támogatása</t>
  </si>
  <si>
    <t>II.1.1.1.</t>
  </si>
  <si>
    <t>II.1.2.1.</t>
  </si>
  <si>
    <t>II.1.1.2.</t>
  </si>
  <si>
    <t>II.1.2.2</t>
  </si>
  <si>
    <t xml:space="preserve">                                            közvetlen segítők</t>
  </si>
  <si>
    <t xml:space="preserve">                                                közvetlen segítők</t>
  </si>
  <si>
    <r>
      <t xml:space="preserve">                          8 hónap  </t>
    </r>
    <r>
      <rPr>
        <sz val="12"/>
        <rFont val="Times"/>
        <family val="1"/>
        <charset val="238"/>
      </rPr>
      <t xml:space="preserve">  óvodapedagógus</t>
    </r>
  </si>
  <si>
    <r>
      <t xml:space="preserve">                         4 hónap      </t>
    </r>
    <r>
      <rPr>
        <sz val="12"/>
        <rFont val="Times"/>
        <family val="1"/>
        <charset val="238"/>
      </rPr>
      <t xml:space="preserve">      óvodapedagógus</t>
    </r>
  </si>
  <si>
    <t xml:space="preserve">                                            működtetés</t>
  </si>
  <si>
    <t xml:space="preserve">                                          működtetés</t>
  </si>
  <si>
    <t>II.2.8.1.</t>
  </si>
  <si>
    <t>II.2.8.2.</t>
  </si>
  <si>
    <t xml:space="preserve">           Óvodás gyerek össz.</t>
  </si>
  <si>
    <t xml:space="preserve"> - menzás tízórai</t>
  </si>
  <si>
    <t xml:space="preserve"> - napközis</t>
  </si>
  <si>
    <t xml:space="preserve">     Iskolás gyerekek össz.</t>
  </si>
  <si>
    <t>Felnőttek</t>
  </si>
  <si>
    <t>Alkalmazott összesen</t>
  </si>
  <si>
    <t>Vendég</t>
  </si>
  <si>
    <t xml:space="preserve">       Munkahelyi vendéglátás </t>
  </si>
  <si>
    <t xml:space="preserve"> Kiadások összesen</t>
  </si>
  <si>
    <r>
      <t xml:space="preserve">               </t>
    </r>
    <r>
      <rPr>
        <b/>
        <sz val="9"/>
        <rFont val="Times"/>
        <family val="1"/>
        <charset val="238"/>
      </rPr>
      <t xml:space="preserve">   Óvodás össz:</t>
    </r>
  </si>
  <si>
    <t xml:space="preserve">                        Iskolás összesen</t>
  </si>
  <si>
    <t xml:space="preserve">  Munkahelyi vendéglátás</t>
  </si>
  <si>
    <t xml:space="preserve">  Bevételek összesen</t>
  </si>
  <si>
    <t xml:space="preserve">               tízórais       50 %-os</t>
  </si>
  <si>
    <t xml:space="preserve">                                  teljes</t>
  </si>
  <si>
    <t xml:space="preserve">                                tízórais</t>
  </si>
  <si>
    <t xml:space="preserve">              ingyenes:     egésznapos</t>
  </si>
  <si>
    <t>ebből:</t>
  </si>
  <si>
    <t>Óvoda</t>
  </si>
  <si>
    <t>Bölcsődés gyerekek össz.:</t>
  </si>
  <si>
    <t>Munkaadókat terhelő járulék</t>
  </si>
  <si>
    <t>Bölcsőde</t>
  </si>
  <si>
    <t>Bölcsődés gyerekek össz.</t>
  </si>
  <si>
    <t>Tartalék</t>
  </si>
  <si>
    <t>Önkormányzat</t>
  </si>
  <si>
    <t>Értékpapír vásárlás</t>
  </si>
  <si>
    <t>Felújítás</t>
  </si>
  <si>
    <t>Összesen</t>
  </si>
  <si>
    <t>Kiadások</t>
  </si>
  <si>
    <t>Táppénz hozzájárulás</t>
  </si>
  <si>
    <t>Élelmiszer</t>
  </si>
  <si>
    <t>Üzemanyag</t>
  </si>
  <si>
    <t>Reprezentáció</t>
  </si>
  <si>
    <t>Kifizetői adó (szja)</t>
  </si>
  <si>
    <t>terv</t>
  </si>
  <si>
    <t>Szociális adó</t>
  </si>
  <si>
    <t xml:space="preserve">EHO </t>
  </si>
  <si>
    <t>Munkaruha, védőeszköz</t>
  </si>
  <si>
    <t>Intézmény finanszírozás</t>
  </si>
  <si>
    <t>Ápolási díj</t>
  </si>
  <si>
    <t>fő</t>
  </si>
  <si>
    <t>Ft</t>
  </si>
  <si>
    <t xml:space="preserve">Óvodai nevelés </t>
  </si>
  <si>
    <t>Lakásfenntartási támogatás</t>
  </si>
  <si>
    <t xml:space="preserve">    ÁLLAMI TÁMOGATÁS ÖSSZESEN</t>
  </si>
  <si>
    <t>BEVÉTELEK</t>
  </si>
  <si>
    <t>Iparűzési adó</t>
  </si>
  <si>
    <t>Gépjármű adó</t>
  </si>
  <si>
    <t>Gyermekvédelmi támogatás</t>
  </si>
  <si>
    <t>Megnevezés</t>
  </si>
  <si>
    <t>Szociális juttatások</t>
  </si>
  <si>
    <t>Gyógyszer, vegyszer</t>
  </si>
  <si>
    <t>Bevételek</t>
  </si>
  <si>
    <t>Összesen: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</si>
  <si>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</si>
  <si>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</si>
  <si>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</si>
  <si>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</si>
  <si>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</si>
  <si>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</si>
  <si>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</si>
  <si>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</si>
  <si>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</si>
  <si>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</si>
  <si>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</si>
  <si>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</si>
  <si>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bevételek</t>
  </si>
  <si>
    <t>Bevételek összesen:</t>
  </si>
  <si>
    <t>Járulékok</t>
  </si>
  <si>
    <t>Dologi jellegű kiadások</t>
  </si>
  <si>
    <t>Beruházások</t>
  </si>
  <si>
    <t>Felújtások</t>
  </si>
  <si>
    <t>Támogatásértékű kiadások</t>
  </si>
  <si>
    <t>Kiadások összesen:</t>
  </si>
  <si>
    <t>Egyenleg</t>
  </si>
  <si>
    <t>Értékpapír kibocsátás, értékesítés</t>
  </si>
  <si>
    <t>MŰKÖDÉSI  BEVÉTELEK ÖSSZESEN</t>
  </si>
  <si>
    <t>MŰKÖDÉSI KIADÁSOK ÖSSZ.</t>
  </si>
  <si>
    <t>Hiány:</t>
  </si>
  <si>
    <t>Többlet:</t>
  </si>
  <si>
    <t>FELHALMOZÁSI KIADÁSOK ÖSSZ.</t>
  </si>
  <si>
    <t xml:space="preserve">                MIND ÖSSZESEN</t>
  </si>
  <si>
    <t xml:space="preserve">                       MIND ÖSSZESEN</t>
  </si>
  <si>
    <t>Létszám (fő)</t>
  </si>
  <si>
    <t>Foglalkoztatást helyettesítő támogatás</t>
  </si>
  <si>
    <t>K1101</t>
  </si>
  <si>
    <t>Alapilletmények, pótlékok, illetmény-, keresetkiegészítés</t>
  </si>
  <si>
    <t>K1102</t>
  </si>
  <si>
    <t>Jutalom</t>
  </si>
  <si>
    <t>K1103</t>
  </si>
  <si>
    <t>Céljuttatás, prémium</t>
  </si>
  <si>
    <t>K1104</t>
  </si>
  <si>
    <t>Túlóra, helyettesítés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</si>
  <si>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</si>
  <si>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</si>
  <si>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</si>
  <si>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</si>
  <si>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</si>
  <si>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</si>
  <si>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</si>
  <si>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</si>
  <si>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</si>
  <si>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</t>
  </si>
  <si>
    <t>K1113</t>
  </si>
  <si>
    <t>K121</t>
  </si>
  <si>
    <t>K122</t>
  </si>
  <si>
    <t>K123</t>
  </si>
  <si>
    <t>Választott tisztségviselők juttatásai</t>
  </si>
  <si>
    <t>Munkavégzésre irányuló egyéb jogviszony</t>
  </si>
  <si>
    <t>K11</t>
  </si>
  <si>
    <t>K12</t>
  </si>
  <si>
    <t>K1</t>
  </si>
  <si>
    <t>K21</t>
  </si>
  <si>
    <t>K24</t>
  </si>
  <si>
    <t>K25</t>
  </si>
  <si>
    <t>K27</t>
  </si>
  <si>
    <t>K2</t>
  </si>
  <si>
    <t>MUNKAADÓKAT TERHELŐ JÁR., ADÓK</t>
  </si>
  <si>
    <t>SZEMÉLYI JUTTATÁSOK ÖSSZESEN</t>
  </si>
  <si>
    <t>K31</t>
  </si>
  <si>
    <t>K3111</t>
  </si>
  <si>
    <t>K3112</t>
  </si>
  <si>
    <t>Könyv, folyóirat, tev-t segítő információhordozó</t>
  </si>
  <si>
    <t>K311</t>
  </si>
  <si>
    <t>Irodaszer, nyomtatvány</t>
  </si>
  <si>
    <t>Sokszorosítási feladatokkal összefüggő anyagok</t>
  </si>
  <si>
    <t>Egyéb anyag, készletbeszerzés</t>
  </si>
  <si>
    <t>K3121</t>
  </si>
  <si>
    <t>K3122</t>
  </si>
  <si>
    <t>K3123</t>
  </si>
  <si>
    <t>K3124</t>
  </si>
  <si>
    <t>K3125</t>
  </si>
  <si>
    <t>K3126</t>
  </si>
  <si>
    <t>K312</t>
  </si>
  <si>
    <t>Foglalkoztatottak egyéb személyi juttatása (biztosítási díj)</t>
  </si>
  <si>
    <t>Egyéb külső személyi juttatások (prémium évek, egysz.fogl.,repi)</t>
  </si>
  <si>
    <t>K321</t>
  </si>
  <si>
    <t>Informatikai szolgáltatások igénybevétele</t>
  </si>
  <si>
    <t xml:space="preserve">K322 </t>
  </si>
  <si>
    <t>K32</t>
  </si>
  <si>
    <t>K331</t>
  </si>
  <si>
    <t>K333</t>
  </si>
  <si>
    <t>Bérleit díjak</t>
  </si>
  <si>
    <t>K334</t>
  </si>
  <si>
    <t>Karbantartás, kisjavítási szolgáltatások</t>
  </si>
  <si>
    <t>K335</t>
  </si>
  <si>
    <t>Közvetített szolgáltatások</t>
  </si>
  <si>
    <t>K336</t>
  </si>
  <si>
    <t>K337</t>
  </si>
  <si>
    <t>K 33</t>
  </si>
  <si>
    <t>Vásárolt élelmezés</t>
  </si>
  <si>
    <t>K341</t>
  </si>
  <si>
    <t>K342</t>
  </si>
  <si>
    <t>K343</t>
  </si>
  <si>
    <t>Kiküldetési kiadások</t>
  </si>
  <si>
    <t>Reklám és propaganda kiadások</t>
  </si>
  <si>
    <t>K34</t>
  </si>
  <si>
    <t>K351</t>
  </si>
  <si>
    <t>K352</t>
  </si>
  <si>
    <t>K353</t>
  </si>
  <si>
    <t>K354</t>
  </si>
  <si>
    <t>K355</t>
  </si>
  <si>
    <t>Működési célú előzetesen felszámított áfa</t>
  </si>
  <si>
    <t>Fizetendő általános forgalmi adó</t>
  </si>
  <si>
    <t>Kamatkiadások</t>
  </si>
  <si>
    <t>Egyéb pénzügyi műveletek kiadásai (árfolyam veszteség)</t>
  </si>
  <si>
    <t>Egyéb dologi kiadások (hatósági díjak, ajánlati bizt., kés.kamat)</t>
  </si>
  <si>
    <t>K35</t>
  </si>
  <si>
    <t>K3</t>
  </si>
  <si>
    <t xml:space="preserve">DOLOGI KIADÁSOK </t>
  </si>
  <si>
    <t>K61</t>
  </si>
  <si>
    <t>K62</t>
  </si>
  <si>
    <t>K63</t>
  </si>
  <si>
    <t>K64</t>
  </si>
  <si>
    <t>K65</t>
  </si>
  <si>
    <t>K67</t>
  </si>
  <si>
    <t>K6</t>
  </si>
  <si>
    <t>K71</t>
  </si>
  <si>
    <t>K74</t>
  </si>
  <si>
    <t>K7</t>
  </si>
  <si>
    <t>K86</t>
  </si>
  <si>
    <t>K87</t>
  </si>
  <si>
    <t>K88</t>
  </si>
  <si>
    <t>K8</t>
  </si>
  <si>
    <t>FELHALMOZÁSI KIADÁSOK ÖSSZESEN</t>
  </si>
  <si>
    <t>K4</t>
  </si>
  <si>
    <t>K502</t>
  </si>
  <si>
    <t>Elvonások és befizetések</t>
  </si>
  <si>
    <t>K506</t>
  </si>
  <si>
    <t>Egyéb működési célú támogatások ÁH-n belülre</t>
  </si>
  <si>
    <t>K508</t>
  </si>
  <si>
    <t>Működési célú kölcsönök ÁH-n kívülre</t>
  </si>
  <si>
    <t>Egyéb működési célú támogatások ÁH-n kívülre</t>
  </si>
  <si>
    <t>K512</t>
  </si>
  <si>
    <t>Tartalékok</t>
  </si>
  <si>
    <t>K5</t>
  </si>
  <si>
    <t>EGYÉB MŰKÖDÉSI CÉLÚ KIADÁSOK</t>
  </si>
  <si>
    <t>K42</t>
  </si>
  <si>
    <t>Családtámogatások</t>
  </si>
  <si>
    <t>K44</t>
  </si>
  <si>
    <t>Betegséggel kapcsolatos ellátások</t>
  </si>
  <si>
    <t>Helyi megállapítású közgyógyellátás</t>
  </si>
  <si>
    <t>K421</t>
  </si>
  <si>
    <t>K441</t>
  </si>
  <si>
    <t>K443</t>
  </si>
  <si>
    <t>Rovat</t>
  </si>
  <si>
    <t>K45</t>
  </si>
  <si>
    <t>Foglalkoztatással kapcsolatos  ellátások</t>
  </si>
  <si>
    <t>K46</t>
  </si>
  <si>
    <t>Lakhatással kapcsolatos ellátások</t>
  </si>
  <si>
    <t>Természetben nyújtott lakásfenntartási tám.</t>
  </si>
  <si>
    <t>K47</t>
  </si>
  <si>
    <t>Intézményi ellátottak pénzbeli juttatásai</t>
  </si>
  <si>
    <t>K48</t>
  </si>
  <si>
    <t>Egyéb nem intézményi ellátások</t>
  </si>
  <si>
    <t>Étkeztetési díj átvállalás</t>
  </si>
  <si>
    <t>Eredeti</t>
  </si>
  <si>
    <t>Önkorm.</t>
  </si>
  <si>
    <t>Gáz vagy áramfogyasztástmérő készülékek</t>
  </si>
  <si>
    <t>K915</t>
  </si>
  <si>
    <t>Működési célú pénzeszköz átadás ÁH-n belülre</t>
  </si>
  <si>
    <t>Működési kölcsönnyújtás ÁH-nkívülre</t>
  </si>
  <si>
    <t>Működési célú pénzeszköz átadás ÁH-n kívülre</t>
  </si>
  <si>
    <t>ELLÁTOTTAK JUTTATÁSAI</t>
  </si>
  <si>
    <t>BERUHÁZÁSOK</t>
  </si>
  <si>
    <t>FELÚJÍTÁSOK</t>
  </si>
  <si>
    <t>EGYÉB FELHALMOZÁSI KIADÁSOK</t>
  </si>
  <si>
    <t>Felhalmozási kölcsönök nyújtása ÁH-n kívülre</t>
  </si>
  <si>
    <t>Lakásépítés támogatása</t>
  </si>
  <si>
    <t>Felhalmozási célú pénzeszköz átadás ÁH-n kívülre</t>
  </si>
  <si>
    <t>K912</t>
  </si>
  <si>
    <t>Belföldi értékpapír vásárlás</t>
  </si>
  <si>
    <t>B1</t>
  </si>
  <si>
    <t>Önkormányzatok működési támogatása</t>
  </si>
  <si>
    <t>Egyéb működési célú támogatások ÁH-n belülről</t>
  </si>
  <si>
    <t xml:space="preserve">                                           védőnői szolgálat</t>
  </si>
  <si>
    <t>OEP-től átvett pénzeszköz ifjúság eü.feladatok</t>
  </si>
  <si>
    <t>MŰKÖDÉSI CÉLÚ TÁM. ÁH-N BELÜLRŐL</t>
  </si>
  <si>
    <t>Felhalmozási célú önkormányzati támogatások</t>
  </si>
  <si>
    <t>B11</t>
  </si>
  <si>
    <t>B16</t>
  </si>
  <si>
    <t>Egyéb felhalmozási célú támogatások ÁH-n belülről</t>
  </si>
  <si>
    <t>B25</t>
  </si>
  <si>
    <t>B2</t>
  </si>
  <si>
    <t>B21</t>
  </si>
  <si>
    <t>FELHALM-I CÉLÚ TÁM. ÁH-N BELÜLRŐL</t>
  </si>
  <si>
    <t>B31</t>
  </si>
  <si>
    <t>B34</t>
  </si>
  <si>
    <t>B351</t>
  </si>
  <si>
    <t>B354</t>
  </si>
  <si>
    <t>B355</t>
  </si>
  <si>
    <t>Gépjárműadók</t>
  </si>
  <si>
    <t>B3</t>
  </si>
  <si>
    <t>KÖZHATALMI BEVÉTELEK</t>
  </si>
  <si>
    <t>B4</t>
  </si>
  <si>
    <t>MŰKÖDÉSI BEVÉTELEK</t>
  </si>
  <si>
    <t>B401</t>
  </si>
  <si>
    <t>B402</t>
  </si>
  <si>
    <t>B403</t>
  </si>
  <si>
    <t>B404</t>
  </si>
  <si>
    <t>B405</t>
  </si>
  <si>
    <t>B406</t>
  </si>
  <si>
    <t>Készletértékesítés bevétele</t>
  </si>
  <si>
    <t>Tulajdonosi bevételek (bérleti díjak)</t>
  </si>
  <si>
    <t>Ellátási díjak</t>
  </si>
  <si>
    <t>B407</t>
  </si>
  <si>
    <t>Áfa visszatérülése</t>
  </si>
  <si>
    <t>B408</t>
  </si>
  <si>
    <t>Kamatbevételek</t>
  </si>
  <si>
    <t>Egyéb működési bevételek</t>
  </si>
  <si>
    <t>B52</t>
  </si>
  <si>
    <t>B54</t>
  </si>
  <si>
    <t>Ingatlanok értékesítése</t>
  </si>
  <si>
    <t>Részesedések értékesítése</t>
  </si>
  <si>
    <t>B5</t>
  </si>
  <si>
    <t>FELHALMOZÁSI  BEVÉTELEK</t>
  </si>
  <si>
    <t>B62</t>
  </si>
  <si>
    <t>Működési célú kölcsönök visszatérülése ÁH-n kívülről</t>
  </si>
  <si>
    <t>Egyéb működési célú átvett pénzeszközök ÁH-n kívülről</t>
  </si>
  <si>
    <t>B6</t>
  </si>
  <si>
    <t>B7</t>
  </si>
  <si>
    <t>FELHALM-I  ÁTVETT PÉNZE. ÁH kívülről</t>
  </si>
  <si>
    <t>MŰK-I CÉLÚ ÁTVETT PÉNZE. ÁH kívülről</t>
  </si>
  <si>
    <t>B72</t>
  </si>
  <si>
    <t>Felhalmozási kölcsönök visszatérülése</t>
  </si>
  <si>
    <t>Egyéb felhalmozási célú átvett pénzeszközök ÁH-n kívülről</t>
  </si>
  <si>
    <t>Belföldi értékpapírok bevételei</t>
  </si>
  <si>
    <t>B812</t>
  </si>
  <si>
    <t>B813</t>
  </si>
  <si>
    <t>Maradvány igénybevétele</t>
  </si>
  <si>
    <t>B816</t>
  </si>
  <si>
    <t>B817</t>
  </si>
  <si>
    <t>Betétek megszüntetése</t>
  </si>
  <si>
    <t>Ellátottak juttatásai</t>
  </si>
  <si>
    <t xml:space="preserve">      ÖNKORMÁNYZAT</t>
  </si>
  <si>
    <t>B111</t>
  </si>
  <si>
    <t>B112</t>
  </si>
  <si>
    <t>B113</t>
  </si>
  <si>
    <t>B114</t>
  </si>
  <si>
    <t>B115</t>
  </si>
  <si>
    <t>B116</t>
  </si>
  <si>
    <t>Helyi önkorm.működésének általános támogatása</t>
  </si>
  <si>
    <t>Települési önk.egyes köznevelési feladatainak támogatása</t>
  </si>
  <si>
    <t>Települési önk.szociális, gyermekjóléti, gyermekétkezt.fa tám.</t>
  </si>
  <si>
    <t>Települési önk.kulturális feladatainak támogatása</t>
  </si>
  <si>
    <t>Működési célú központosított előirányzatok</t>
  </si>
  <si>
    <t>Helyi önkormányzatok kiegészítő támogatása</t>
  </si>
  <si>
    <t>Kiszámlázott általános forgalmi adó</t>
  </si>
  <si>
    <t>Szolgáltatások ellenértéke (igazg.szolg.díj, vendégétkezés)</t>
  </si>
  <si>
    <t>Működési célú átvét ÁH- n belülről</t>
  </si>
  <si>
    <t>Ónkormányzatok felhalmozási támogatása</t>
  </si>
  <si>
    <t>Felhalmozási célú átvét ÁH-n belülről</t>
  </si>
  <si>
    <t>Közhatalmi bevételek</t>
  </si>
  <si>
    <t>Felhalmozási bevételek ÁH-n belülről</t>
  </si>
  <si>
    <t xml:space="preserve">B5 </t>
  </si>
  <si>
    <t>Felhalmozási bevételek</t>
  </si>
  <si>
    <t>Működési kölcsönnyújtás ÁH-n kívülre</t>
  </si>
  <si>
    <t xml:space="preserve">  KÖLTSÉGVETÉSI BEVÉTELEK</t>
  </si>
  <si>
    <t xml:space="preserve">      KÖLTSÉGVETÉSI KIADÁSOK</t>
  </si>
  <si>
    <t>Egyéb működési célú kiadások</t>
  </si>
  <si>
    <t>Egyéb felhalmozási célú kiadások</t>
  </si>
  <si>
    <t xml:space="preserve">  HALMOZOTT BEVÉTELEK</t>
  </si>
  <si>
    <t xml:space="preserve">             HALMOZOTT KIADÁSOK</t>
  </si>
  <si>
    <t>TERV</t>
  </si>
  <si>
    <t>Működési bevételek ÁH-n belülről</t>
  </si>
  <si>
    <t>Működési célú kölcsönök visszatér. ÁH-n kívülről</t>
  </si>
  <si>
    <t>Egyéb működési célú átvett pénze. ÁH-n kívülről</t>
  </si>
  <si>
    <t>Működési célú pénze.átvét ÁH-n kívülről</t>
  </si>
  <si>
    <t>Felhalmozási célú pénze.átvét ÁH-n kívülről</t>
  </si>
  <si>
    <t>Egyéb felhalm-i célú átvett pénze. ÁH-n kívülről</t>
  </si>
  <si>
    <t>B8</t>
  </si>
  <si>
    <t>K9</t>
  </si>
  <si>
    <t>Előző évi működési maradvány igénybevétele</t>
  </si>
  <si>
    <t xml:space="preserve">        EGYÉB MŰKÖÉDÉSI KIADÁSOK</t>
  </si>
  <si>
    <t xml:space="preserve">      ELLÁTOTTAK JUTTATÁSAI</t>
  </si>
  <si>
    <t xml:space="preserve">   ÁLLAMI TÁMOGATÁSOK</t>
  </si>
  <si>
    <t>Egyéb kommunikációs szolgáltatások  (telefondíj)</t>
  </si>
  <si>
    <t>Közüzemi díjak (gáz, áram, víz)</t>
  </si>
  <si>
    <t>Közfoglalkoztatás</t>
  </si>
  <si>
    <t>I.1.a.</t>
  </si>
  <si>
    <t>I.</t>
  </si>
  <si>
    <t>II.</t>
  </si>
  <si>
    <t>Pénzbeli szociális feladatok</t>
  </si>
  <si>
    <t>III.</t>
  </si>
  <si>
    <t xml:space="preserve">             Szociális és gyermekjóléti feladatok</t>
  </si>
  <si>
    <t>IV.</t>
  </si>
  <si>
    <t xml:space="preserve">             Kulturális feladatok támogatása</t>
  </si>
  <si>
    <t>Köztemető fenntartás támogatása</t>
  </si>
  <si>
    <t xml:space="preserve">Egyéb önkormányzati feladatok támogatása </t>
  </si>
  <si>
    <t>I.1.c.</t>
  </si>
  <si>
    <t>I.1.ba.</t>
  </si>
  <si>
    <t>I.1.bb.</t>
  </si>
  <si>
    <t xml:space="preserve">              beszámítás</t>
  </si>
  <si>
    <t>Gyermekétkeztetés támogatása (bértámogatás)</t>
  </si>
  <si>
    <t xml:space="preserve">             Település üzemeltetés támogatása</t>
  </si>
  <si>
    <t>I.1.b.</t>
  </si>
  <si>
    <t xml:space="preserve">            Önkormányzati hivatal működésének támogatása</t>
  </si>
  <si>
    <t>Arany János Tehetséggondozó Program</t>
  </si>
  <si>
    <t>Felsőoktatásban résztvevők támogatása</t>
  </si>
  <si>
    <t>8. osztályos tanulók támogatása (16. fő)</t>
  </si>
  <si>
    <t>Beiskolázási segély, táboroztatás</t>
  </si>
  <si>
    <t>Szakmai tev-t segítő szolgáltatások  (közszolg.,száml.szellemi)</t>
  </si>
  <si>
    <t>Egyéb szolgáltatások (száll.,posta, hull.,munkaeü., bank)</t>
  </si>
  <si>
    <t>Ruházati költségtérítés  (2013. SZÉP kártya)</t>
  </si>
  <si>
    <t>Táppénz hozzájárulás  (2012. SZÉP kártya kif.adó)</t>
  </si>
  <si>
    <t>Közcélú foglalkoztatás</t>
  </si>
  <si>
    <t>Működési célú központosított előirányzatok  (kompenzáció)</t>
  </si>
  <si>
    <t>Helyi önkormányzatok kiegészítő támogatása    (külterületi)</t>
  </si>
  <si>
    <t xml:space="preserve">                   beszámítás</t>
  </si>
  <si>
    <t>Közös Hivatal fennt-hoz átvett pénzeszköz …... Önk-tól</t>
  </si>
  <si>
    <t>Össz.:</t>
  </si>
  <si>
    <t>alakulását bemutató mérleg</t>
  </si>
  <si>
    <t>Működési bevételek összesen</t>
  </si>
  <si>
    <t>Felh.c.pénzeszköz átvétel ÁH-n kív.</t>
  </si>
  <si>
    <t>Önkorm.lakások és helyis.értékesít.</t>
  </si>
  <si>
    <t>Felhalmozási bev. összesen</t>
  </si>
  <si>
    <t>Helyi adók</t>
  </si>
  <si>
    <t xml:space="preserve">   Iparűzési adó</t>
  </si>
  <si>
    <t xml:space="preserve">   Idegenforgalmi adó</t>
  </si>
  <si>
    <t xml:space="preserve">   Telekadó</t>
  </si>
  <si>
    <t>Talajterhelési díj</t>
  </si>
  <si>
    <t>Bevételek összesen</t>
  </si>
  <si>
    <t>Bevétel mindösszesen</t>
  </si>
  <si>
    <t>Dologi kiadások</t>
  </si>
  <si>
    <t>Segélyezés, ellátottak jutt.</t>
  </si>
  <si>
    <t>KIADÁSOK MINDÖSSZESEN:</t>
  </si>
  <si>
    <t>A Stabilitási tv. 45.§ (1) bekezdés a) pontja szerinti saját bevételek részletezése a Stabilitási tv. 3.§ (1) bekezdése alapján adósságot</t>
  </si>
  <si>
    <t>adatok ezer Ft-ban</t>
  </si>
  <si>
    <t>Bevétel</t>
  </si>
  <si>
    <t>Osztalékok,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</si>
  <si>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</si>
  <si>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</si>
  <si>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</si>
  <si>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privitizációból származó bevétel</t>
  </si>
  <si>
    <t>Kezességvállalással kapcsolatos megtérülés</t>
  </si>
  <si>
    <t>Saját bevételek összesen</t>
  </si>
  <si>
    <t>Saját bevételek 50%-a</t>
  </si>
  <si>
    <t>Gyermekétkeztetés támogatás (üzemeltetés)</t>
  </si>
  <si>
    <t>Üdülőhelyi feladatok támogatása</t>
  </si>
  <si>
    <t>V.</t>
  </si>
  <si>
    <t>Önkormányzatok felhalmozási támogatása</t>
  </si>
  <si>
    <t>Fogorvosi alapellátás</t>
  </si>
  <si>
    <t>Levél SE</t>
  </si>
  <si>
    <t>Horgász Egyesület</t>
  </si>
  <si>
    <t>Levél Barátai Egyesület</t>
  </si>
  <si>
    <t>Levéli Alkotókör</t>
  </si>
  <si>
    <t>Nyugdíjás Egyesület</t>
  </si>
  <si>
    <t>Nyugdíjas Találkozó</t>
  </si>
  <si>
    <t>Talizmán</t>
  </si>
  <si>
    <t>Általános tartalék</t>
  </si>
  <si>
    <t xml:space="preserve">   Működési tartalék</t>
  </si>
  <si>
    <t xml:space="preserve">   Felhalmozási tartalék</t>
  </si>
  <si>
    <t>Céltartalék</t>
  </si>
  <si>
    <t>Nyugdíjasok karácsonyi juttatása</t>
  </si>
  <si>
    <t>Pénzeszköz átadás Közös Hivatal</t>
  </si>
  <si>
    <t>Egyéb kommunikációs szolgáltatások  (telefondíj, műsoridő)</t>
  </si>
  <si>
    <t>Bérleti és lízingdíj</t>
  </si>
  <si>
    <t>Egyéb anyag, készletbeszerzés (kisértékű tárgyi eszk.,virágosítás)</t>
  </si>
  <si>
    <t>Szakmai tevékenységet segítő szolgáltatások  (gyermekorvos)</t>
  </si>
  <si>
    <t>Béren kívüli juttatások részmunkaidős</t>
  </si>
  <si>
    <t>Tüzelőanyag</t>
  </si>
  <si>
    <t>K3113</t>
  </si>
  <si>
    <t>Egyéb szakmai anyag</t>
  </si>
  <si>
    <t>Idegenforgalmi adó</t>
  </si>
  <si>
    <t>Kommunális adó</t>
  </si>
  <si>
    <t xml:space="preserve">                                         háziorvosi szolgálat</t>
  </si>
  <si>
    <t>Polgárőr Egyesület</t>
  </si>
  <si>
    <t>Szolgáltatások ellenértéke</t>
  </si>
  <si>
    <t>Értékesítési és forgalmi adók (iparűzési adó)</t>
  </si>
  <si>
    <t xml:space="preserve"> ingyenes étkezők</t>
  </si>
  <si>
    <t>félnapos</t>
  </si>
  <si>
    <t>egész napos</t>
  </si>
  <si>
    <t>csak ebéd</t>
  </si>
  <si>
    <t>100%-os térítési díj</t>
  </si>
  <si>
    <t xml:space="preserve">nap </t>
  </si>
  <si>
    <t>3-szor étkezők:</t>
  </si>
  <si>
    <t xml:space="preserve">     100%-os</t>
  </si>
  <si>
    <t xml:space="preserve">      50%-os</t>
  </si>
  <si>
    <t xml:space="preserve">     ingyenes étkezők</t>
  </si>
  <si>
    <t>Csak ebéd</t>
  </si>
  <si>
    <t xml:space="preserve">   100%-os térítési díj</t>
  </si>
  <si>
    <t xml:space="preserve">    50 %-os</t>
  </si>
  <si>
    <t xml:space="preserve">    ingyenes étkezők</t>
  </si>
  <si>
    <t>Levél Községi Önkormányzat</t>
  </si>
  <si>
    <t xml:space="preserve">    Kultúrház</t>
  </si>
  <si>
    <t xml:space="preserve">    Háziorvosi rendelő</t>
  </si>
  <si>
    <t xml:space="preserve">    Önkormányzat</t>
  </si>
  <si>
    <t xml:space="preserve">    Zöldterület kezelés</t>
  </si>
  <si>
    <t xml:space="preserve">    Temető</t>
  </si>
  <si>
    <t>Levélfalvi Manók Napköziotthonos Óvoda</t>
  </si>
  <si>
    <t>Működési célú támogatás ÁH-n belülről</t>
  </si>
  <si>
    <t>Felhalmozási célú támogatás ÁH-n belülről</t>
  </si>
  <si>
    <t>Termőföld bérbeadás</t>
  </si>
  <si>
    <t>Telekadó</t>
  </si>
  <si>
    <t>Gépjárműadó</t>
  </si>
  <si>
    <t>Felhalmozási átvett pénzeszköz ÁH-on kívülről</t>
  </si>
  <si>
    <t xml:space="preserve">   Kommunális adó</t>
  </si>
  <si>
    <t>Felújítások</t>
  </si>
  <si>
    <t xml:space="preserve">   Termőföld bérbeadás</t>
  </si>
  <si>
    <t>Működési célú támogatá ÁH-n belülről</t>
  </si>
  <si>
    <t>Működési célú átvett pénzeszköz ÁH-n kívülről</t>
  </si>
  <si>
    <t>Címrendi szám</t>
  </si>
  <si>
    <t>Intézmény neve</t>
  </si>
  <si>
    <t>1 1</t>
  </si>
  <si>
    <t>1 1 1</t>
  </si>
  <si>
    <t>1 1 2</t>
  </si>
  <si>
    <t>LEVÉL KÖZSÉG ÖSSZESEN:</t>
  </si>
  <si>
    <t>Játékok</t>
  </si>
  <si>
    <t>K917</t>
  </si>
  <si>
    <t>Pénzügyi lízing kiadásai</t>
  </si>
  <si>
    <t>K914</t>
  </si>
  <si>
    <t>Államháztartáson belüli megelőlegzések visszafizetése</t>
  </si>
  <si>
    <t>Tagdíjak</t>
  </si>
  <si>
    <t>Levéli Általános Iskola Diákjaiért Alapítvány</t>
  </si>
  <si>
    <t>Csiga Biga Palota Alapítvány</t>
  </si>
  <si>
    <t>HungaRocky Táncegyesület</t>
  </si>
  <si>
    <t xml:space="preserve">                                            </t>
  </si>
  <si>
    <t>Óvodapedagógus elismert létszáma elismert összeg+ kiegészítő támogatás</t>
  </si>
  <si>
    <t>Pénzügyi lízing</t>
  </si>
  <si>
    <t>Államháztartáson belüli megelőlegzések visszafiz.</t>
  </si>
  <si>
    <t>Államháztartáson belüli megelőlegzések</t>
  </si>
  <si>
    <t>ingyenes</t>
  </si>
  <si>
    <t>Települési támogatás, lakásfenntartási támogatás, temetési segély</t>
  </si>
  <si>
    <t>Köztemetés, ápolási támogatás</t>
  </si>
  <si>
    <t>Igazgatási, szolgáltatási díj</t>
  </si>
  <si>
    <t>Intézmény finanszírozás(óvoda)</t>
  </si>
  <si>
    <t>Igazgatási szolgáltatási díjak</t>
  </si>
  <si>
    <t>Elvonások, befizetések</t>
  </si>
  <si>
    <t>óvodás egész napos 100 %-ot fizető</t>
  </si>
  <si>
    <t>Óvodás gyerekek</t>
  </si>
  <si>
    <t>Iskolás gyerekek</t>
  </si>
  <si>
    <t xml:space="preserve">keletkeztető ügyletből származó tárgyévi, valamint az adósságot keletkeztető ügyletek futamidejének végéig </t>
  </si>
  <si>
    <t>2026-2027</t>
  </si>
  <si>
    <t>Tanulmányterv Fő utca parkoló elhelyezésére</t>
  </si>
  <si>
    <t>Közvilágítás korszerűsítése</t>
  </si>
  <si>
    <t>Maradvány felhasználás</t>
  </si>
  <si>
    <t>Pénzmaradvány felhasználéás</t>
  </si>
  <si>
    <t>Pénzmaradvány igénybevétele</t>
  </si>
  <si>
    <t>A helyi önkormányzatok előző évi elszámolásából származó kiadások</t>
  </si>
  <si>
    <t>Terv</t>
  </si>
  <si>
    <t>2019. évi költségvetési előirányzat költségvetési szervenként</t>
  </si>
  <si>
    <t>Költségvetési engedélyezett létszámhely 2019. év</t>
  </si>
  <si>
    <t>Nem közfoglal-koztatott</t>
  </si>
  <si>
    <t>Közfog-lalkoztatott</t>
  </si>
  <si>
    <t>Kultúrház udvar fedése</t>
  </si>
  <si>
    <t>Fő u. 7. (takarék vásárlása)</t>
  </si>
  <si>
    <t>Bölcsődei fejlesztési pályázatírás költsége 171/2018. (X.29.) határozat</t>
  </si>
  <si>
    <t>Bölcsőde pályázat önerő biztosítása</t>
  </si>
  <si>
    <t>Térköves járdaépítés folytatása (temető) ravatolozó, szerszámos</t>
  </si>
  <si>
    <t>Járdaépítés (József A. u. és Fő u. 59. sz. ingatlan mellett)</t>
  </si>
  <si>
    <t>Murvás útépítés (Vadász u., Petőfi S. utcától Diófa utcáig)</t>
  </si>
  <si>
    <t>Diófa és Vadász utca között betonelem csapadékvíz-elvezető árokhoz</t>
  </si>
  <si>
    <t>Kultúrház udvarán gépkocsifeljáró térkövezése (108/2019. hat.)</t>
  </si>
  <si>
    <t>Kultúrház udvarán térkőburkolat készítése (82/2019. hat.)</t>
  </si>
  <si>
    <t>Immateriális javak beszerzése</t>
  </si>
  <si>
    <t>Ingatlanok beszerzése, létesítése</t>
  </si>
  <si>
    <t>Informatikai eszközök beszerzése</t>
  </si>
  <si>
    <t>Fénymásoló megvásárlása maradványértéken (lízingelt másoló)</t>
  </si>
  <si>
    <t>Chip olvasó</t>
  </si>
  <si>
    <t>Egyéb tárgyi eszközök beszerzése</t>
  </si>
  <si>
    <t>Részesedés vásárlás</t>
  </si>
  <si>
    <t>Beruházások előzetesen felszámított általános forgalmi adója</t>
  </si>
  <si>
    <t xml:space="preserve">BERUHÁZÁSOK </t>
  </si>
  <si>
    <t>Zsírfogó cseréje a konyhánál</t>
  </si>
  <si>
    <t>Fűnyíró vásárlása: zöldterület kezelés</t>
  </si>
  <si>
    <t>Adagoló sószóró-adapter beszerzése</t>
  </si>
  <si>
    <t>Chipleolvasó</t>
  </si>
  <si>
    <t>Berendezési tárgyak megvásárlása: Fő u. 7. (takarék)</t>
  </si>
  <si>
    <t>Berendezési tárgyak megvásárlása: Sport büfé (192/2018. (XII.17.) hat.)</t>
  </si>
  <si>
    <t>Védőnői szék, lámpa a pólyázó fölé</t>
  </si>
  <si>
    <t>Villamos hálózat bővítése: temető</t>
  </si>
  <si>
    <t>Kazáncsere: Fő u. 25. 2. sz. lakás</t>
  </si>
  <si>
    <t>Hátsó épület külső pucolása és szociális helyiség kialakítása: Fő u. 2. (kertészek raktára)</t>
  </si>
  <si>
    <t>Villamos bővítés kábelezéssel: Fő u. 2. (kertészek raktára)</t>
  </si>
  <si>
    <t>Csapadékvíz-elvezető árok: Vadász utca</t>
  </si>
  <si>
    <t>Út-felújítás: Alsófő u. és Május 1. Liget u. (80/2019. hat.)</t>
  </si>
  <si>
    <t>Szolgálati lakások felújítása: Fő u. 25. (2 lakás) (58/2019. hat.)</t>
  </si>
  <si>
    <t>K73</t>
  </si>
  <si>
    <t>Egyéb tárgyi eszközök felújítása</t>
  </si>
  <si>
    <t>Ingatlanok felújítása</t>
  </si>
  <si>
    <t>Gázkazán cseréje</t>
  </si>
  <si>
    <t>Felújítások általános forgalmi adója</t>
  </si>
  <si>
    <t>EGYÉB FELHALMOZÁSI CÉLÚ KIADÁSOK</t>
  </si>
  <si>
    <t>Egyéb működési célú peszk. átadása államházt. belülre</t>
  </si>
  <si>
    <t>Fejlesztési célú peszk. átadása államházt. belülre</t>
  </si>
  <si>
    <t>Országos Mentőszolgálat Alapítvány</t>
  </si>
  <si>
    <t>Példa Egyesület a Szigetköz Gyermekekért</t>
  </si>
  <si>
    <t>Egyéb civil szervezetek (alapítvány) támogatása</t>
  </si>
  <si>
    <t>K513</t>
  </si>
  <si>
    <t>Felnőtt játszótér pályázat önerő 90/2018.(IV24.) határozat</t>
  </si>
  <si>
    <t>Tűzoltó Egyesület (-sátorbérlet)</t>
  </si>
  <si>
    <t xml:space="preserve">   Működési tartalék (2018. évi maradvány: 25.403.317,-Ft)</t>
  </si>
  <si>
    <t>Jelzőrendszeres 50e, doborgazi tábor 70e rászoruló gy kar 75e, idősek otthoni ellátásért</t>
  </si>
  <si>
    <t>Tankönyv támogatás</t>
  </si>
  <si>
    <t>Közép- és felső oktatási tanulók szoc.t. (Bursa)</t>
  </si>
  <si>
    <t>Téli rezsicsökkentés (átcsop. K312-be)</t>
  </si>
  <si>
    <t>Foglalkoztatottak személyi juttatásai</t>
  </si>
  <si>
    <t>Foglalk. egyéb szem. jutt. (biztosítási díj, megbízási díj: kompenzáció, kult. pótlék)</t>
  </si>
  <si>
    <t xml:space="preserve">Külső személyi juttatások </t>
  </si>
  <si>
    <t>Alapilletmények, pótlékok, illetmények, kereset-kiegészítés</t>
  </si>
  <si>
    <t>Alapilletmények, pótlékok, illetmények, kereset-kiegészítés: részmunkaidősök</t>
  </si>
  <si>
    <t>Jutalom: részmunkaidősök</t>
  </si>
  <si>
    <t>Szakmai anyag beszerzés</t>
  </si>
  <si>
    <t>Üzemeltetési anyagok beszerzése</t>
  </si>
  <si>
    <t>Készletbeszerzés</t>
  </si>
  <si>
    <t>Kommunikációs szolgáltatások</t>
  </si>
  <si>
    <t>Egyéb szolgáltatások (lomtalanítás, Hír-Levél nyomtatás, gyepmesteri szolg., tűzoltó készülékek ell., postaktg., biztosítási díj)</t>
  </si>
  <si>
    <t>K332</t>
  </si>
  <si>
    <t>Szolgáltatási kiadások</t>
  </si>
  <si>
    <t>Kiküldetések, reklám kiadások</t>
  </si>
  <si>
    <t>Különféle befizetések és egyéb dologi kiadások</t>
  </si>
  <si>
    <t>K33</t>
  </si>
  <si>
    <t>KIADÁSOK ÖSSZESEN</t>
  </si>
  <si>
    <t>KIADÁSOK HALMOZOTT ÖSSZEGE</t>
  </si>
  <si>
    <t>FINANSZÍROZÁSI KIADÁSOK</t>
  </si>
  <si>
    <t xml:space="preserve">      Helyi önkormányzatok működésének általános tám. (B111)</t>
  </si>
  <si>
    <t xml:space="preserve">           Köznevelési feladatok (óvoda) (B112)</t>
  </si>
  <si>
    <t xml:space="preserve">              Kedvezményes étkezés (B113)</t>
  </si>
  <si>
    <t>Könyvtári, közművelődés feladatok támogatása (B114)</t>
  </si>
  <si>
    <t xml:space="preserve">             Kiegészítő támogatások (B116)</t>
  </si>
  <si>
    <t xml:space="preserve">              Lakott külterület (B115)</t>
  </si>
  <si>
    <t>OEP-től átvett pénzeszköz ifjúság eü. feladatok</t>
  </si>
  <si>
    <t>Bursa ösztöndíj</t>
  </si>
  <si>
    <t>Jövedelem adók (termőföld bérbeadás)</t>
  </si>
  <si>
    <t>B341</t>
  </si>
  <si>
    <t>B342</t>
  </si>
  <si>
    <t>Vagyoni típusú adók (építmény, telekadó)</t>
  </si>
  <si>
    <t>Egyéb adók (talajterhelési díj)</t>
  </si>
  <si>
    <t>B36</t>
  </si>
  <si>
    <t>B35</t>
  </si>
  <si>
    <t>Termékek és szolgáltatások adói</t>
  </si>
  <si>
    <t>Egyéb közhatalmi bevételek</t>
  </si>
  <si>
    <t>Környezetvédelmi bírság</t>
  </si>
  <si>
    <t>B367</t>
  </si>
  <si>
    <t>B361</t>
  </si>
  <si>
    <t>B362</t>
  </si>
  <si>
    <t>Vagyoni típusú adók összesen</t>
  </si>
  <si>
    <t>Fordítot áfa</t>
  </si>
  <si>
    <t>B411</t>
  </si>
  <si>
    <t>MŰK. CÉLÚ ÁTVETT PÉNZE. ÁH. KÍVÜLRŐL</t>
  </si>
  <si>
    <t>B65</t>
  </si>
  <si>
    <t>FELHALM. CÉLÚ ÁTVETT PÉNZE. ÁH. KÍVÜLRŐL</t>
  </si>
  <si>
    <t>B75</t>
  </si>
  <si>
    <t>BEVÉTELEK ÖSSZESEN</t>
  </si>
  <si>
    <t>FINANSZÍROZÁSI BEVÉTELEK</t>
  </si>
  <si>
    <t>BEVÉTELEK HALMOZOTT ÖSSZEGE</t>
  </si>
  <si>
    <t>FELHALM. ÁTVETT PÉNZE. ÁH KÍVÜLRŐL</t>
  </si>
  <si>
    <t>MŰK. CÉLÚ TÁMOGATÁS ÁH. BELÜLRŐL</t>
  </si>
  <si>
    <t>FELH. CÉLÚ TÁMOGATÁS ÁH. BELÜLRŐL</t>
  </si>
  <si>
    <t>Alapilletmények, pótlékok, illetmény-, keresetkiegészítés: részmunkaidős</t>
  </si>
  <si>
    <t>Jutalom: részmunkaidős</t>
  </si>
  <si>
    <t>K22</t>
  </si>
  <si>
    <t>Rehabilitációs hozzájárulás</t>
  </si>
  <si>
    <t>K3114</t>
  </si>
  <si>
    <t>Szakmai anyag: tempera, krepp papír barkácsoláshoz</t>
  </si>
  <si>
    <t>Felhalm. célú pénze. átv. ÁH. kívülről</t>
  </si>
  <si>
    <t>KÖLTSÉGVETÉSI FŐÖSSZEG</t>
  </si>
  <si>
    <t>Finanszírozási célú bevételek</t>
  </si>
  <si>
    <t>Finanszírozási célú kiadások</t>
  </si>
  <si>
    <t>FELHALMOZÁSI BEVÉTELEK ÖSSZ.</t>
  </si>
  <si>
    <t>Bértámogatás</t>
  </si>
  <si>
    <r>
      <t xml:space="preserve">Jövedelem adók: </t>
    </r>
    <r>
      <rPr>
        <sz val="12"/>
        <rFont val="Times"/>
      </rPr>
      <t>termőföld bérbeadás</t>
    </r>
  </si>
  <si>
    <r>
      <t xml:space="preserve">Vagyoni típusú adók: </t>
    </r>
    <r>
      <rPr>
        <sz val="12"/>
        <rFont val="Times"/>
      </rPr>
      <t>építmény, telekadó</t>
    </r>
  </si>
  <si>
    <r>
      <rPr>
        <b/>
        <sz val="12"/>
        <rFont val="Times"/>
      </rPr>
      <t xml:space="preserve">Értékesítési és forgalmi adók: </t>
    </r>
    <r>
      <rPr>
        <sz val="12"/>
        <rFont val="Times"/>
      </rPr>
      <t>iparűzési adó</t>
    </r>
  </si>
  <si>
    <r>
      <rPr>
        <b/>
        <sz val="12"/>
        <rFont val="Times"/>
      </rPr>
      <t>Egyéb adók</t>
    </r>
    <r>
      <rPr>
        <sz val="12"/>
        <rFont val="Times"/>
      </rPr>
      <t>: talajterhelési díj</t>
    </r>
  </si>
  <si>
    <t xml:space="preserve">                       bírság, pótlék</t>
  </si>
  <si>
    <t xml:space="preserve">                       környezetvédelmi bírság</t>
  </si>
  <si>
    <t>Készletértékesítés ellenértéke</t>
  </si>
  <si>
    <t>Közvetített szolgáltatások ellenértéke</t>
  </si>
  <si>
    <t>Tulajdonosi bevételek</t>
  </si>
  <si>
    <t>Általános forgalmi adó visszatérítése</t>
  </si>
  <si>
    <t>Kamatbevételek és más nyereségjellegű bevételek</t>
  </si>
  <si>
    <t>Jövedelem adók: termőföld bérbeadás</t>
  </si>
  <si>
    <t>Vagyoni típusú adók: építmény, telekadó</t>
  </si>
  <si>
    <t>Értékesítési és forgalmi adók: iparűzési adó</t>
  </si>
  <si>
    <t>Egyéb adók: talajterhelési díj</t>
  </si>
  <si>
    <t>összesen</t>
  </si>
  <si>
    <t>Működési kiadások összesen</t>
  </si>
  <si>
    <t>Felhalmozási kiadások</t>
  </si>
  <si>
    <t>K5021</t>
  </si>
  <si>
    <t>K5022</t>
  </si>
  <si>
    <t>HALMOZOTT KIADÁSOK ÖSSZ.</t>
  </si>
  <si>
    <t>ÖSSZESEN</t>
  </si>
  <si>
    <t>Közös Hivatal fennt-hoz átvett pénzeszközök</t>
  </si>
  <si>
    <t>változás
(%)</t>
  </si>
  <si>
    <t>telj. arány
mód.
EI-hoz (%)</t>
  </si>
  <si>
    <t>VI.</t>
  </si>
  <si>
    <t>telj. arány
mód.
EI-hoz
(%)</t>
  </si>
  <si>
    <t>telj. arány
mód. EI-hoz
(%)</t>
  </si>
  <si>
    <t>A helyi önkormányzatok törvényi előíráson alapuló befizetései</t>
  </si>
  <si>
    <t>ÓVODA</t>
  </si>
  <si>
    <t>vált.
(%)</t>
  </si>
  <si>
    <t>HALMOZOTT BEVÉTELEK ÖSSZESEN</t>
  </si>
  <si>
    <t>Egyéb felhalmozási célú támogatások ÁH-n kívülre</t>
  </si>
  <si>
    <t>01-09. hó mód. EI</t>
  </si>
  <si>
    <t>01-09. hó teljesítés</t>
  </si>
  <si>
    <t>01-09. hó telj.</t>
  </si>
  <si>
    <t>Fizetendő általános forgalmi adó (Fordított ÁFA)</t>
  </si>
  <si>
    <t>Kamerarendszer bővítése</t>
  </si>
  <si>
    <t>Közösségi kemence</t>
  </si>
  <si>
    <t>Útburkolat felújítása: Ág u.</t>
  </si>
  <si>
    <t>Kiülő tetőcseréje: Horgász tó</t>
  </si>
  <si>
    <t>Pénzügyi lízing kiadásai (Konkord-tól az új másolót béreljük.)</t>
  </si>
  <si>
    <t>052020
Szennyvíz
gyűjtése,
tisztítása</t>
  </si>
  <si>
    <t>045120
Út, autópálya
építése</t>
  </si>
  <si>
    <t>083050
Televiziós műsor
szolgáltatása
és támogatása</t>
  </si>
  <si>
    <t>042180
Állat-
egészségügy</t>
  </si>
  <si>
    <t>066010
Zöldterület
kezelés</t>
  </si>
  <si>
    <t>074031
Család és
nővédelmi
eü.-gondozás</t>
  </si>
  <si>
    <t>107060
Egyéb szociális
pébzeli ellátások,
támogatások</t>
  </si>
  <si>
    <t>084031
Civil szervezetek
működési
támogatása</t>
  </si>
  <si>
    <t>016030
Állam-
polgársági
ügyletek</t>
  </si>
  <si>
    <t>041233
Hosszabb
időtartamú
közfogl.</t>
  </si>
  <si>
    <t>B343</t>
  </si>
  <si>
    <t>B344</t>
  </si>
  <si>
    <t>094260
Hallgatói és
oktatói
ösztöndíjak,
egyéb juttatások</t>
  </si>
  <si>
    <t>086030
Nemzetközi
kulúrális
együtt-működés</t>
  </si>
  <si>
    <t>082044
Könyvtári
szolgál-tatások</t>
  </si>
  <si>
    <t>013320
Köztemető
fenntartás
és
működtetés</t>
  </si>
  <si>
    <t>064010
Köz-
világítás</t>
  </si>
  <si>
    <t>084032
Civil
szervezetek
program-
támogatása</t>
  </si>
  <si>
    <t>072450
Fiziko-
terápiás
szolg.</t>
  </si>
  <si>
    <t>091211
Köznev. int.
tanulók nappali
nev., okt. szakmai
feladatai: 1-4. évf.</t>
  </si>
  <si>
    <t>091220
Köznev. int. 1-4.
évf. tanulók
nev., okt. összefüggő
műk. feladatok</t>
  </si>
  <si>
    <t>092120
Köznev. int. 5-8.
évf. tanulók
nev., okt. összefüggő
műk. feladatok</t>
  </si>
  <si>
    <t>066020
Város-,
község-
gazd.
egyéb szolg.</t>
  </si>
  <si>
    <t>072311
Fogorvosi
alap-
ellátás</t>
  </si>
  <si>
    <t>900070
Fejezeti és
ált.
tartalékok
elsz.</t>
  </si>
  <si>
    <t>900060
Forgatási
és befekt.
célú fin.
műv.</t>
  </si>
  <si>
    <t>018030
Támogatási
célú
finansz.
műveletek</t>
  </si>
  <si>
    <t>018010
Önk.-ok
elsz. a
kp.-i ktg.-
vetéssel</t>
  </si>
  <si>
    <t>072111
Házi-
orvosi
alap-
ellátás</t>
  </si>
  <si>
    <t>011130
Önk.-ok és
önk.-i hivatalok jogalkotó és
ált. ig. tev.-e</t>
  </si>
  <si>
    <t>900020
Önk.-ok
funkcióira
nem sorolható
bev. áh.-n kívülről</t>
  </si>
  <si>
    <t>ROVAT</t>
  </si>
  <si>
    <t>telj.
arány
mód.
EI-hoz
(%)</t>
  </si>
  <si>
    <t>051040
Nem veszélyes
hulladék kezelése,
ártalmatla-
nítása</t>
  </si>
  <si>
    <t>083030
Egyéb
kiadói
tevékeny-ség</t>
  </si>
  <si>
    <t>096015
Gyermek-étkeztetés
köznevelési
intézmény-ben</t>
  </si>
  <si>
    <t>013350
Az önk.-i vagyonnal
való gazd.
kapcsolatos feladatok</t>
  </si>
  <si>
    <t>074032
Ifjuság-
egészség-ügyi
gondozás</t>
  </si>
  <si>
    <t>045161
Kerékpár-utak
üzemel-tetése,
fenntartása</t>
  </si>
  <si>
    <t>082091
Közművelő-dés:
közösségi
és társadalmi
részvétel fejl.</t>
  </si>
  <si>
    <t>081045
Szabadidő-
sport
tevékeny-ség és támogatása</t>
  </si>
  <si>
    <t>032020
Tűz- és
katasz-
trófavéd.
tevékeny-ség</t>
  </si>
  <si>
    <t>016080
Kiemelt
állami és
önkorm.
rendezvé-nyek</t>
  </si>
  <si>
    <t>Bevételi előirányzattal szemben EI-módosítást könyvelni. (120/2019. hat.; 2019/2625 út.rend.)</t>
  </si>
  <si>
    <t>Áttenni K64-be.</t>
  </si>
  <si>
    <t>Ennek hol a teljesítése?</t>
  </si>
  <si>
    <r>
      <t xml:space="preserve">Egyéb tárgyi eszközök: tányér, evőeszköz, mosogatógép, kuka, </t>
    </r>
    <r>
      <rPr>
        <b/>
        <sz val="10"/>
        <rFont val="Times"/>
        <charset val="238"/>
      </rPr>
      <t>külső adattároló</t>
    </r>
    <r>
      <rPr>
        <sz val="10"/>
        <rFont val="Times"/>
        <charset val="238"/>
      </rPr>
      <t xml:space="preserve">, </t>
    </r>
    <r>
      <rPr>
        <b/>
        <sz val="10"/>
        <rFont val="Times"/>
        <charset val="238"/>
      </rPr>
      <t>üzenetrögzítős telefon</t>
    </r>
    <r>
      <rPr>
        <sz val="10"/>
        <rFont val="Times"/>
        <charset val="238"/>
      </rPr>
      <t xml:space="preserve">, falitükör, konyhaszekrény, beltéri hírdetőtábla, olvasólámpa, </t>
    </r>
    <r>
      <rPr>
        <b/>
        <sz val="10"/>
        <rFont val="Times"/>
        <charset val="238"/>
      </rPr>
      <t>szelektív ingeráram készülék Amazone-tól, mobiltelefon (temető), virágtartó láda (temető), vérnyomásmérő, sátorponyva, lízingelt fénymásoló (Konkoord), sátrak, nyomtató, iratmegsemmisítő</t>
    </r>
  </si>
  <si>
    <t>Áttenni K71-be</t>
  </si>
  <si>
    <t>Értékpapír beváltás</t>
  </si>
  <si>
    <t>Ingatlan értékesítés</t>
  </si>
  <si>
    <t>2019. évi előirányzat</t>
  </si>
  <si>
    <t xml:space="preserve">A működési és fejlesztési célú bevételek és kiadások 2019-2022. évi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</si>
</sst>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\ _F_t_-;\-* #,##0\ _F_t_-;_-* &quot;-&quot;\ _F_t_-;_-@_-"/>
    <numFmt numFmtId="165" formatCode="_-* #,##0.00\ _F_t_-;\-* #,##0.00\ _F_t_-;_-* &quot;-&quot;??\ _F_t_-;_-@_-"/>
    <numFmt numFmtId="166" formatCode="_-* #,##0\ _F_t_-;\-* #,##0\ _F_t_-;_-* &quot;-&quot;??\ _F_t_-;_-@_-"/>
    <numFmt numFmtId="167" formatCode="#,###"/>
    <numFmt numFmtId="168" formatCode="0&quot;. évi&quot;"/>
    <numFmt numFmtId="169" formatCode="0&quot;. I. félévi&quot;"/>
    <numFmt numFmtId="170" formatCode="#,##0\ _F_t"/>
    <numFmt numFmtId="171" formatCode="0&quot; fő&quot;"/>
  </numFmts>
  <fonts count="120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Times"/>
      <family val="1"/>
      <charset val="238"/>
    </font>
    <font>
      <b/>
      <sz val="9"/>
      <name val="Times"/>
      <family val="1"/>
      <charset val="238"/>
    </font>
    <font>
      <sz val="9"/>
      <name val="Times"/>
      <family val="1"/>
      <charset val="238"/>
    </font>
    <font>
      <b/>
      <sz val="10"/>
      <name val="Times"/>
      <family val="1"/>
      <charset val="238"/>
    </font>
    <font>
      <b/>
      <sz val="12"/>
      <name val="Times"/>
      <family val="1"/>
      <charset val="238"/>
    </font>
    <font>
      <sz val="12"/>
      <name val="Times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name val="Times"/>
      <family val="1"/>
      <charset val="238"/>
    </font>
    <font>
      <sz val="11"/>
      <name val="Times"/>
      <family val="1"/>
      <charset val="238"/>
    </font>
    <font>
      <b/>
      <sz val="14"/>
      <name val="Times"/>
      <family val="1"/>
      <charset val="238"/>
    </font>
    <font>
      <sz val="10"/>
      <name val="Times"/>
      <family val="1"/>
      <charset val="238"/>
    </font>
    <font>
      <b/>
      <sz val="10"/>
      <name val="Times"/>
      <family val="1"/>
    </font>
    <font>
      <sz val="12"/>
      <name val="Times"/>
      <family val="1"/>
    </font>
    <font>
      <b/>
      <sz val="14"/>
      <color indexed="10"/>
      <name val="Times"/>
      <family val="1"/>
      <charset val="238"/>
    </font>
    <font>
      <b/>
      <sz val="12"/>
      <color indexed="8"/>
      <name val="Times"/>
      <family val="1"/>
      <charset val="238"/>
    </font>
    <font>
      <sz val="14"/>
      <name val="Times"/>
      <family val="1"/>
      <charset val="238"/>
    </font>
    <font>
      <b/>
      <sz val="12"/>
      <name val="Times New Roman"/>
      <family val="1"/>
      <charset val="238"/>
    </font>
    <font>
      <b/>
      <u/>
      <sz val="10"/>
      <name val="Times"/>
      <family val="1"/>
      <charset val="238"/>
    </font>
    <font>
      <b/>
      <u/>
      <sz val="9"/>
      <name val="Times"/>
      <family val="1"/>
      <charset val="238"/>
    </font>
    <font>
      <b/>
      <sz val="14"/>
      <name val="Times New Roman"/>
      <family val="1"/>
      <charset val="238"/>
    </font>
    <font>
      <b/>
      <sz val="12"/>
      <color indexed="8"/>
      <name val="Times"/>
      <family val="1"/>
      <charset val="238"/>
    </font>
    <font>
      <sz val="10"/>
      <name val="Times"/>
      <family val="1"/>
    </font>
    <font>
      <b/>
      <sz val="16"/>
      <name val="Times"/>
      <family val="1"/>
      <charset val="238"/>
    </font>
    <font>
      <sz val="10"/>
      <name val="Arial CE"/>
      <charset val="238"/>
    </font>
    <font>
      <b/>
      <sz val="12"/>
      <name val="Times"/>
      <family val="1"/>
    </font>
    <font>
      <sz val="12"/>
      <name val="Times New Roman CE"/>
      <charset val="238"/>
    </font>
    <font>
      <sz val="12"/>
      <name val="Times"/>
      <family val="1"/>
      <charset val="238"/>
    </font>
    <font>
      <sz val="11"/>
      <name val="Times"/>
      <family val="1"/>
      <charset val="238"/>
    </font>
    <font>
      <b/>
      <sz val="12"/>
      <name val="Times"/>
      <family val="1"/>
      <charset val="238"/>
    </font>
    <font>
      <b/>
      <sz val="14"/>
      <name val="Times"/>
      <family val="1"/>
      <charset val="238"/>
    </font>
    <font>
      <b/>
      <sz val="10"/>
      <name val="Times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"/>
      <family val="1"/>
      <charset val="238"/>
    </font>
    <font>
      <sz val="12"/>
      <name val="Times New Roman"/>
      <family val="1"/>
      <charset val="238"/>
    </font>
    <font>
      <sz val="11"/>
      <name val="Arial CE"/>
      <charset val="238"/>
    </font>
    <font>
      <i/>
      <sz val="11"/>
      <name val="Times"/>
      <family val="1"/>
      <charset val="238"/>
    </font>
    <font>
      <b/>
      <sz val="9"/>
      <name val="Times"/>
      <family val="1"/>
      <charset val="238"/>
    </font>
    <font>
      <b/>
      <sz val="11"/>
      <name val="Times"/>
      <family val="1"/>
    </font>
    <font>
      <b/>
      <sz val="16"/>
      <color indexed="10"/>
      <name val="Times"/>
      <family val="1"/>
      <charset val="238"/>
    </font>
    <font>
      <b/>
      <sz val="14"/>
      <color indexed="10"/>
      <name val="Times"/>
      <family val="1"/>
      <charset val="238"/>
    </font>
    <font>
      <b/>
      <sz val="12"/>
      <color indexed="10"/>
      <name val="Times"/>
      <family val="1"/>
      <charset val="238"/>
    </font>
    <font>
      <sz val="12"/>
      <color indexed="10"/>
      <name val="Times"/>
      <family val="1"/>
      <charset val="238"/>
    </font>
    <font>
      <b/>
      <sz val="14"/>
      <color indexed="60"/>
      <name val="Times"/>
      <family val="1"/>
      <charset val="238"/>
    </font>
    <font>
      <b/>
      <sz val="14"/>
      <color indexed="10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"/>
      <charset val="238"/>
    </font>
    <font>
      <sz val="14"/>
      <name val="Times"/>
      <charset val="238"/>
    </font>
    <font>
      <sz val="14"/>
      <color indexed="8"/>
      <name val="Times"/>
      <charset val="238"/>
    </font>
    <font>
      <b/>
      <sz val="14"/>
      <name val="Times"/>
      <charset val="238"/>
    </font>
    <font>
      <sz val="11"/>
      <name val="Times"/>
      <charset val="238"/>
    </font>
    <font>
      <b/>
      <sz val="12"/>
      <name val="Times"/>
      <charset val="238"/>
    </font>
    <font>
      <sz val="10"/>
      <name val="Arial CE"/>
      <charset val="238"/>
    </font>
    <font>
      <b/>
      <sz val="11"/>
      <name val="Times"/>
      <charset val="238"/>
    </font>
    <font>
      <b/>
      <sz val="9"/>
      <name val="Times"/>
      <charset val="238"/>
    </font>
    <font>
      <sz val="12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4"/>
      <name val="Arial CE"/>
      <charset val="238"/>
    </font>
    <font>
      <b/>
      <sz val="10"/>
      <name val="Times"/>
      <charset val="238"/>
    </font>
    <font>
      <b/>
      <sz val="13"/>
      <name val="Times"/>
      <family val="1"/>
      <charset val="238"/>
    </font>
    <font>
      <sz val="13"/>
      <name val="Times"/>
      <family val="1"/>
      <charset val="238"/>
    </font>
    <font>
      <b/>
      <sz val="13"/>
      <name val="Times"/>
      <charset val="238"/>
    </font>
    <font>
      <b/>
      <sz val="13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i/>
      <sz val="12"/>
      <name val="Times"/>
      <charset val="238"/>
    </font>
    <font>
      <sz val="12"/>
      <name val="Times"/>
    </font>
    <font>
      <b/>
      <sz val="15"/>
      <name val="Times"/>
      <family val="1"/>
    </font>
    <font>
      <sz val="13"/>
      <name val="Times"/>
      <family val="1"/>
    </font>
    <font>
      <b/>
      <sz val="15"/>
      <color rgb="FFFF0000"/>
      <name val="Times"/>
      <family val="1"/>
    </font>
    <font>
      <b/>
      <sz val="12"/>
      <name val="Times"/>
    </font>
    <font>
      <sz val="10"/>
      <name val="Times"/>
      <charset val="238"/>
    </font>
    <font>
      <b/>
      <sz val="13"/>
      <color rgb="FFFF0000"/>
      <name val="Times"/>
      <family val="1"/>
    </font>
    <font>
      <b/>
      <sz val="13"/>
      <name val="Times"/>
    </font>
    <font>
      <b/>
      <sz val="11"/>
      <name val="Times"/>
    </font>
    <font>
      <b/>
      <sz val="14"/>
      <color indexed="8"/>
      <name val="Times"/>
      <family val="1"/>
      <charset val="238"/>
    </font>
    <font>
      <b/>
      <sz val="8"/>
      <name val="Times"/>
      <family val="1"/>
      <charset val="238"/>
    </font>
    <font>
      <sz val="10"/>
      <color indexed="8"/>
      <name val="Times"/>
      <charset val="238"/>
    </font>
    <font>
      <b/>
      <sz val="11"/>
      <color indexed="8"/>
      <name val="Times New Roman"/>
      <family val="1"/>
      <charset val="238"/>
    </font>
    <font>
      <sz val="9"/>
      <name val="Times"/>
      <charset val="238"/>
    </font>
    <font>
      <b/>
      <sz val="14"/>
      <name val="Times"/>
      <family val="1"/>
    </font>
    <font>
      <b/>
      <sz val="14"/>
      <color rgb="FFFF0000"/>
      <name val="Times"/>
      <family val="1"/>
    </font>
    <font>
      <b/>
      <sz val="14"/>
      <name val="Times"/>
    </font>
    <font>
      <b/>
      <sz val="9"/>
      <name val="Times"/>
      <family val="1"/>
    </font>
    <font>
      <b/>
      <sz val="16"/>
      <name val="Times"/>
      <family val="1"/>
    </font>
    <font>
      <sz val="11"/>
      <name val="Times"/>
      <family val="1"/>
    </font>
    <font>
      <b/>
      <sz val="13"/>
      <name val="Times"/>
      <family val="1"/>
    </font>
    <font>
      <sz val="14"/>
      <name val="Times"/>
      <family val="1"/>
    </font>
    <font>
      <sz val="13"/>
      <color rgb="FF0070C0"/>
      <name val="Times"/>
      <family val="1"/>
    </font>
    <font>
      <b/>
      <i/>
      <sz val="14"/>
      <name val="Times"/>
      <family val="1"/>
    </font>
    <font>
      <sz val="14"/>
      <color rgb="FF0070C0"/>
      <name val="Times"/>
      <family val="1"/>
    </font>
    <font>
      <sz val="15"/>
      <name val="Times"/>
      <family val="1"/>
    </font>
    <font>
      <sz val="16"/>
      <name val="Times"/>
      <family val="1"/>
    </font>
    <font>
      <b/>
      <i/>
      <sz val="11"/>
      <name val="Times"/>
      <charset val="238"/>
    </font>
    <font>
      <b/>
      <i/>
      <sz val="10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</fills>
  <borders count="9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Dash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 style="thick">
        <color indexed="64"/>
      </right>
      <top style="thin">
        <color indexed="64"/>
      </top>
      <bottom/>
      <diagonal/>
    </border>
    <border>
      <left style="mediumDashed">
        <color indexed="64"/>
      </left>
      <right style="thick">
        <color indexed="64"/>
      </right>
      <top/>
      <bottom/>
      <diagonal/>
    </border>
    <border>
      <left style="mediumDashed">
        <color indexed="64"/>
      </left>
      <right style="thick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 style="double">
        <color indexed="64"/>
      </top>
      <bottom/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/>
      <diagonal/>
    </border>
    <border>
      <left style="slantDash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slantDash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7" borderId="1" applyNumberFormat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16" borderId="5" applyNumberFormat="0" applyAlignment="0" applyProtection="0"/>
    <xf numFmtId="165" fontId="1" fillId="0" borderId="0" applyFont="0" applyFill="0" applyBorder="0" applyAlignment="0" applyProtection="0"/>
    <xf numFmtId="165" fontId="4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" fillId="17" borderId="7" applyNumberFormat="0" applyFont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9" fillId="4" borderId="0" applyNumberFormat="0" applyBorder="0" applyAlignment="0" applyProtection="0"/>
    <xf numFmtId="0" fontId="20" fillId="22" borderId="8" applyNumberFormat="0" applyAlignment="0" applyProtection="0"/>
    <xf numFmtId="0" fontId="21" fillId="0" borderId="0" applyNumberFormat="0" applyFill="0" applyBorder="0" applyAlignment="0" applyProtection="0"/>
    <xf numFmtId="0" fontId="68" fillId="0" borderId="0"/>
    <xf numFmtId="0" fontId="1" fillId="0" borderId="0"/>
    <xf numFmtId="0" fontId="44" fillId="0" borderId="0"/>
    <xf numFmtId="0" fontId="81" fillId="0" borderId="0"/>
    <xf numFmtId="0" fontId="22" fillId="0" borderId="9" applyNumberFormat="0" applyFill="0" applyAlignment="0" applyProtection="0"/>
    <xf numFmtId="0" fontId="23" fillId="3" borderId="0" applyNumberFormat="0" applyBorder="0" applyAlignment="0" applyProtection="0"/>
    <xf numFmtId="0" fontId="24" fillId="23" borderId="0" applyNumberFormat="0" applyBorder="0" applyAlignment="0" applyProtection="0"/>
    <xf numFmtId="0" fontId="25" fillId="22" borderId="1" applyNumberFormat="0" applyAlignment="0" applyProtection="0"/>
  </cellStyleXfs>
  <cellXfs count="859">
    <xf numFmtId="0" fontId="0" fillId="0" borderId="0" xfId="0"/>
    <xf numFmtId="0" fontId="5" fillId="0" borderId="10" xfId="0" applyFont="1" applyBorder="1"/>
    <xf numFmtId="166" fontId="7" fillId="24" borderId="10" xfId="26" applyNumberFormat="1" applyFont="1" applyFill="1" applyBorder="1"/>
    <xf numFmtId="166" fontId="8" fillId="24" borderId="10" xfId="26" applyNumberFormat="1" applyFont="1" applyFill="1" applyBorder="1"/>
    <xf numFmtId="166" fontId="6" fillId="25" borderId="10" xfId="26" applyNumberFormat="1" applyFont="1" applyFill="1" applyBorder="1"/>
    <xf numFmtId="0" fontId="7" fillId="24" borderId="10" xfId="0" applyFont="1" applyFill="1" applyBorder="1" applyAlignment="1">
      <alignment horizontal="center"/>
    </xf>
    <xf numFmtId="0" fontId="8" fillId="25" borderId="10" xfId="0" applyFont="1" applyFill="1" applyBorder="1"/>
    <xf numFmtId="0" fontId="6" fillId="25" borderId="10" xfId="0" applyFont="1" applyFill="1" applyBorder="1" applyAlignment="1">
      <alignment horizontal="center"/>
    </xf>
    <xf numFmtId="0" fontId="6" fillId="25" borderId="10" xfId="0" applyFont="1" applyFill="1" applyBorder="1"/>
    <xf numFmtId="0" fontId="6" fillId="0" borderId="10" xfId="0" applyFont="1" applyBorder="1" applyAlignment="1">
      <alignment horizontal="center"/>
    </xf>
    <xf numFmtId="0" fontId="26" fillId="25" borderId="10" xfId="0" applyFont="1" applyFill="1" applyBorder="1"/>
    <xf numFmtId="0" fontId="6" fillId="0" borderId="10" xfId="0" applyFont="1" applyBorder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36" fillId="0" borderId="10" xfId="0" applyFont="1" applyBorder="1"/>
    <xf numFmtId="166" fontId="6" fillId="26" borderId="10" xfId="26" applyNumberFormat="1" applyFont="1" applyFill="1" applyBorder="1" applyAlignment="1">
      <alignment horizontal="center"/>
    </xf>
    <xf numFmtId="0" fontId="27" fillId="25" borderId="10" xfId="0" applyFont="1" applyFill="1" applyBorder="1"/>
    <xf numFmtId="0" fontId="4" fillId="0" borderId="10" xfId="0" applyFont="1" applyBorder="1"/>
    <xf numFmtId="0" fontId="37" fillId="0" borderId="10" xfId="0" applyFont="1" applyBorder="1"/>
    <xf numFmtId="0" fontId="5" fillId="0" borderId="14" xfId="0" applyFont="1" applyBorder="1"/>
    <xf numFmtId="0" fontId="27" fillId="25" borderId="14" xfId="0" applyFont="1" applyFill="1" applyBorder="1"/>
    <xf numFmtId="166" fontId="8" fillId="24" borderId="14" xfId="26" applyNumberFormat="1" applyFont="1" applyFill="1" applyBorder="1"/>
    <xf numFmtId="0" fontId="5" fillId="0" borderId="10" xfId="0" applyFont="1" applyFill="1" applyBorder="1"/>
    <xf numFmtId="0" fontId="4" fillId="0" borderId="10" xfId="0" applyFont="1" applyFill="1" applyBorder="1"/>
    <xf numFmtId="166" fontId="5" fillId="0" borderId="10" xfId="26" applyNumberFormat="1" applyFont="1" applyBorder="1"/>
    <xf numFmtId="166" fontId="4" fillId="0" borderId="10" xfId="26" applyNumberFormat="1" applyFont="1" applyBorder="1"/>
    <xf numFmtId="166" fontId="5" fillId="0" borderId="14" xfId="26" applyNumberFormat="1" applyFont="1" applyBorder="1"/>
    <xf numFmtId="166" fontId="4" fillId="0" borderId="10" xfId="26" applyNumberFormat="1" applyFont="1" applyFill="1" applyBorder="1"/>
    <xf numFmtId="0" fontId="5" fillId="27" borderId="10" xfId="0" applyFont="1" applyFill="1" applyBorder="1"/>
    <xf numFmtId="0" fontId="29" fillId="0" borderId="0" xfId="0" applyFont="1"/>
    <xf numFmtId="166" fontId="29" fillId="0" borderId="0" xfId="0" applyNumberFormat="1" applyFont="1"/>
    <xf numFmtId="166" fontId="29" fillId="0" borderId="0" xfId="26" applyNumberFormat="1" applyFont="1"/>
    <xf numFmtId="0" fontId="5" fillId="25" borderId="10" xfId="0" applyFont="1" applyFill="1" applyBorder="1"/>
    <xf numFmtId="166" fontId="28" fillId="28" borderId="10" xfId="26" applyNumberFormat="1" applyFont="1" applyFill="1" applyBorder="1"/>
    <xf numFmtId="0" fontId="8" fillId="25" borderId="10" xfId="0" applyFont="1" applyFill="1" applyBorder="1" applyAlignment="1" applyProtection="1">
      <alignment horizontal="left" vertical="center" wrapText="1"/>
      <protection locked="0"/>
    </xf>
    <xf numFmtId="0" fontId="7" fillId="25" borderId="10" xfId="0" applyFont="1" applyFill="1" applyBorder="1" applyAlignment="1" applyProtection="1">
      <alignment horizontal="left" vertical="center" wrapText="1"/>
      <protection locked="0"/>
    </xf>
    <xf numFmtId="0" fontId="8" fillId="0" borderId="10" xfId="0" applyFont="1" applyFill="1" applyBorder="1" applyAlignment="1" applyProtection="1">
      <alignment horizontal="left" vertical="center" wrapText="1"/>
      <protection locked="0"/>
    </xf>
    <xf numFmtId="166" fontId="0" fillId="0" borderId="0" xfId="0" applyNumberFormat="1"/>
    <xf numFmtId="166" fontId="40" fillId="25" borderId="0" xfId="26" applyNumberFormat="1" applyFont="1" applyFill="1"/>
    <xf numFmtId="0" fontId="7" fillId="28" borderId="10" xfId="0" applyFont="1" applyFill="1" applyBorder="1"/>
    <xf numFmtId="0" fontId="27" fillId="0" borderId="0" xfId="0" applyFont="1" applyBorder="1"/>
    <xf numFmtId="0" fontId="8" fillId="0" borderId="10" xfId="0" applyFont="1" applyFill="1" applyBorder="1"/>
    <xf numFmtId="0" fontId="45" fillId="0" borderId="10" xfId="0" applyFont="1" applyFill="1" applyBorder="1"/>
    <xf numFmtId="0" fontId="61" fillId="25" borderId="10" xfId="0" applyFont="1" applyFill="1" applyBorder="1" applyAlignment="1" applyProtection="1">
      <alignment horizontal="left" vertical="center" wrapText="1"/>
      <protection locked="0"/>
    </xf>
    <xf numFmtId="0" fontId="61" fillId="25" borderId="10" xfId="0" applyFont="1" applyFill="1" applyBorder="1"/>
    <xf numFmtId="0" fontId="68" fillId="0" borderId="0" xfId="40" applyFill="1"/>
    <xf numFmtId="0" fontId="68" fillId="0" borderId="0" xfId="40"/>
    <xf numFmtId="0" fontId="65" fillId="0" borderId="0" xfId="40" applyFont="1"/>
    <xf numFmtId="0" fontId="65" fillId="0" borderId="0" xfId="40" applyFont="1" applyBorder="1" applyAlignment="1">
      <alignment horizontal="center"/>
    </xf>
    <xf numFmtId="0" fontId="65" fillId="0" borderId="23" xfId="40" applyFont="1" applyBorder="1"/>
    <xf numFmtId="0" fontId="65" fillId="0" borderId="0" xfId="40" applyFont="1" applyBorder="1"/>
    <xf numFmtId="0" fontId="53" fillId="0" borderId="24" xfId="40" applyFont="1" applyFill="1" applyBorder="1" applyAlignment="1">
      <alignment horizontal="center"/>
    </xf>
    <xf numFmtId="0" fontId="65" fillId="0" borderId="25" xfId="40" applyFont="1" applyBorder="1" applyAlignment="1">
      <alignment horizontal="center" wrapText="1"/>
    </xf>
    <xf numFmtId="0" fontId="65" fillId="0" borderId="24" xfId="40" applyFont="1" applyBorder="1"/>
    <xf numFmtId="0" fontId="53" fillId="0" borderId="27" xfId="40" applyFont="1" applyFill="1" applyBorder="1"/>
    <xf numFmtId="0" fontId="53" fillId="0" borderId="27" xfId="40" applyFont="1" applyBorder="1"/>
    <xf numFmtId="0" fontId="68" fillId="0" borderId="27" xfId="40" applyFill="1" applyBorder="1"/>
    <xf numFmtId="0" fontId="68" fillId="0" borderId="0" xfId="40" applyBorder="1"/>
    <xf numFmtId="0" fontId="35" fillId="0" borderId="27" xfId="40" applyFont="1" applyFill="1" applyBorder="1" applyAlignment="1">
      <alignment wrapText="1"/>
    </xf>
    <xf numFmtId="0" fontId="35" fillId="0" borderId="27" xfId="40" applyFont="1" applyBorder="1"/>
    <xf numFmtId="0" fontId="65" fillId="0" borderId="27" xfId="40" applyFont="1" applyFill="1" applyBorder="1"/>
    <xf numFmtId="0" fontId="35" fillId="0" borderId="27" xfId="40" applyFont="1" applyFill="1" applyBorder="1"/>
    <xf numFmtId="0" fontId="53" fillId="0" borderId="28" xfId="40" applyFont="1" applyFill="1" applyBorder="1"/>
    <xf numFmtId="0" fontId="53" fillId="0" borderId="29" xfId="40" applyFont="1" applyFill="1" applyBorder="1"/>
    <xf numFmtId="0" fontId="65" fillId="0" borderId="23" xfId="40" applyFont="1" applyFill="1" applyBorder="1"/>
    <xf numFmtId="0" fontId="65" fillId="0" borderId="0" xfId="0" applyFont="1"/>
    <xf numFmtId="0" fontId="68" fillId="0" borderId="30" xfId="0" applyFont="1" applyBorder="1"/>
    <xf numFmtId="3" fontId="68" fillId="0" borderId="30" xfId="0" applyNumberFormat="1" applyFont="1" applyFill="1" applyBorder="1"/>
    <xf numFmtId="0" fontId="68" fillId="0" borderId="27" xfId="0" applyFont="1" applyBorder="1"/>
    <xf numFmtId="3" fontId="68" fillId="0" borderId="27" xfId="0" applyNumberFormat="1" applyFont="1" applyFill="1" applyBorder="1"/>
    <xf numFmtId="3" fontId="68" fillId="0" borderId="29" xfId="0" applyNumberFormat="1" applyFont="1" applyFill="1" applyBorder="1"/>
    <xf numFmtId="0" fontId="68" fillId="0" borderId="28" xfId="0" applyFont="1" applyBorder="1"/>
    <xf numFmtId="3" fontId="68" fillId="0" borderId="28" xfId="0" applyNumberFormat="1" applyFont="1" applyFill="1" applyBorder="1"/>
    <xf numFmtId="0" fontId="68" fillId="0" borderId="0" xfId="0" applyFont="1" applyFill="1" applyBorder="1"/>
    <xf numFmtId="3" fontId="68" fillId="0" borderId="0" xfId="0" applyNumberFormat="1" applyFont="1" applyFill="1" applyBorder="1"/>
    <xf numFmtId="0" fontId="68" fillId="0" borderId="31" xfId="0" applyFont="1" applyFill="1" applyBorder="1"/>
    <xf numFmtId="3" fontId="0" fillId="0" borderId="31" xfId="0" applyNumberFormat="1" applyBorder="1"/>
    <xf numFmtId="0" fontId="68" fillId="0" borderId="27" xfId="0" applyFont="1" applyFill="1" applyBorder="1"/>
    <xf numFmtId="3" fontId="0" fillId="0" borderId="27" xfId="0" applyNumberFormat="1" applyBorder="1"/>
    <xf numFmtId="3" fontId="68" fillId="0" borderId="27" xfId="0" applyNumberFormat="1" applyFont="1" applyBorder="1" applyAlignment="1">
      <alignment horizontal="left"/>
    </xf>
    <xf numFmtId="0" fontId="68" fillId="0" borderId="0" xfId="0" applyFont="1"/>
    <xf numFmtId="0" fontId="69" fillId="0" borderId="15" xfId="0" applyFont="1" applyBorder="1"/>
    <xf numFmtId="3" fontId="69" fillId="0" borderId="15" xfId="0" applyNumberFormat="1" applyFont="1" applyBorder="1"/>
    <xf numFmtId="0" fontId="72" fillId="25" borderId="10" xfId="0" applyFont="1" applyFill="1" applyBorder="1"/>
    <xf numFmtId="0" fontId="79" fillId="25" borderId="10" xfId="0" applyFont="1" applyFill="1" applyBorder="1" applyAlignment="1">
      <alignment horizontal="center"/>
    </xf>
    <xf numFmtId="0" fontId="80" fillId="0" borderId="10" xfId="0" applyFont="1" applyBorder="1" applyAlignment="1">
      <alignment horizontal="center"/>
    </xf>
    <xf numFmtId="49" fontId="77" fillId="24" borderId="10" xfId="26" applyNumberFormat="1" applyFont="1" applyFill="1" applyBorder="1" applyAlignment="1">
      <alignment horizontal="center"/>
    </xf>
    <xf numFmtId="49" fontId="5" fillId="0" borderId="10" xfId="0" applyNumberFormat="1" applyFont="1" applyBorder="1"/>
    <xf numFmtId="0" fontId="7" fillId="24" borderId="10" xfId="0" applyFont="1" applyFill="1" applyBorder="1"/>
    <xf numFmtId="1" fontId="7" fillId="24" borderId="10" xfId="0" applyNumberFormat="1" applyFont="1" applyFill="1" applyBorder="1"/>
    <xf numFmtId="166" fontId="60" fillId="24" borderId="10" xfId="26" applyNumberFormat="1" applyFont="1" applyFill="1" applyBorder="1"/>
    <xf numFmtId="0" fontId="66" fillId="0" borderId="0" xfId="0" applyFont="1" applyBorder="1"/>
    <xf numFmtId="3" fontId="66" fillId="0" borderId="0" xfId="0" applyNumberFormat="1" applyFont="1" applyBorder="1"/>
    <xf numFmtId="0" fontId="67" fillId="0" borderId="0" xfId="0" applyFont="1" applyBorder="1"/>
    <xf numFmtId="0" fontId="53" fillId="0" borderId="0" xfId="40" applyFont="1" applyFill="1" applyBorder="1"/>
    <xf numFmtId="3" fontId="67" fillId="0" borderId="0" xfId="0" applyNumberFormat="1" applyFont="1" applyBorder="1"/>
    <xf numFmtId="0" fontId="35" fillId="0" borderId="0" xfId="40" applyFont="1" applyFill="1" applyBorder="1" applyAlignment="1">
      <alignment wrapText="1"/>
    </xf>
    <xf numFmtId="0" fontId="66" fillId="0" borderId="0" xfId="0" applyFont="1" applyBorder="1" applyAlignment="1">
      <alignment wrapText="1"/>
    </xf>
    <xf numFmtId="0" fontId="66" fillId="0" borderId="0" xfId="0" applyFont="1" applyBorder="1" applyAlignment="1"/>
    <xf numFmtId="0" fontId="0" fillId="0" borderId="0" xfId="0" applyBorder="1" applyAlignment="1"/>
    <xf numFmtId="3" fontId="64" fillId="0" borderId="0" xfId="0" applyNumberFormat="1" applyFont="1" applyBorder="1"/>
    <xf numFmtId="0" fontId="0" fillId="0" borderId="0" xfId="0" applyBorder="1"/>
    <xf numFmtId="0" fontId="66" fillId="0" borderId="23" xfId="0" applyFont="1" applyBorder="1" applyAlignment="1">
      <alignment horizontal="center"/>
    </xf>
    <xf numFmtId="0" fontId="66" fillId="0" borderId="38" xfId="0" applyFont="1" applyBorder="1"/>
    <xf numFmtId="0" fontId="66" fillId="0" borderId="31" xfId="0" applyFont="1" applyBorder="1"/>
    <xf numFmtId="3" fontId="66" fillId="0" borderId="31" xfId="0" applyNumberFormat="1" applyFont="1" applyBorder="1"/>
    <xf numFmtId="0" fontId="67" fillId="0" borderId="39" xfId="0" applyFont="1" applyBorder="1"/>
    <xf numFmtId="0" fontId="67" fillId="0" borderId="30" xfId="0" applyFont="1" applyBorder="1"/>
    <xf numFmtId="3" fontId="67" fillId="0" borderId="30" xfId="0" applyNumberFormat="1" applyFont="1" applyBorder="1"/>
    <xf numFmtId="0" fontId="67" fillId="0" borderId="40" xfId="0" applyFont="1" applyBorder="1"/>
    <xf numFmtId="0" fontId="67" fillId="0" borderId="27" xfId="0" applyFont="1" applyBorder="1"/>
    <xf numFmtId="3" fontId="67" fillId="0" borderId="27" xfId="0" applyNumberFormat="1" applyFont="1" applyBorder="1"/>
    <xf numFmtId="3" fontId="64" fillId="0" borderId="23" xfId="0" applyNumberFormat="1" applyFont="1" applyBorder="1"/>
    <xf numFmtId="0" fontId="83" fillId="0" borderId="0" xfId="0" applyFont="1"/>
    <xf numFmtId="3" fontId="0" fillId="0" borderId="0" xfId="0" applyNumberFormat="1" applyAlignment="1">
      <alignment horizontal="right"/>
    </xf>
    <xf numFmtId="0" fontId="65" fillId="0" borderId="26" xfId="40" applyFont="1" applyBorder="1" applyAlignment="1">
      <alignment horizontal="center" vertical="center" wrapText="1"/>
    </xf>
    <xf numFmtId="0" fontId="0" fillId="0" borderId="0" xfId="0" applyFill="1"/>
    <xf numFmtId="170" fontId="78" fillId="0" borderId="0" xfId="0" applyNumberFormat="1" applyFont="1"/>
    <xf numFmtId="0" fontId="0" fillId="0" borderId="0" xfId="0" applyFill="1" applyAlignment="1">
      <alignment vertical="center"/>
    </xf>
    <xf numFmtId="164" fontId="28" fillId="27" borderId="10" xfId="26" applyNumberFormat="1" applyFont="1" applyFill="1" applyBorder="1" applyAlignment="1">
      <alignment horizontal="right"/>
    </xf>
    <xf numFmtId="164" fontId="85" fillId="28" borderId="10" xfId="26" applyNumberFormat="1" applyFont="1" applyFill="1" applyBorder="1" applyAlignment="1">
      <alignment horizontal="right"/>
    </xf>
    <xf numFmtId="0" fontId="87" fillId="28" borderId="14" xfId="41" applyFont="1" applyFill="1" applyBorder="1" applyAlignment="1">
      <alignment horizontal="center"/>
    </xf>
    <xf numFmtId="0" fontId="87" fillId="28" borderId="10" xfId="41" applyFont="1" applyFill="1" applyBorder="1"/>
    <xf numFmtId="164" fontId="87" fillId="28" borderId="10" xfId="26" applyNumberFormat="1" applyFont="1" applyFill="1" applyBorder="1" applyAlignment="1">
      <alignment horizontal="right"/>
    </xf>
    <xf numFmtId="0" fontId="75" fillId="27" borderId="10" xfId="41" applyFont="1" applyFill="1" applyBorder="1"/>
    <xf numFmtId="164" fontId="75" fillId="27" borderId="10" xfId="26" applyNumberFormat="1" applyFont="1" applyFill="1" applyBorder="1" applyAlignment="1">
      <alignment horizontal="right"/>
    </xf>
    <xf numFmtId="0" fontId="87" fillId="28" borderId="10" xfId="41" applyFont="1" applyFill="1" applyBorder="1" applyAlignment="1">
      <alignment horizontal="left" indent="2"/>
    </xf>
    <xf numFmtId="0" fontId="75" fillId="27" borderId="10" xfId="41" applyFont="1" applyFill="1" applyBorder="1" applyAlignment="1">
      <alignment horizontal="left" indent="4"/>
    </xf>
    <xf numFmtId="0" fontId="3" fillId="30" borderId="10" xfId="41" applyFont="1" applyFill="1" applyBorder="1"/>
    <xf numFmtId="0" fontId="8" fillId="30" borderId="10" xfId="41" applyFont="1" applyFill="1" applyBorder="1"/>
    <xf numFmtId="0" fontId="27" fillId="30" borderId="10" xfId="0" applyFont="1" applyFill="1" applyBorder="1"/>
    <xf numFmtId="0" fontId="87" fillId="31" borderId="10" xfId="41" applyFont="1" applyFill="1" applyBorder="1" applyAlignment="1">
      <alignment horizontal="left" indent="2"/>
    </xf>
    <xf numFmtId="0" fontId="87" fillId="31" borderId="14" xfId="41" applyFont="1" applyFill="1" applyBorder="1" applyAlignment="1">
      <alignment horizontal="left" indent="2"/>
    </xf>
    <xf numFmtId="164" fontId="87" fillId="31" borderId="14" xfId="41" applyNumberFormat="1" applyFont="1" applyFill="1" applyBorder="1" applyAlignment="1">
      <alignment horizontal="right"/>
    </xf>
    <xf numFmtId="164" fontId="89" fillId="28" borderId="10" xfId="26" applyNumberFormat="1" applyFont="1" applyFill="1" applyBorder="1" applyAlignment="1">
      <alignment horizontal="right"/>
    </xf>
    <xf numFmtId="0" fontId="29" fillId="30" borderId="10" xfId="0" applyFont="1" applyFill="1" applyBorder="1" applyAlignment="1">
      <alignment horizontal="center"/>
    </xf>
    <xf numFmtId="0" fontId="85" fillId="28" borderId="10" xfId="0" applyFont="1" applyFill="1" applyBorder="1" applyAlignment="1">
      <alignment horizontal="center"/>
    </xf>
    <xf numFmtId="0" fontId="28" fillId="27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9" fillId="30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30" borderId="10" xfId="0" applyFont="1" applyFill="1" applyBorder="1" applyAlignment="1">
      <alignment horizontal="center" vertical="center"/>
    </xf>
    <xf numFmtId="164" fontId="72" fillId="32" borderId="10" xfId="41" applyNumberFormat="1" applyFont="1" applyFill="1" applyBorder="1" applyAlignment="1">
      <alignment horizontal="right"/>
    </xf>
    <xf numFmtId="164" fontId="72" fillId="32" borderId="10" xfId="26" applyNumberFormat="1" applyFont="1" applyFill="1" applyBorder="1" applyAlignment="1">
      <alignment horizontal="right"/>
    </xf>
    <xf numFmtId="164" fontId="90" fillId="32" borderId="10" xfId="41" applyNumberFormat="1" applyFont="1" applyFill="1" applyBorder="1" applyAlignment="1">
      <alignment horizontal="right"/>
    </xf>
    <xf numFmtId="164" fontId="28" fillId="32" borderId="10" xfId="26" applyNumberFormat="1" applyFont="1" applyFill="1" applyBorder="1" applyAlignment="1">
      <alignment horizontal="right"/>
    </xf>
    <xf numFmtId="164" fontId="73" fillId="32" borderId="10" xfId="26" applyNumberFormat="1" applyFont="1" applyFill="1" applyBorder="1" applyAlignment="1">
      <alignment horizontal="right" vertical="center"/>
    </xf>
    <xf numFmtId="0" fontId="29" fillId="30" borderId="14" xfId="0" applyFont="1" applyFill="1" applyBorder="1" applyAlignment="1">
      <alignment horizontal="center"/>
    </xf>
    <xf numFmtId="0" fontId="42" fillId="30" borderId="0" xfId="0" applyFont="1" applyFill="1" applyBorder="1"/>
    <xf numFmtId="0" fontId="78" fillId="30" borderId="0" xfId="0" applyFont="1" applyFill="1" applyBorder="1"/>
    <xf numFmtId="0" fontId="87" fillId="28" borderId="10" xfId="0" applyFont="1" applyFill="1" applyBorder="1"/>
    <xf numFmtId="164" fontId="87" fillId="28" borderId="10" xfId="27" applyNumberFormat="1" applyFont="1" applyFill="1" applyBorder="1"/>
    <xf numFmtId="0" fontId="27" fillId="0" borderId="14" xfId="0" applyFont="1" applyFill="1" applyBorder="1"/>
    <xf numFmtId="0" fontId="27" fillId="0" borderId="10" xfId="0" applyFont="1" applyFill="1" applyBorder="1"/>
    <xf numFmtId="164" fontId="27" fillId="32" borderId="14" xfId="27" applyNumberFormat="1" applyFont="1" applyFill="1" applyBorder="1"/>
    <xf numFmtId="164" fontId="27" fillId="32" borderId="10" xfId="27" applyNumberFormat="1" applyFont="1" applyFill="1" applyBorder="1"/>
    <xf numFmtId="0" fontId="86" fillId="30" borderId="10" xfId="0" applyFont="1" applyFill="1" applyBorder="1"/>
    <xf numFmtId="0" fontId="86" fillId="30" borderId="13" xfId="0" applyFont="1" applyFill="1" applyBorder="1" applyAlignment="1">
      <alignment horizontal="left" indent="2"/>
    </xf>
    <xf numFmtId="164" fontId="86" fillId="32" borderId="10" xfId="27" applyNumberFormat="1" applyFont="1" applyFill="1" applyBorder="1"/>
    <xf numFmtId="0" fontId="75" fillId="33" borderId="10" xfId="0" applyFont="1" applyFill="1" applyBorder="1"/>
    <xf numFmtId="164" fontId="75" fillId="33" borderId="10" xfId="27" applyNumberFormat="1" applyFont="1" applyFill="1" applyBorder="1"/>
    <xf numFmtId="0" fontId="77" fillId="31" borderId="10" xfId="0" applyFont="1" applyFill="1" applyBorder="1"/>
    <xf numFmtId="164" fontId="77" fillId="31" borderId="10" xfId="27" applyNumberFormat="1" applyFont="1" applyFill="1" applyBorder="1"/>
    <xf numFmtId="0" fontId="8" fillId="30" borderId="10" xfId="0" applyFont="1" applyFill="1" applyBorder="1"/>
    <xf numFmtId="164" fontId="8" fillId="32" borderId="10" xfId="27" applyNumberFormat="1" applyFont="1" applyFill="1" applyBorder="1"/>
    <xf numFmtId="16" fontId="91" fillId="30" borderId="10" xfId="0" applyNumberFormat="1" applyFont="1" applyFill="1" applyBorder="1"/>
    <xf numFmtId="0" fontId="92" fillId="34" borderId="10" xfId="0" applyFont="1" applyFill="1" applyBorder="1"/>
    <xf numFmtId="164" fontId="92" fillId="34" borderId="10" xfId="26" applyNumberFormat="1" applyFont="1" applyFill="1" applyBorder="1"/>
    <xf numFmtId="164" fontId="91" fillId="32" borderId="10" xfId="26" applyNumberFormat="1" applyFont="1" applyFill="1" applyBorder="1"/>
    <xf numFmtId="164" fontId="72" fillId="32" borderId="10" xfId="26" applyNumberFormat="1" applyFont="1" applyFill="1" applyBorder="1"/>
    <xf numFmtId="0" fontId="31" fillId="0" borderId="10" xfId="0" applyFont="1" applyFill="1" applyBorder="1"/>
    <xf numFmtId="164" fontId="31" fillId="32" borderId="10" xfId="26" applyNumberFormat="1" applyFont="1" applyFill="1" applyBorder="1"/>
    <xf numFmtId="0" fontId="72" fillId="0" borderId="10" xfId="0" applyFont="1" applyFill="1" applyBorder="1"/>
    <xf numFmtId="164" fontId="93" fillId="32" borderId="10" xfId="26" applyNumberFormat="1" applyFont="1" applyFill="1" applyBorder="1"/>
    <xf numFmtId="0" fontId="0" fillId="0" borderId="0" xfId="0" applyFill="1" applyAlignment="1">
      <alignment vertical="center" wrapText="1"/>
    </xf>
    <xf numFmtId="164" fontId="72" fillId="32" borderId="10" xfId="41" applyNumberFormat="1" applyFont="1" applyFill="1" applyBorder="1" applyAlignment="1">
      <alignment vertical="center"/>
    </xf>
    <xf numFmtId="0" fontId="47" fillId="25" borderId="14" xfId="0" applyFont="1" applyFill="1" applyBorder="1" applyAlignment="1" applyProtection="1">
      <alignment horizontal="left" vertical="center" wrapText="1"/>
      <protection locked="0"/>
    </xf>
    <xf numFmtId="0" fontId="3" fillId="30" borderId="10" xfId="41" applyFont="1" applyFill="1" applyBorder="1" applyAlignment="1">
      <alignment horizontal="center"/>
    </xf>
    <xf numFmtId="0" fontId="87" fillId="28" borderId="10" xfId="41" applyFont="1" applyFill="1" applyBorder="1" applyAlignment="1">
      <alignment horizontal="center"/>
    </xf>
    <xf numFmtId="0" fontId="3" fillId="30" borderId="10" xfId="41" applyFont="1" applyFill="1" applyBorder="1" applyAlignment="1">
      <alignment horizontal="center" vertical="center" wrapText="1"/>
    </xf>
    <xf numFmtId="0" fontId="75" fillId="27" borderId="10" xfId="41" applyFont="1" applyFill="1" applyBorder="1" applyAlignment="1">
      <alignment horizontal="center"/>
    </xf>
    <xf numFmtId="0" fontId="92" fillId="34" borderId="10" xfId="0" applyFont="1" applyFill="1" applyBorder="1" applyAlignment="1">
      <alignment horizontal="center"/>
    </xf>
    <xf numFmtId="164" fontId="28" fillId="32" borderId="14" xfId="26" applyNumberFormat="1" applyFont="1" applyFill="1" applyBorder="1" applyAlignment="1">
      <alignment horizontal="right"/>
    </xf>
    <xf numFmtId="0" fontId="86" fillId="30" borderId="13" xfId="0" applyFont="1" applyFill="1" applyBorder="1" applyAlignment="1">
      <alignment horizontal="left" wrapText="1" indent="2"/>
    </xf>
    <xf numFmtId="0" fontId="75" fillId="33" borderId="13" xfId="0" applyFont="1" applyFill="1" applyBorder="1" applyAlignment="1">
      <alignment horizontal="left" indent="2"/>
    </xf>
    <xf numFmtId="0" fontId="92" fillId="34" borderId="13" xfId="0" applyFont="1" applyFill="1" applyBorder="1" applyAlignment="1">
      <alignment horizontal="left" indent="3"/>
    </xf>
    <xf numFmtId="167" fontId="48" fillId="35" borderId="15" xfId="0" applyNumberFormat="1" applyFont="1" applyFill="1" applyBorder="1" applyAlignment="1">
      <alignment horizontal="center" vertical="center" wrapText="1"/>
    </xf>
    <xf numFmtId="168" fontId="28" fillId="35" borderId="16" xfId="0" applyNumberFormat="1" applyFont="1" applyFill="1" applyBorder="1" applyAlignment="1">
      <alignment horizontal="center" vertical="center" wrapText="1"/>
    </xf>
    <xf numFmtId="167" fontId="48" fillId="35" borderId="18" xfId="0" applyNumberFormat="1" applyFont="1" applyFill="1" applyBorder="1" applyAlignment="1">
      <alignment horizontal="center" vertical="center" wrapText="1"/>
    </xf>
    <xf numFmtId="0" fontId="86" fillId="30" borderId="13" xfId="0" applyFont="1" applyFill="1" applyBorder="1"/>
    <xf numFmtId="0" fontId="92" fillId="34" borderId="15" xfId="0" applyFont="1" applyFill="1" applyBorder="1"/>
    <xf numFmtId="0" fontId="92" fillId="34" borderId="19" xfId="0" applyFont="1" applyFill="1" applyBorder="1" applyAlignment="1">
      <alignment horizontal="left" indent="3"/>
    </xf>
    <xf numFmtId="164" fontId="92" fillId="34" borderId="15" xfId="26" applyNumberFormat="1" applyFont="1" applyFill="1" applyBorder="1"/>
    <xf numFmtId="0" fontId="86" fillId="30" borderId="14" xfId="0" applyFont="1" applyFill="1" applyBorder="1"/>
    <xf numFmtId="0" fontId="86" fillId="30" borderId="33" xfId="0" applyFont="1" applyFill="1" applyBorder="1"/>
    <xf numFmtId="164" fontId="86" fillId="32" borderId="14" xfId="27" applyNumberFormat="1" applyFont="1" applyFill="1" applyBorder="1"/>
    <xf numFmtId="0" fontId="75" fillId="33" borderId="33" xfId="0" applyFont="1" applyFill="1" applyBorder="1" applyAlignment="1">
      <alignment horizontal="left" indent="2"/>
    </xf>
    <xf numFmtId="164" fontId="75" fillId="33" borderId="14" xfId="27" applyNumberFormat="1" applyFont="1" applyFill="1" applyBorder="1"/>
    <xf numFmtId="167" fontId="46" fillId="36" borderId="23" xfId="0" applyNumberFormat="1" applyFont="1" applyFill="1" applyBorder="1" applyAlignment="1" applyProtection="1">
      <alignment horizontal="right" vertical="center" wrapText="1"/>
    </xf>
    <xf numFmtId="167" fontId="26" fillId="36" borderId="23" xfId="0" applyNumberFormat="1" applyFont="1" applyFill="1" applyBorder="1" applyAlignment="1" applyProtection="1">
      <alignment horizontal="right" vertical="center" wrapText="1"/>
    </xf>
    <xf numFmtId="0" fontId="50" fillId="36" borderId="45" xfId="0" applyFont="1" applyFill="1" applyBorder="1" applyAlignment="1">
      <alignment horizontal="left"/>
    </xf>
    <xf numFmtId="167" fontId="26" fillId="36" borderId="47" xfId="0" applyNumberFormat="1" applyFont="1" applyFill="1" applyBorder="1" applyAlignment="1">
      <alignment horizontal="right" vertical="center" wrapText="1" indent="1"/>
    </xf>
    <xf numFmtId="0" fontId="75" fillId="33" borderId="53" xfId="0" applyFont="1" applyFill="1" applyBorder="1"/>
    <xf numFmtId="0" fontId="86" fillId="30" borderId="53" xfId="0" applyFont="1" applyFill="1" applyBorder="1"/>
    <xf numFmtId="0" fontId="92" fillId="34" borderId="55" xfId="0" applyFont="1" applyFill="1" applyBorder="1"/>
    <xf numFmtId="167" fontId="26" fillId="36" borderId="56" xfId="0" applyNumberFormat="1" applyFont="1" applyFill="1" applyBorder="1" applyAlignment="1" applyProtection="1">
      <alignment horizontal="right" vertical="center" wrapText="1"/>
    </xf>
    <xf numFmtId="0" fontId="75" fillId="33" borderId="57" xfId="0" applyFont="1" applyFill="1" applyBorder="1"/>
    <xf numFmtId="0" fontId="92" fillId="34" borderId="45" xfId="0" applyFont="1" applyFill="1" applyBorder="1"/>
    <xf numFmtId="0" fontId="94" fillId="34" borderId="47" xfId="0" applyFont="1" applyFill="1" applyBorder="1" applyAlignment="1">
      <alignment horizontal="left" indent="3"/>
    </xf>
    <xf numFmtId="164" fontId="94" fillId="34" borderId="23" xfId="26" applyNumberFormat="1" applyFont="1" applyFill="1" applyBorder="1"/>
    <xf numFmtId="0" fontId="94" fillId="34" borderId="45" xfId="0" applyFont="1" applyFill="1" applyBorder="1"/>
    <xf numFmtId="0" fontId="86" fillId="30" borderId="15" xfId="0" applyFont="1" applyFill="1" applyBorder="1"/>
    <xf numFmtId="0" fontId="86" fillId="30" borderId="19" xfId="0" applyFont="1" applyFill="1" applyBorder="1" applyAlignment="1">
      <alignment horizontal="left" indent="2"/>
    </xf>
    <xf numFmtId="164" fontId="86" fillId="32" borderId="15" xfId="27" applyNumberFormat="1" applyFont="1" applyFill="1" applyBorder="1"/>
    <xf numFmtId="0" fontId="75" fillId="33" borderId="17" xfId="0" applyFont="1" applyFill="1" applyBorder="1"/>
    <xf numFmtId="0" fontId="86" fillId="30" borderId="17" xfId="0" applyFont="1" applyFill="1" applyBorder="1"/>
    <xf numFmtId="166" fontId="7" fillId="28" borderId="17" xfId="26" applyNumberFormat="1" applyFont="1" applyFill="1" applyBorder="1"/>
    <xf numFmtId="0" fontId="92" fillId="34" borderId="17" xfId="0" applyFont="1" applyFill="1" applyBorder="1"/>
    <xf numFmtId="0" fontId="86" fillId="30" borderId="58" xfId="0" applyFont="1" applyFill="1" applyBorder="1"/>
    <xf numFmtId="168" fontId="28" fillId="35" borderId="51" xfId="0" applyNumberFormat="1" applyFont="1" applyFill="1" applyBorder="1" applyAlignment="1">
      <alignment horizontal="center"/>
    </xf>
    <xf numFmtId="0" fontId="28" fillId="35" borderId="41" xfId="0" applyFont="1" applyFill="1" applyBorder="1" applyAlignment="1">
      <alignment horizontal="center"/>
    </xf>
    <xf numFmtId="3" fontId="72" fillId="0" borderId="11" xfId="0" applyNumberFormat="1" applyFont="1" applyFill="1" applyBorder="1" applyAlignment="1"/>
    <xf numFmtId="3" fontId="77" fillId="0" borderId="11" xfId="0" applyNumberFormat="1" applyFont="1" applyFill="1" applyBorder="1" applyAlignment="1"/>
    <xf numFmtId="0" fontId="72" fillId="0" borderId="10" xfId="0" applyFont="1" applyFill="1" applyBorder="1" applyAlignment="1">
      <alignment horizontal="left"/>
    </xf>
    <xf numFmtId="0" fontId="77" fillId="0" borderId="10" xfId="0" applyFont="1" applyFill="1" applyBorder="1" applyAlignment="1">
      <alignment horizontal="left"/>
    </xf>
    <xf numFmtId="164" fontId="72" fillId="0" borderId="11" xfId="26" applyNumberFormat="1" applyFont="1" applyFill="1" applyBorder="1"/>
    <xf numFmtId="0" fontId="72" fillId="0" borderId="14" xfId="0" applyFont="1" applyFill="1" applyBorder="1" applyAlignment="1">
      <alignment horizontal="left"/>
    </xf>
    <xf numFmtId="0" fontId="33" fillId="35" borderId="41" xfId="0" applyFont="1" applyFill="1" applyBorder="1" applyAlignment="1">
      <alignment horizontal="center" vertical="center"/>
    </xf>
    <xf numFmtId="3" fontId="72" fillId="0" borderId="43" xfId="0" applyNumberFormat="1" applyFont="1" applyFill="1" applyBorder="1" applyAlignment="1"/>
    <xf numFmtId="164" fontId="72" fillId="0" borderId="43" xfId="26" applyNumberFormat="1" applyFont="1" applyFill="1" applyBorder="1"/>
    <xf numFmtId="164" fontId="72" fillId="0" borderId="33" xfId="26" applyNumberFormat="1" applyFont="1" applyFill="1" applyBorder="1"/>
    <xf numFmtId="164" fontId="72" fillId="0" borderId="13" xfId="26" applyNumberFormat="1" applyFont="1" applyFill="1" applyBorder="1"/>
    <xf numFmtId="164" fontId="72" fillId="37" borderId="65" xfId="26" applyNumberFormat="1" applyFont="1" applyFill="1" applyBorder="1"/>
    <xf numFmtId="164" fontId="72" fillId="37" borderId="63" xfId="26" applyNumberFormat="1" applyFont="1" applyFill="1" applyBorder="1"/>
    <xf numFmtId="164" fontId="85" fillId="37" borderId="65" xfId="26" applyNumberFormat="1" applyFont="1" applyFill="1" applyBorder="1" applyAlignment="1"/>
    <xf numFmtId="164" fontId="85" fillId="37" borderId="63" xfId="26" applyNumberFormat="1" applyFont="1" applyFill="1" applyBorder="1" applyAlignment="1"/>
    <xf numFmtId="164" fontId="85" fillId="0" borderId="33" xfId="26" applyNumberFormat="1" applyFont="1" applyFill="1" applyBorder="1" applyAlignment="1"/>
    <xf numFmtId="164" fontId="85" fillId="0" borderId="14" xfId="26" applyNumberFormat="1" applyFont="1" applyFill="1" applyBorder="1" applyAlignment="1"/>
    <xf numFmtId="164" fontId="85" fillId="0" borderId="13" xfId="26" applyNumberFormat="1" applyFont="1" applyFill="1" applyBorder="1" applyAlignment="1"/>
    <xf numFmtId="164" fontId="85" fillId="0" borderId="10" xfId="26" applyNumberFormat="1" applyFont="1" applyFill="1" applyBorder="1" applyAlignment="1"/>
    <xf numFmtId="167" fontId="28" fillId="35" borderId="52" xfId="0" applyNumberFormat="1" applyFont="1" applyFill="1" applyBorder="1" applyAlignment="1">
      <alignment horizontal="center" vertical="center" wrapText="1"/>
    </xf>
    <xf numFmtId="167" fontId="48" fillId="35" borderId="66" xfId="0" applyNumberFormat="1" applyFont="1" applyFill="1" applyBorder="1" applyAlignment="1">
      <alignment horizontal="center" vertical="center" wrapText="1"/>
    </xf>
    <xf numFmtId="168" fontId="28" fillId="35" borderId="34" xfId="0" applyNumberFormat="1" applyFont="1" applyFill="1" applyBorder="1" applyAlignment="1">
      <alignment horizontal="center" vertical="center" wrapText="1"/>
    </xf>
    <xf numFmtId="164" fontId="86" fillId="32" borderId="11" xfId="27" applyNumberFormat="1" applyFont="1" applyFill="1" applyBorder="1"/>
    <xf numFmtId="164" fontId="75" fillId="33" borderId="11" xfId="27" applyNumberFormat="1" applyFont="1" applyFill="1" applyBorder="1"/>
    <xf numFmtId="164" fontId="92" fillId="34" borderId="66" xfId="26" applyNumberFormat="1" applyFont="1" applyFill="1" applyBorder="1"/>
    <xf numFmtId="167" fontId="46" fillId="36" borderId="45" xfId="0" applyNumberFormat="1" applyFont="1" applyFill="1" applyBorder="1" applyAlignment="1" applyProtection="1">
      <alignment horizontal="right" vertical="center" wrapText="1"/>
    </xf>
    <xf numFmtId="164" fontId="86" fillId="32" borderId="43" xfId="27" applyNumberFormat="1" applyFont="1" applyFill="1" applyBorder="1"/>
    <xf numFmtId="164" fontId="94" fillId="34" borderId="45" xfId="26" applyNumberFormat="1" applyFont="1" applyFill="1" applyBorder="1"/>
    <xf numFmtId="167" fontId="26" fillId="36" borderId="45" xfId="0" applyNumberFormat="1" applyFont="1" applyFill="1" applyBorder="1" applyAlignment="1" applyProtection="1">
      <alignment horizontal="right" vertical="center" wrapText="1"/>
    </xf>
    <xf numFmtId="164" fontId="75" fillId="33" borderId="43" xfId="27" applyNumberFormat="1" applyFont="1" applyFill="1" applyBorder="1"/>
    <xf numFmtId="10" fontId="29" fillId="0" borderId="71" xfId="0" applyNumberFormat="1" applyFont="1" applyFill="1" applyBorder="1" applyAlignment="1" applyProtection="1">
      <alignment vertical="center" wrapText="1"/>
      <protection locked="0"/>
    </xf>
    <xf numFmtId="10" fontId="6" fillId="36" borderId="73" xfId="0" applyNumberFormat="1" applyFont="1" applyFill="1" applyBorder="1" applyAlignment="1" applyProtection="1">
      <alignment horizontal="right" vertical="center" wrapText="1"/>
    </xf>
    <xf numFmtId="10" fontId="26" fillId="36" borderId="74" xfId="0" applyNumberFormat="1" applyFont="1" applyFill="1" applyBorder="1" applyAlignment="1" applyProtection="1">
      <alignment horizontal="right" vertical="center" wrapText="1"/>
    </xf>
    <xf numFmtId="10" fontId="27" fillId="0" borderId="70" xfId="0" applyNumberFormat="1" applyFont="1" applyFill="1" applyBorder="1" applyAlignment="1" applyProtection="1">
      <alignment vertical="center" wrapText="1"/>
      <protection locked="0"/>
    </xf>
    <xf numFmtId="10" fontId="27" fillId="0" borderId="71" xfId="0" applyNumberFormat="1" applyFont="1" applyFill="1" applyBorder="1" applyAlignment="1" applyProtection="1">
      <alignment vertical="center" wrapText="1"/>
      <protection locked="0"/>
    </xf>
    <xf numFmtId="10" fontId="95" fillId="33" borderId="72" xfId="27" applyNumberFormat="1" applyFont="1" applyFill="1" applyBorder="1"/>
    <xf numFmtId="10" fontId="95" fillId="34" borderId="67" xfId="26" applyNumberFormat="1" applyFont="1" applyFill="1" applyBorder="1"/>
    <xf numFmtId="10" fontId="97" fillId="34" borderId="74" xfId="26" applyNumberFormat="1" applyFont="1" applyFill="1" applyBorder="1"/>
    <xf numFmtId="10" fontId="27" fillId="0" borderId="78" xfId="0" applyNumberFormat="1" applyFont="1" applyFill="1" applyBorder="1" applyAlignment="1" applyProtection="1">
      <alignment vertical="center" wrapText="1"/>
      <protection locked="0"/>
    </xf>
    <xf numFmtId="10" fontId="95" fillId="33" borderId="77" xfId="27" applyNumberFormat="1" applyFont="1" applyFill="1" applyBorder="1"/>
    <xf numFmtId="10" fontId="95" fillId="34" borderId="75" xfId="26" applyNumberFormat="1" applyFont="1" applyFill="1" applyBorder="1"/>
    <xf numFmtId="10" fontId="95" fillId="33" borderId="78" xfId="27" applyNumberFormat="1" applyFont="1" applyFill="1" applyBorder="1"/>
    <xf numFmtId="0" fontId="33" fillId="35" borderId="48" xfId="0" applyFont="1" applyFill="1" applyBorder="1" applyAlignment="1">
      <alignment horizontal="center" vertical="center"/>
    </xf>
    <xf numFmtId="0" fontId="33" fillId="35" borderId="50" xfId="0" applyFont="1" applyFill="1" applyBorder="1" applyAlignment="1">
      <alignment horizontal="center" vertical="center"/>
    </xf>
    <xf numFmtId="164" fontId="72" fillId="37" borderId="81" xfId="26" applyNumberFormat="1" applyFont="1" applyFill="1" applyBorder="1"/>
    <xf numFmtId="164" fontId="72" fillId="37" borderId="82" xfId="26" applyNumberFormat="1" applyFont="1" applyFill="1" applyBorder="1"/>
    <xf numFmtId="10" fontId="96" fillId="32" borderId="78" xfId="26" applyNumberFormat="1" applyFont="1" applyFill="1" applyBorder="1" applyAlignment="1">
      <alignment horizontal="center"/>
    </xf>
    <xf numFmtId="10" fontId="96" fillId="32" borderId="77" xfId="26" applyNumberFormat="1" applyFont="1" applyFill="1" applyBorder="1" applyAlignment="1">
      <alignment horizontal="center"/>
    </xf>
    <xf numFmtId="164" fontId="98" fillId="38" borderId="63" xfId="0" applyNumberFormat="1" applyFont="1" applyFill="1" applyBorder="1" applyAlignment="1"/>
    <xf numFmtId="164" fontId="98" fillId="38" borderId="13" xfId="0" applyNumberFormat="1" applyFont="1" applyFill="1" applyBorder="1" applyAlignment="1"/>
    <xf numFmtId="164" fontId="98" fillId="38" borderId="11" xfId="0" applyNumberFormat="1" applyFont="1" applyFill="1" applyBorder="1" applyAlignment="1"/>
    <xf numFmtId="164" fontId="98" fillId="38" borderId="82" xfId="0" applyNumberFormat="1" applyFont="1" applyFill="1" applyBorder="1" applyAlignment="1"/>
    <xf numFmtId="164" fontId="98" fillId="38" borderId="10" xfId="0" applyNumberFormat="1" applyFont="1" applyFill="1" applyBorder="1" applyAlignment="1"/>
    <xf numFmtId="166" fontId="83" fillId="0" borderId="0" xfId="0" applyNumberFormat="1" applyFont="1"/>
    <xf numFmtId="10" fontId="99" fillId="38" borderId="77" xfId="0" applyNumberFormat="1" applyFont="1" applyFill="1" applyBorder="1" applyAlignment="1">
      <alignment horizontal="center"/>
    </xf>
    <xf numFmtId="10" fontId="99" fillId="34" borderId="77" xfId="0" applyNumberFormat="1" applyFont="1" applyFill="1" applyBorder="1" applyAlignment="1">
      <alignment horizontal="center"/>
    </xf>
    <xf numFmtId="168" fontId="85" fillId="35" borderId="64" xfId="0" applyNumberFormat="1" applyFont="1" applyFill="1" applyBorder="1" applyAlignment="1">
      <alignment horizontal="center" vertical="center"/>
    </xf>
    <xf numFmtId="168" fontId="85" fillId="35" borderId="80" xfId="0" applyNumberFormat="1" applyFont="1" applyFill="1" applyBorder="1" applyAlignment="1">
      <alignment horizontal="center" vertical="center"/>
    </xf>
    <xf numFmtId="164" fontId="98" fillId="34" borderId="63" xfId="0" applyNumberFormat="1" applyFont="1" applyFill="1" applyBorder="1" applyAlignment="1"/>
    <xf numFmtId="164" fontId="98" fillId="34" borderId="13" xfId="0" applyNumberFormat="1" applyFont="1" applyFill="1" applyBorder="1" applyAlignment="1"/>
    <xf numFmtId="164" fontId="98" fillId="34" borderId="11" xfId="0" applyNumberFormat="1" applyFont="1" applyFill="1" applyBorder="1" applyAlignment="1"/>
    <xf numFmtId="164" fontId="98" fillId="34" borderId="82" xfId="0" applyNumberFormat="1" applyFont="1" applyFill="1" applyBorder="1" applyAlignment="1"/>
    <xf numFmtId="164" fontId="98" fillId="34" borderId="10" xfId="0" applyNumberFormat="1" applyFont="1" applyFill="1" applyBorder="1" applyAlignment="1"/>
    <xf numFmtId="16" fontId="27" fillId="0" borderId="10" xfId="0" applyNumberFormat="1" applyFont="1" applyBorder="1"/>
    <xf numFmtId="0" fontId="27" fillId="0" borderId="10" xfId="0" applyFont="1" applyBorder="1"/>
    <xf numFmtId="0" fontId="52" fillId="0" borderId="10" xfId="0" applyFont="1" applyBorder="1"/>
    <xf numFmtId="0" fontId="29" fillId="0" borderId="10" xfId="0" applyFont="1" applyBorder="1"/>
    <xf numFmtId="0" fontId="0" fillId="0" borderId="10" xfId="0" applyBorder="1"/>
    <xf numFmtId="16" fontId="52" fillId="0" borderId="14" xfId="0" applyNumberFormat="1" applyFont="1" applyBorder="1"/>
    <xf numFmtId="168" fontId="35" fillId="35" borderId="51" xfId="0" applyNumberFormat="1" applyFont="1" applyFill="1" applyBorder="1" applyAlignment="1">
      <alignment horizontal="center" vertical="center" wrapText="1"/>
    </xf>
    <xf numFmtId="0" fontId="38" fillId="35" borderId="41" xfId="0" applyFont="1" applyFill="1" applyBorder="1" applyAlignment="1">
      <alignment horizontal="center" vertical="center" wrapText="1"/>
    </xf>
    <xf numFmtId="170" fontId="62" fillId="29" borderId="23" xfId="0" applyNumberFormat="1" applyFont="1" applyFill="1" applyBorder="1" applyAlignment="1">
      <alignment vertical="center"/>
    </xf>
    <xf numFmtId="170" fontId="47" fillId="31" borderId="14" xfId="0" applyNumberFormat="1" applyFont="1" applyFill="1" applyBorder="1" applyAlignment="1" applyProtection="1">
      <alignment vertical="center"/>
    </xf>
    <xf numFmtId="170" fontId="47" fillId="31" borderId="43" xfId="0" applyNumberFormat="1" applyFont="1" applyFill="1" applyBorder="1" applyAlignment="1" applyProtection="1">
      <alignment vertical="center"/>
    </xf>
    <xf numFmtId="170" fontId="60" fillId="31" borderId="10" xfId="0" applyNumberFormat="1" applyFont="1" applyFill="1" applyBorder="1" applyAlignment="1" applyProtection="1">
      <alignment vertical="center"/>
    </xf>
    <xf numFmtId="170" fontId="60" fillId="31" borderId="11" xfId="0" applyNumberFormat="1" applyFont="1" applyFill="1" applyBorder="1" applyAlignment="1" applyProtection="1">
      <alignment vertical="center"/>
    </xf>
    <xf numFmtId="170" fontId="8" fillId="31" borderId="10" xfId="0" applyNumberFormat="1" applyFont="1" applyFill="1" applyBorder="1" applyAlignment="1" applyProtection="1">
      <alignment vertical="center"/>
    </xf>
    <xf numFmtId="170" fontId="8" fillId="31" borderId="11" xfId="0" applyNumberFormat="1" applyFont="1" applyFill="1" applyBorder="1" applyAlignment="1" applyProtection="1">
      <alignment vertical="center"/>
    </xf>
    <xf numFmtId="170" fontId="7" fillId="31" borderId="10" xfId="0" applyNumberFormat="1" applyFont="1" applyFill="1" applyBorder="1" applyAlignment="1" applyProtection="1">
      <alignment vertical="center"/>
    </xf>
    <xf numFmtId="170" fontId="7" fillId="31" borderId="11" xfId="0" applyNumberFormat="1" applyFont="1" applyFill="1" applyBorder="1" applyAlignment="1" applyProtection="1">
      <alignment vertical="center"/>
    </xf>
    <xf numFmtId="170" fontId="31" fillId="31" borderId="10" xfId="26" applyNumberFormat="1" applyFont="1" applyFill="1" applyBorder="1" applyAlignment="1">
      <alignment vertical="center"/>
    </xf>
    <xf numFmtId="170" fontId="31" fillId="31" borderId="11" xfId="26" applyNumberFormat="1" applyFont="1" applyFill="1" applyBorder="1" applyAlignment="1">
      <alignment vertical="center"/>
    </xf>
    <xf numFmtId="170" fontId="31" fillId="31" borderId="10" xfId="0" applyNumberFormat="1" applyFont="1" applyFill="1" applyBorder="1" applyAlignment="1">
      <alignment vertical="center"/>
    </xf>
    <xf numFmtId="170" fontId="31" fillId="31" borderId="11" xfId="0" applyNumberFormat="1" applyFont="1" applyFill="1" applyBorder="1" applyAlignment="1">
      <alignment vertical="center"/>
    </xf>
    <xf numFmtId="170" fontId="31" fillId="31" borderId="10" xfId="0" applyNumberFormat="1" applyFont="1" applyFill="1" applyBorder="1" applyAlignment="1" applyProtection="1">
      <alignment vertical="center"/>
    </xf>
    <xf numFmtId="170" fontId="31" fillId="31" borderId="11" xfId="0" applyNumberFormat="1" applyFont="1" applyFill="1" applyBorder="1" applyAlignment="1" applyProtection="1">
      <alignment vertical="center"/>
    </xf>
    <xf numFmtId="170" fontId="45" fillId="31" borderId="10" xfId="0" applyNumberFormat="1" applyFont="1" applyFill="1" applyBorder="1" applyAlignment="1" applyProtection="1">
      <alignment vertical="center"/>
    </xf>
    <xf numFmtId="170" fontId="45" fillId="31" borderId="11" xfId="0" applyNumberFormat="1" applyFont="1" applyFill="1" applyBorder="1" applyAlignment="1" applyProtection="1">
      <alignment vertical="center"/>
    </xf>
    <xf numFmtId="170" fontId="45" fillId="31" borderId="10" xfId="0" applyNumberFormat="1" applyFont="1" applyFill="1" applyBorder="1" applyAlignment="1" applyProtection="1">
      <alignment vertical="center"/>
      <protection locked="0"/>
    </xf>
    <xf numFmtId="170" fontId="45" fillId="31" borderId="11" xfId="0" applyNumberFormat="1" applyFont="1" applyFill="1" applyBorder="1" applyAlignment="1" applyProtection="1">
      <alignment vertical="center"/>
      <protection locked="0"/>
    </xf>
    <xf numFmtId="170" fontId="31" fillId="31" borderId="10" xfId="0" applyNumberFormat="1" applyFont="1" applyFill="1" applyBorder="1" applyAlignment="1" applyProtection="1">
      <alignment vertical="center"/>
      <protection locked="0"/>
    </xf>
    <xf numFmtId="170" fontId="31" fillId="31" borderId="11" xfId="0" applyNumberFormat="1" applyFont="1" applyFill="1" applyBorder="1" applyAlignment="1" applyProtection="1">
      <alignment vertical="center"/>
      <protection locked="0"/>
    </xf>
    <xf numFmtId="170" fontId="7" fillId="31" borderId="10" xfId="0" applyNumberFormat="1" applyFont="1" applyFill="1" applyBorder="1" applyAlignment="1">
      <alignment vertical="center"/>
    </xf>
    <xf numFmtId="170" fontId="7" fillId="31" borderId="11" xfId="0" applyNumberFormat="1" applyFont="1" applyFill="1" applyBorder="1" applyAlignment="1">
      <alignment vertical="center"/>
    </xf>
    <xf numFmtId="170" fontId="45" fillId="31" borderId="10" xfId="26" applyNumberFormat="1" applyFont="1" applyFill="1" applyBorder="1" applyAlignment="1">
      <alignment vertical="center"/>
    </xf>
    <xf numFmtId="170" fontId="45" fillId="31" borderId="11" xfId="26" applyNumberFormat="1" applyFont="1" applyFill="1" applyBorder="1" applyAlignment="1">
      <alignment vertical="center"/>
    </xf>
    <xf numFmtId="170" fontId="60" fillId="31" borderId="10" xfId="26" applyNumberFormat="1" applyFont="1" applyFill="1" applyBorder="1" applyAlignment="1">
      <alignment vertical="center"/>
    </xf>
    <xf numFmtId="170" fontId="60" fillId="31" borderId="11" xfId="26" applyNumberFormat="1" applyFont="1" applyFill="1" applyBorder="1" applyAlignment="1">
      <alignment vertical="center"/>
    </xf>
    <xf numFmtId="170" fontId="8" fillId="31" borderId="10" xfId="26" applyNumberFormat="1" applyFont="1" applyFill="1" applyBorder="1" applyAlignment="1">
      <alignment vertical="center"/>
    </xf>
    <xf numFmtId="170" fontId="8" fillId="31" borderId="11" xfId="26" applyNumberFormat="1" applyFont="1" applyFill="1" applyBorder="1" applyAlignment="1">
      <alignment vertical="center"/>
    </xf>
    <xf numFmtId="0" fontId="47" fillId="33" borderId="10" xfId="0" applyFont="1" applyFill="1" applyBorder="1" applyAlignment="1">
      <alignment horizontal="center"/>
    </xf>
    <xf numFmtId="0" fontId="7" fillId="33" borderId="10" xfId="0" applyFont="1" applyFill="1" applyBorder="1" applyAlignment="1" applyProtection="1">
      <alignment horizontal="left" vertical="center" wrapText="1"/>
      <protection locked="0"/>
    </xf>
    <xf numFmtId="170" fontId="7" fillId="33" borderId="10" xfId="0" applyNumberFormat="1" applyFont="1" applyFill="1" applyBorder="1" applyAlignment="1" applyProtection="1">
      <alignment vertical="center"/>
    </xf>
    <xf numFmtId="170" fontId="7" fillId="33" borderId="11" xfId="0" applyNumberFormat="1" applyFont="1" applyFill="1" applyBorder="1" applyAlignment="1" applyProtection="1">
      <alignment vertical="center"/>
    </xf>
    <xf numFmtId="170" fontId="7" fillId="33" borderId="10" xfId="0" applyNumberFormat="1" applyFont="1" applyFill="1" applyBorder="1" applyAlignment="1" applyProtection="1">
      <alignment vertical="center"/>
      <protection locked="0"/>
    </xf>
    <xf numFmtId="170" fontId="7" fillId="33" borderId="11" xfId="0" applyNumberFormat="1" applyFont="1" applyFill="1" applyBorder="1" applyAlignment="1" applyProtection="1">
      <alignment vertical="center"/>
      <protection locked="0"/>
    </xf>
    <xf numFmtId="16" fontId="49" fillId="33" borderId="10" xfId="0" applyNumberFormat="1" applyFont="1" applyFill="1" applyBorder="1" applyAlignment="1">
      <alignment horizontal="center"/>
    </xf>
    <xf numFmtId="170" fontId="39" fillId="33" borderId="10" xfId="0" applyNumberFormat="1" applyFont="1" applyFill="1" applyBorder="1" applyAlignment="1" applyProtection="1">
      <alignment vertical="center"/>
    </xf>
    <xf numFmtId="170" fontId="39" fillId="33" borderId="11" xfId="0" applyNumberFormat="1" applyFont="1" applyFill="1" applyBorder="1" applyAlignment="1" applyProtection="1">
      <alignment vertical="center"/>
    </xf>
    <xf numFmtId="0" fontId="51" fillId="33" borderId="10" xfId="0" applyFont="1" applyFill="1" applyBorder="1" applyAlignment="1">
      <alignment horizontal="center"/>
    </xf>
    <xf numFmtId="0" fontId="7" fillId="33" borderId="10" xfId="0" applyFont="1" applyFill="1" applyBorder="1"/>
    <xf numFmtId="170" fontId="7" fillId="33" borderId="10" xfId="26" applyNumberFormat="1" applyFont="1" applyFill="1" applyBorder="1" applyAlignment="1">
      <alignment vertical="center"/>
    </xf>
    <xf numFmtId="170" fontId="7" fillId="33" borderId="11" xfId="26" applyNumberFormat="1" applyFont="1" applyFill="1" applyBorder="1" applyAlignment="1">
      <alignment vertical="center"/>
    </xf>
    <xf numFmtId="0" fontId="51" fillId="33" borderId="15" xfId="0" applyFont="1" applyFill="1" applyBorder="1" applyAlignment="1">
      <alignment horizontal="center"/>
    </xf>
    <xf numFmtId="0" fontId="7" fillId="33" borderId="15" xfId="0" applyFont="1" applyFill="1" applyBorder="1"/>
    <xf numFmtId="170" fontId="7" fillId="33" borderId="15" xfId="26" applyNumberFormat="1" applyFont="1" applyFill="1" applyBorder="1" applyAlignment="1">
      <alignment vertical="center"/>
    </xf>
    <xf numFmtId="170" fontId="7" fillId="33" borderId="66" xfId="26" applyNumberFormat="1" applyFont="1" applyFill="1" applyBorder="1" applyAlignment="1">
      <alignment vertical="center"/>
    </xf>
    <xf numFmtId="0" fontId="6" fillId="0" borderId="10" xfId="0" applyFont="1" applyFill="1" applyBorder="1"/>
    <xf numFmtId="0" fontId="7" fillId="0" borderId="10" xfId="0" applyFont="1" applyFill="1" applyBorder="1"/>
    <xf numFmtId="10" fontId="47" fillId="31" borderId="84" xfId="0" applyNumberFormat="1" applyFont="1" applyFill="1" applyBorder="1" applyAlignment="1" applyProtection="1">
      <alignment vertical="center"/>
    </xf>
    <xf numFmtId="10" fontId="60" fillId="31" borderId="77" xfId="0" applyNumberFormat="1" applyFont="1" applyFill="1" applyBorder="1" applyAlignment="1" applyProtection="1">
      <alignment vertical="center"/>
    </xf>
    <xf numFmtId="10" fontId="8" fillId="31" borderId="77" xfId="0" applyNumberFormat="1" applyFont="1" applyFill="1" applyBorder="1" applyAlignment="1" applyProtection="1">
      <alignment vertical="center"/>
    </xf>
    <xf numFmtId="10" fontId="7" fillId="31" borderId="77" xfId="0" applyNumberFormat="1" applyFont="1" applyFill="1" applyBorder="1" applyAlignment="1" applyProtection="1">
      <alignment vertical="center"/>
    </xf>
    <xf numFmtId="10" fontId="7" fillId="33" borderId="77" xfId="0" applyNumberFormat="1" applyFont="1" applyFill="1" applyBorder="1" applyAlignment="1" applyProtection="1">
      <alignment vertical="center"/>
    </xf>
    <xf numFmtId="10" fontId="31" fillId="31" borderId="77" xfId="26" applyNumberFormat="1" applyFont="1" applyFill="1" applyBorder="1" applyAlignment="1">
      <alignment vertical="center"/>
    </xf>
    <xf numFmtId="10" fontId="31" fillId="31" borderId="77" xfId="0" applyNumberFormat="1" applyFont="1" applyFill="1" applyBorder="1" applyAlignment="1">
      <alignment vertical="center"/>
    </xf>
    <xf numFmtId="10" fontId="31" fillId="31" borderId="77" xfId="0" applyNumberFormat="1" applyFont="1" applyFill="1" applyBorder="1" applyAlignment="1" applyProtection="1">
      <alignment vertical="center"/>
    </xf>
    <xf numFmtId="10" fontId="45" fillId="31" borderId="77" xfId="0" applyNumberFormat="1" applyFont="1" applyFill="1" applyBorder="1" applyAlignment="1" applyProtection="1">
      <alignment vertical="center"/>
    </xf>
    <xf numFmtId="10" fontId="45" fillId="31" borderId="77" xfId="0" applyNumberFormat="1" applyFont="1" applyFill="1" applyBorder="1" applyAlignment="1" applyProtection="1">
      <alignment vertical="center"/>
      <protection locked="0"/>
    </xf>
    <xf numFmtId="10" fontId="31" fillId="31" borderId="77" xfId="0" applyNumberFormat="1" applyFont="1" applyFill="1" applyBorder="1" applyAlignment="1" applyProtection="1">
      <alignment vertical="center"/>
      <protection locked="0"/>
    </xf>
    <xf numFmtId="10" fontId="7" fillId="33" borderId="77" xfId="0" applyNumberFormat="1" applyFont="1" applyFill="1" applyBorder="1" applyAlignment="1" applyProtection="1">
      <alignment vertical="center"/>
      <protection locked="0"/>
    </xf>
    <xf numFmtId="10" fontId="7" fillId="31" borderId="77" xfId="0" applyNumberFormat="1" applyFont="1" applyFill="1" applyBorder="1" applyAlignment="1">
      <alignment vertical="center"/>
    </xf>
    <xf numFmtId="10" fontId="45" fillId="31" borderId="77" xfId="26" applyNumberFormat="1" applyFont="1" applyFill="1" applyBorder="1" applyAlignment="1">
      <alignment vertical="center"/>
    </xf>
    <xf numFmtId="10" fontId="60" fillId="31" borderId="77" xfId="26" applyNumberFormat="1" applyFont="1" applyFill="1" applyBorder="1" applyAlignment="1">
      <alignment vertical="center"/>
    </xf>
    <xf numFmtId="10" fontId="39" fillId="33" borderId="77" xfId="0" applyNumberFormat="1" applyFont="1" applyFill="1" applyBorder="1" applyAlignment="1" applyProtection="1">
      <alignment vertical="center"/>
    </xf>
    <xf numFmtId="10" fontId="8" fillId="31" borderId="77" xfId="26" applyNumberFormat="1" applyFont="1" applyFill="1" applyBorder="1" applyAlignment="1">
      <alignment vertical="center"/>
    </xf>
    <xf numFmtId="10" fontId="7" fillId="33" borderId="77" xfId="26" applyNumberFormat="1" applyFont="1" applyFill="1" applyBorder="1" applyAlignment="1">
      <alignment vertical="center"/>
    </xf>
    <xf numFmtId="10" fontId="7" fillId="33" borderId="75" xfId="26" applyNumberFormat="1" applyFont="1" applyFill="1" applyBorder="1" applyAlignment="1">
      <alignment vertical="center"/>
    </xf>
    <xf numFmtId="10" fontId="62" fillId="29" borderId="23" xfId="0" applyNumberFormat="1" applyFont="1" applyFill="1" applyBorder="1" applyAlignment="1">
      <alignment vertical="center"/>
    </xf>
    <xf numFmtId="10" fontId="0" fillId="0" borderId="0" xfId="0" applyNumberFormat="1"/>
    <xf numFmtId="164" fontId="72" fillId="32" borderId="11" xfId="41" applyNumberFormat="1" applyFont="1" applyFill="1" applyBorder="1" applyAlignment="1">
      <alignment vertical="center"/>
    </xf>
    <xf numFmtId="164" fontId="87" fillId="28" borderId="11" xfId="26" applyNumberFormat="1" applyFont="1" applyFill="1" applyBorder="1" applyAlignment="1">
      <alignment horizontal="right"/>
    </xf>
    <xf numFmtId="164" fontId="75" fillId="27" borderId="11" xfId="26" applyNumberFormat="1" applyFont="1" applyFill="1" applyBorder="1" applyAlignment="1">
      <alignment horizontal="right"/>
    </xf>
    <xf numFmtId="164" fontId="92" fillId="34" borderId="11" xfId="26" applyNumberFormat="1" applyFont="1" applyFill="1" applyBorder="1"/>
    <xf numFmtId="164" fontId="87" fillId="28" borderId="59" xfId="26" applyNumberFormat="1" applyFont="1" applyFill="1" applyBorder="1" applyAlignment="1">
      <alignment horizontal="right"/>
    </xf>
    <xf numFmtId="164" fontId="75" fillId="27" borderId="59" xfId="26" applyNumberFormat="1" applyFont="1" applyFill="1" applyBorder="1" applyAlignment="1">
      <alignment horizontal="right"/>
    </xf>
    <xf numFmtId="164" fontId="92" fillId="34" borderId="59" xfId="26" applyNumberFormat="1" applyFont="1" applyFill="1" applyBorder="1"/>
    <xf numFmtId="0" fontId="8" fillId="30" borderId="11" xfId="41" applyFont="1" applyFill="1" applyBorder="1"/>
    <xf numFmtId="0" fontId="87" fillId="28" borderId="11" xfId="41" applyFont="1" applyFill="1" applyBorder="1" applyAlignment="1">
      <alignment horizontal="left" indent="2"/>
    </xf>
    <xf numFmtId="0" fontId="75" fillId="27" borderId="11" xfId="41" applyFont="1" applyFill="1" applyBorder="1" applyAlignment="1">
      <alignment horizontal="left" indent="4"/>
    </xf>
    <xf numFmtId="0" fontId="92" fillId="34" borderId="12" xfId="0" applyFont="1" applyFill="1" applyBorder="1" applyAlignment="1">
      <alignment horizontal="left" indent="6"/>
    </xf>
    <xf numFmtId="164" fontId="72" fillId="32" borderId="85" xfId="41" applyNumberFormat="1" applyFont="1" applyFill="1" applyBorder="1" applyAlignment="1">
      <alignment vertical="center"/>
    </xf>
    <xf numFmtId="164" fontId="72" fillId="32" borderId="59" xfId="41" applyNumberFormat="1" applyFont="1" applyFill="1" applyBorder="1" applyAlignment="1">
      <alignment vertical="center"/>
    </xf>
    <xf numFmtId="10" fontId="5" fillId="0" borderId="85" xfId="26" applyNumberFormat="1" applyFont="1" applyFill="1" applyBorder="1" applyAlignment="1">
      <alignment vertical="center"/>
    </xf>
    <xf numFmtId="10" fontId="5" fillId="0" borderId="59" xfId="26" applyNumberFormat="1" applyFont="1" applyFill="1" applyBorder="1" applyAlignment="1">
      <alignment vertical="center"/>
    </xf>
    <xf numFmtId="10" fontId="84" fillId="28" borderId="59" xfId="26" applyNumberFormat="1" applyFont="1" applyFill="1" applyBorder="1" applyAlignment="1"/>
    <xf numFmtId="10" fontId="79" fillId="27" borderId="59" xfId="26" applyNumberFormat="1" applyFont="1" applyFill="1" applyBorder="1" applyAlignment="1"/>
    <xf numFmtId="10" fontId="43" fillId="34" borderId="59" xfId="26" applyNumberFormat="1" applyFont="1" applyFill="1" applyBorder="1" applyAlignment="1"/>
    <xf numFmtId="168" fontId="28" fillId="35" borderId="16" xfId="41" applyNumberFormat="1" applyFont="1" applyFill="1" applyBorder="1" applyAlignment="1">
      <alignment horizontal="center"/>
    </xf>
    <xf numFmtId="3" fontId="28" fillId="35" borderId="18" xfId="41" applyNumberFormat="1" applyFont="1" applyFill="1" applyBorder="1" applyAlignment="1">
      <alignment horizontal="center"/>
    </xf>
    <xf numFmtId="164" fontId="72" fillId="32" borderId="11" xfId="41" applyNumberFormat="1" applyFont="1" applyFill="1" applyBorder="1" applyAlignment="1">
      <alignment horizontal="right"/>
    </xf>
    <xf numFmtId="164" fontId="87" fillId="31" borderId="43" xfId="41" applyNumberFormat="1" applyFont="1" applyFill="1" applyBorder="1" applyAlignment="1">
      <alignment horizontal="right"/>
    </xf>
    <xf numFmtId="164" fontId="72" fillId="32" borderId="11" xfId="26" applyNumberFormat="1" applyFont="1" applyFill="1" applyBorder="1" applyAlignment="1">
      <alignment horizontal="right"/>
    </xf>
    <xf numFmtId="164" fontId="90" fillId="32" borderId="11" xfId="41" applyNumberFormat="1" applyFont="1" applyFill="1" applyBorder="1" applyAlignment="1">
      <alignment horizontal="right"/>
    </xf>
    <xf numFmtId="10" fontId="5" fillId="0" borderId="85" xfId="26" applyNumberFormat="1" applyFont="1" applyFill="1" applyBorder="1" applyAlignment="1">
      <alignment horizontal="right"/>
    </xf>
    <xf numFmtId="10" fontId="5" fillId="0" borderId="59" xfId="26" applyNumberFormat="1" applyFont="1" applyFill="1" applyBorder="1" applyAlignment="1">
      <alignment horizontal="right"/>
    </xf>
    <xf numFmtId="10" fontId="84" fillId="31" borderId="86" xfId="0" applyNumberFormat="1" applyFont="1" applyFill="1" applyBorder="1" applyAlignment="1">
      <alignment horizontal="right"/>
    </xf>
    <xf numFmtId="10" fontId="84" fillId="28" borderId="59" xfId="26" applyNumberFormat="1" applyFont="1" applyFill="1" applyBorder="1" applyAlignment="1">
      <alignment horizontal="right"/>
    </xf>
    <xf numFmtId="10" fontId="79" fillId="27" borderId="59" xfId="26" applyNumberFormat="1" applyFont="1" applyFill="1" applyBorder="1" applyAlignment="1">
      <alignment horizontal="right"/>
    </xf>
    <xf numFmtId="164" fontId="28" fillId="32" borderId="43" xfId="26" applyNumberFormat="1" applyFont="1" applyFill="1" applyBorder="1" applyAlignment="1">
      <alignment horizontal="right"/>
    </xf>
    <xf numFmtId="164" fontId="28" fillId="32" borderId="11" xfId="26" applyNumberFormat="1" applyFont="1" applyFill="1" applyBorder="1" applyAlignment="1">
      <alignment horizontal="right"/>
    </xf>
    <xf numFmtId="164" fontId="89" fillId="28" borderId="11" xfId="26" applyNumberFormat="1" applyFont="1" applyFill="1" applyBorder="1" applyAlignment="1">
      <alignment horizontal="right"/>
    </xf>
    <xf numFmtId="164" fontId="85" fillId="28" borderId="11" xfId="26" applyNumberFormat="1" applyFont="1" applyFill="1" applyBorder="1" applyAlignment="1">
      <alignment horizontal="right"/>
    </xf>
    <xf numFmtId="164" fontId="73" fillId="32" borderId="11" xfId="26" applyNumberFormat="1" applyFont="1" applyFill="1" applyBorder="1" applyAlignment="1">
      <alignment horizontal="right"/>
    </xf>
    <xf numFmtId="164" fontId="73" fillId="32" borderId="11" xfId="26" applyNumberFormat="1" applyFont="1" applyFill="1" applyBorder="1" applyAlignment="1">
      <alignment horizontal="right" vertical="center"/>
    </xf>
    <xf numFmtId="164" fontId="74" fillId="32" borderId="11" xfId="26" applyNumberFormat="1" applyFont="1" applyFill="1" applyBorder="1" applyAlignment="1">
      <alignment horizontal="right" vertical="center"/>
    </xf>
    <xf numFmtId="164" fontId="28" fillId="27" borderId="11" xfId="26" applyNumberFormat="1" applyFont="1" applyFill="1" applyBorder="1" applyAlignment="1">
      <alignment horizontal="right"/>
    </xf>
    <xf numFmtId="168" fontId="28" fillId="35" borderId="51" xfId="0" applyNumberFormat="1" applyFont="1" applyFill="1" applyBorder="1" applyAlignment="1">
      <alignment horizontal="center" wrapText="1"/>
    </xf>
    <xf numFmtId="0" fontId="27" fillId="30" borderId="43" xfId="0" applyFont="1" applyFill="1" applyBorder="1"/>
    <xf numFmtId="3" fontId="27" fillId="30" borderId="11" xfId="0" applyNumberFormat="1" applyFont="1" applyFill="1" applyBorder="1"/>
    <xf numFmtId="3" fontId="88" fillId="28" borderId="11" xfId="0" applyNumberFormat="1" applyFont="1" applyFill="1" applyBorder="1" applyAlignment="1">
      <alignment horizontal="left" indent="2"/>
    </xf>
    <xf numFmtId="3" fontId="85" fillId="28" borderId="11" xfId="0" applyNumberFormat="1" applyFont="1" applyFill="1" applyBorder="1" applyAlignment="1">
      <alignment horizontal="left" indent="2"/>
    </xf>
    <xf numFmtId="49" fontId="76" fillId="30" borderId="11" xfId="0" applyNumberFormat="1" applyFont="1" applyFill="1" applyBorder="1"/>
    <xf numFmtId="3" fontId="76" fillId="30" borderId="11" xfId="0" applyNumberFormat="1" applyFont="1" applyFill="1" applyBorder="1" applyAlignment="1">
      <alignment horizontal="left"/>
    </xf>
    <xf numFmtId="3" fontId="76" fillId="30" borderId="11" xfId="0" applyNumberFormat="1" applyFont="1" applyFill="1" applyBorder="1" applyAlignment="1">
      <alignment vertical="center"/>
    </xf>
    <xf numFmtId="0" fontId="27" fillId="30" borderId="11" xfId="0" applyFont="1" applyFill="1" applyBorder="1" applyAlignment="1">
      <alignment vertical="center"/>
    </xf>
    <xf numFmtId="3" fontId="27" fillId="30" borderId="11" xfId="0" applyNumberFormat="1" applyFont="1" applyFill="1" applyBorder="1" applyAlignment="1">
      <alignment vertical="center"/>
    </xf>
    <xf numFmtId="0" fontId="82" fillId="30" borderId="11" xfId="43" applyFont="1" applyFill="1" applyBorder="1" applyAlignment="1">
      <alignment vertical="center" wrapText="1"/>
    </xf>
    <xf numFmtId="0" fontId="28" fillId="27" borderId="11" xfId="0" applyFont="1" applyFill="1" applyBorder="1" applyAlignment="1">
      <alignment horizontal="left" indent="4"/>
    </xf>
    <xf numFmtId="164" fontId="28" fillId="32" borderId="85" xfId="26" applyNumberFormat="1" applyFont="1" applyFill="1" applyBorder="1" applyAlignment="1">
      <alignment horizontal="right"/>
    </xf>
    <xf numFmtId="164" fontId="28" fillId="32" borderId="59" xfId="26" applyNumberFormat="1" applyFont="1" applyFill="1" applyBorder="1" applyAlignment="1">
      <alignment horizontal="right"/>
    </xf>
    <xf numFmtId="164" fontId="89" fillId="28" borderId="59" xfId="26" applyNumberFormat="1" applyFont="1" applyFill="1" applyBorder="1" applyAlignment="1">
      <alignment horizontal="right"/>
    </xf>
    <xf numFmtId="164" fontId="32" fillId="32" borderId="59" xfId="26" applyNumberFormat="1" applyFont="1" applyFill="1" applyBorder="1" applyAlignment="1">
      <alignment horizontal="right"/>
    </xf>
    <xf numFmtId="164" fontId="85" fillId="28" borderId="59" xfId="26" applyNumberFormat="1" applyFont="1" applyFill="1" applyBorder="1" applyAlignment="1">
      <alignment horizontal="right"/>
    </xf>
    <xf numFmtId="164" fontId="34" fillId="32" borderId="59" xfId="26" applyNumberFormat="1" applyFont="1" applyFill="1" applyBorder="1" applyAlignment="1">
      <alignment horizontal="right"/>
    </xf>
    <xf numFmtId="164" fontId="73" fillId="32" borderId="59" xfId="26" applyNumberFormat="1" applyFont="1" applyFill="1" applyBorder="1" applyAlignment="1">
      <alignment horizontal="right" vertical="center"/>
    </xf>
    <xf numFmtId="164" fontId="28" fillId="27" borderId="59" xfId="26" applyNumberFormat="1" applyFont="1" applyFill="1" applyBorder="1" applyAlignment="1">
      <alignment horizontal="right"/>
    </xf>
    <xf numFmtId="10" fontId="84" fillId="0" borderId="78" xfId="26" applyNumberFormat="1" applyFont="1" applyFill="1" applyBorder="1" applyAlignment="1">
      <alignment horizontal="right"/>
    </xf>
    <xf numFmtId="10" fontId="84" fillId="0" borderId="77" xfId="26" applyNumberFormat="1" applyFont="1" applyFill="1" applyBorder="1" applyAlignment="1">
      <alignment horizontal="right"/>
    </xf>
    <xf numFmtId="10" fontId="96" fillId="0" borderId="77" xfId="26" applyNumberFormat="1" applyFont="1" applyFill="1" applyBorder="1" applyAlignment="1">
      <alignment horizontal="right"/>
    </xf>
    <xf numFmtId="10" fontId="96" fillId="0" borderId="77" xfId="26" applyNumberFormat="1" applyFont="1" applyFill="1" applyBorder="1" applyAlignment="1">
      <alignment horizontal="right" vertical="center"/>
    </xf>
    <xf numFmtId="10" fontId="102" fillId="0" borderId="77" xfId="26" applyNumberFormat="1" applyFont="1" applyFill="1" applyBorder="1" applyAlignment="1">
      <alignment horizontal="right" vertical="center"/>
    </xf>
    <xf numFmtId="10" fontId="103" fillId="28" borderId="77" xfId="26" applyNumberFormat="1" applyFont="1" applyFill="1" applyBorder="1" applyAlignment="1">
      <alignment horizontal="right"/>
    </xf>
    <xf numFmtId="10" fontId="26" fillId="28" borderId="77" xfId="26" applyNumberFormat="1" applyFont="1" applyFill="1" applyBorder="1" applyAlignment="1">
      <alignment horizontal="right"/>
    </xf>
    <xf numFmtId="10" fontId="79" fillId="28" borderId="77" xfId="26" applyNumberFormat="1" applyFont="1" applyFill="1" applyBorder="1" applyAlignment="1">
      <alignment horizontal="right"/>
    </xf>
    <xf numFmtId="10" fontId="7" fillId="27" borderId="77" xfId="26" applyNumberFormat="1" applyFont="1" applyFill="1" applyBorder="1" applyAlignment="1">
      <alignment horizontal="right"/>
    </xf>
    <xf numFmtId="164" fontId="27" fillId="32" borderId="43" xfId="27" applyNumberFormat="1" applyFont="1" applyFill="1" applyBorder="1"/>
    <xf numFmtId="164" fontId="27" fillId="32" borderId="11" xfId="27" applyNumberFormat="1" applyFont="1" applyFill="1" applyBorder="1"/>
    <xf numFmtId="164" fontId="87" fillId="28" borderId="11" xfId="27" applyNumberFormat="1" applyFont="1" applyFill="1" applyBorder="1"/>
    <xf numFmtId="164" fontId="8" fillId="32" borderId="11" xfId="27" applyNumberFormat="1" applyFont="1" applyFill="1" applyBorder="1"/>
    <xf numFmtId="164" fontId="77" fillId="31" borderId="11" xfId="27" applyNumberFormat="1" applyFont="1" applyFill="1" applyBorder="1"/>
    <xf numFmtId="164" fontId="91" fillId="32" borderId="11" xfId="26" applyNumberFormat="1" applyFont="1" applyFill="1" applyBorder="1"/>
    <xf numFmtId="164" fontId="72" fillId="32" borderId="11" xfId="26" applyNumberFormat="1" applyFont="1" applyFill="1" applyBorder="1"/>
    <xf numFmtId="164" fontId="31" fillId="32" borderId="11" xfId="26" applyNumberFormat="1" applyFont="1" applyFill="1" applyBorder="1"/>
    <xf numFmtId="164" fontId="93" fillId="32" borderId="11" xfId="26" applyNumberFormat="1" applyFont="1" applyFill="1" applyBorder="1"/>
    <xf numFmtId="0" fontId="27" fillId="0" borderId="44" xfId="0" applyFont="1" applyFill="1" applyBorder="1"/>
    <xf numFmtId="0" fontId="27" fillId="0" borderId="12" xfId="0" applyFont="1" applyFill="1" applyBorder="1"/>
    <xf numFmtId="0" fontId="87" fillId="28" borderId="12" xfId="0" applyFont="1" applyFill="1" applyBorder="1" applyAlignment="1">
      <alignment horizontal="left" indent="3"/>
    </xf>
    <xf numFmtId="0" fontId="8" fillId="30" borderId="12" xfId="0" applyFont="1" applyFill="1" applyBorder="1"/>
    <xf numFmtId="0" fontId="75" fillId="33" borderId="12" xfId="0" applyFont="1" applyFill="1" applyBorder="1" applyAlignment="1">
      <alignment horizontal="left" indent="4"/>
    </xf>
    <xf numFmtId="0" fontId="86" fillId="30" borderId="12" xfId="0" applyFont="1" applyFill="1" applyBorder="1" applyAlignment="1">
      <alignment horizontal="left" indent="2"/>
    </xf>
    <xf numFmtId="0" fontId="27" fillId="30" borderId="12" xfId="0" applyFont="1" applyFill="1" applyBorder="1"/>
    <xf numFmtId="0" fontId="77" fillId="31" borderId="12" xfId="0" applyFont="1" applyFill="1" applyBorder="1" applyAlignment="1">
      <alignment horizontal="left" indent="1"/>
    </xf>
    <xf numFmtId="0" fontId="91" fillId="30" borderId="12" xfId="0" applyFont="1" applyFill="1" applyBorder="1"/>
    <xf numFmtId="0" fontId="31" fillId="0" borderId="12" xfId="0" applyFont="1" applyFill="1" applyBorder="1"/>
    <xf numFmtId="0" fontId="72" fillId="0" borderId="12" xfId="0" applyFont="1" applyFill="1" applyBorder="1"/>
    <xf numFmtId="164" fontId="87" fillId="28" borderId="59" xfId="27" applyNumberFormat="1" applyFont="1" applyFill="1" applyBorder="1"/>
    <xf numFmtId="164" fontId="75" fillId="33" borderId="59" xfId="27" applyNumberFormat="1" applyFont="1" applyFill="1" applyBorder="1"/>
    <xf numFmtId="164" fontId="27" fillId="32" borderId="85" xfId="27" applyNumberFormat="1" applyFont="1" applyFill="1" applyBorder="1"/>
    <xf numFmtId="164" fontId="27" fillId="32" borderId="59" xfId="27" applyNumberFormat="1" applyFont="1" applyFill="1" applyBorder="1"/>
    <xf numFmtId="164" fontId="8" fillId="32" borderId="59" xfId="27" applyNumberFormat="1" applyFont="1" applyFill="1" applyBorder="1"/>
    <xf numFmtId="164" fontId="86" fillId="32" borderId="59" xfId="27" applyNumberFormat="1" applyFont="1" applyFill="1" applyBorder="1"/>
    <xf numFmtId="164" fontId="77" fillId="31" borderId="59" xfId="27" applyNumberFormat="1" applyFont="1" applyFill="1" applyBorder="1"/>
    <xf numFmtId="164" fontId="91" fillId="32" borderId="59" xfId="26" applyNumberFormat="1" applyFont="1" applyFill="1" applyBorder="1"/>
    <xf numFmtId="164" fontId="72" fillId="32" borderId="59" xfId="26" applyNumberFormat="1" applyFont="1" applyFill="1" applyBorder="1"/>
    <xf numFmtId="164" fontId="31" fillId="32" borderId="59" xfId="26" applyNumberFormat="1" applyFont="1" applyFill="1" applyBorder="1"/>
    <xf numFmtId="164" fontId="93" fillId="32" borderId="59" xfId="26" applyNumberFormat="1" applyFont="1" applyFill="1" applyBorder="1"/>
    <xf numFmtId="10" fontId="104" fillId="0" borderId="85" xfId="27" applyNumberFormat="1" applyFont="1" applyFill="1" applyBorder="1" applyAlignment="1">
      <alignment horizontal="right"/>
    </xf>
    <xf numFmtId="10" fontId="104" fillId="0" borderId="59" xfId="27" applyNumberFormat="1" applyFont="1" applyFill="1" applyBorder="1" applyAlignment="1">
      <alignment horizontal="right"/>
    </xf>
    <xf numFmtId="10" fontId="104" fillId="0" borderId="59" xfId="26" applyNumberFormat="1" applyFont="1" applyFill="1" applyBorder="1" applyAlignment="1">
      <alignment horizontal="right"/>
    </xf>
    <xf numFmtId="10" fontId="84" fillId="28" borderId="59" xfId="27" applyNumberFormat="1" applyFont="1" applyFill="1" applyBorder="1" applyAlignment="1">
      <alignment horizontal="right"/>
    </xf>
    <xf numFmtId="10" fontId="84" fillId="28" borderId="59" xfId="27" applyNumberFormat="1" applyFont="1" applyFill="1" applyBorder="1"/>
    <xf numFmtId="10" fontId="79" fillId="33" borderId="59" xfId="27" applyNumberFormat="1" applyFont="1" applyFill="1" applyBorder="1" applyAlignment="1">
      <alignment horizontal="right"/>
    </xf>
    <xf numFmtId="10" fontId="79" fillId="33" borderId="59" xfId="27" applyNumberFormat="1" applyFont="1" applyFill="1" applyBorder="1"/>
    <xf numFmtId="10" fontId="43" fillId="34" borderId="59" xfId="26" applyNumberFormat="1" applyFont="1" applyFill="1" applyBorder="1"/>
    <xf numFmtId="10" fontId="54" fillId="0" borderId="0" xfId="0" applyNumberFormat="1" applyFont="1"/>
    <xf numFmtId="10" fontId="84" fillId="31" borderId="59" xfId="27" applyNumberFormat="1" applyFont="1" applyFill="1" applyBorder="1"/>
    <xf numFmtId="0" fontId="5" fillId="0" borderId="20" xfId="0" applyFont="1" applyFill="1" applyBorder="1"/>
    <xf numFmtId="0" fontId="28" fillId="35" borderId="10" xfId="0" applyFont="1" applyFill="1" applyBorder="1"/>
    <xf numFmtId="3" fontId="28" fillId="35" borderId="10" xfId="0" applyNumberFormat="1" applyFont="1" applyFill="1" applyBorder="1" applyAlignment="1"/>
    <xf numFmtId="166" fontId="28" fillId="0" borderId="20" xfId="26" applyNumberFormat="1" applyFont="1" applyFill="1" applyBorder="1" applyAlignment="1">
      <alignment horizontal="center"/>
    </xf>
    <xf numFmtId="166" fontId="28" fillId="0" borderId="20" xfId="26" applyNumberFormat="1" applyFont="1" applyFill="1" applyBorder="1"/>
    <xf numFmtId="164" fontId="86" fillId="32" borderId="88" xfId="27" applyNumberFormat="1" applyFont="1" applyFill="1" applyBorder="1"/>
    <xf numFmtId="166" fontId="28" fillId="28" borderId="11" xfId="26" applyNumberFormat="1" applyFont="1" applyFill="1" applyBorder="1"/>
    <xf numFmtId="164" fontId="86" fillId="32" borderId="66" xfId="27" applyNumberFormat="1" applyFont="1" applyFill="1" applyBorder="1"/>
    <xf numFmtId="10" fontId="27" fillId="0" borderId="84" xfId="27" applyNumberFormat="1" applyFont="1" applyFill="1" applyBorder="1"/>
    <xf numFmtId="10" fontId="27" fillId="0" borderId="77" xfId="27" applyNumberFormat="1" applyFont="1" applyFill="1" applyBorder="1"/>
    <xf numFmtId="10" fontId="27" fillId="0" borderId="89" xfId="27" applyNumberFormat="1" applyFont="1" applyFill="1" applyBorder="1"/>
    <xf numFmtId="10" fontId="77" fillId="33" borderId="77" xfId="27" applyNumberFormat="1" applyFont="1" applyFill="1" applyBorder="1"/>
    <xf numFmtId="10" fontId="105" fillId="34" borderId="77" xfId="26" applyNumberFormat="1" applyFont="1" applyFill="1" applyBorder="1"/>
    <xf numFmtId="10" fontId="106" fillId="34" borderId="74" xfId="26" applyNumberFormat="1" applyFont="1" applyFill="1" applyBorder="1"/>
    <xf numFmtId="10" fontId="77" fillId="33" borderId="84" xfId="27" applyNumberFormat="1" applyFont="1" applyFill="1" applyBorder="1"/>
    <xf numFmtId="10" fontId="28" fillId="28" borderId="77" xfId="26" applyNumberFormat="1" applyFont="1" applyFill="1" applyBorder="1"/>
    <xf numFmtId="10" fontId="27" fillId="0" borderId="75" xfId="27" applyNumberFormat="1" applyFont="1" applyFill="1" applyBorder="1"/>
    <xf numFmtId="0" fontId="87" fillId="38" borderId="10" xfId="0" applyFont="1" applyFill="1" applyBorder="1" applyAlignment="1">
      <alignment horizontal="center"/>
    </xf>
    <xf numFmtId="3" fontId="87" fillId="38" borderId="11" xfId="0" applyNumberFormat="1" applyFont="1" applyFill="1" applyBorder="1" applyAlignment="1"/>
    <xf numFmtId="164" fontId="98" fillId="36" borderId="63" xfId="0" applyNumberFormat="1" applyFont="1" applyFill="1" applyBorder="1" applyAlignment="1"/>
    <xf numFmtId="164" fontId="98" fillId="36" borderId="13" xfId="0" applyNumberFormat="1" applyFont="1" applyFill="1" applyBorder="1" applyAlignment="1"/>
    <xf numFmtId="164" fontId="98" fillId="36" borderId="11" xfId="0" applyNumberFormat="1" applyFont="1" applyFill="1" applyBorder="1" applyAlignment="1"/>
    <xf numFmtId="10" fontId="99" fillId="36" borderId="77" xfId="0" applyNumberFormat="1" applyFont="1" applyFill="1" applyBorder="1" applyAlignment="1">
      <alignment horizontal="center"/>
    </xf>
    <xf numFmtId="164" fontId="98" fillId="36" borderId="82" xfId="0" applyNumberFormat="1" applyFont="1" applyFill="1" applyBorder="1" applyAlignment="1"/>
    <xf numFmtId="164" fontId="98" fillId="36" borderId="10" xfId="0" applyNumberFormat="1" applyFont="1" applyFill="1" applyBorder="1" applyAlignment="1"/>
    <xf numFmtId="0" fontId="87" fillId="36" borderId="10" xfId="0" applyFont="1" applyFill="1" applyBorder="1"/>
    <xf numFmtId="0" fontId="87" fillId="36" borderId="12" xfId="0" applyFont="1" applyFill="1" applyBorder="1" applyAlignment="1">
      <alignment horizontal="left" indent="2"/>
    </xf>
    <xf numFmtId="164" fontId="107" fillId="34" borderId="63" xfId="0" applyNumberFormat="1" applyFont="1" applyFill="1" applyBorder="1" applyAlignment="1"/>
    <xf numFmtId="164" fontId="107" fillId="34" borderId="13" xfId="0" applyNumberFormat="1" applyFont="1" applyFill="1" applyBorder="1" applyAlignment="1"/>
    <xf numFmtId="164" fontId="107" fillId="34" borderId="11" xfId="0" applyNumberFormat="1" applyFont="1" applyFill="1" applyBorder="1" applyAlignment="1"/>
    <xf numFmtId="10" fontId="107" fillId="34" borderId="77" xfId="0" applyNumberFormat="1" applyFont="1" applyFill="1" applyBorder="1" applyAlignment="1">
      <alignment horizontal="center"/>
    </xf>
    <xf numFmtId="164" fontId="107" fillId="34" borderId="82" xfId="0" applyNumberFormat="1" applyFont="1" applyFill="1" applyBorder="1" applyAlignment="1"/>
    <xf numFmtId="164" fontId="107" fillId="34" borderId="10" xfId="0" applyNumberFormat="1" applyFont="1" applyFill="1" applyBorder="1" applyAlignment="1"/>
    <xf numFmtId="164" fontId="73" fillId="32" borderId="10" xfId="26" applyNumberFormat="1" applyFont="1" applyFill="1" applyBorder="1" applyAlignment="1">
      <alignment horizontal="right"/>
    </xf>
    <xf numFmtId="164" fontId="93" fillId="32" borderId="59" xfId="26" applyNumberFormat="1" applyFont="1" applyFill="1" applyBorder="1" applyAlignment="1">
      <alignment vertical="center" wrapText="1"/>
    </xf>
    <xf numFmtId="164" fontId="93" fillId="32" borderId="10" xfId="26" applyNumberFormat="1" applyFont="1" applyFill="1" applyBorder="1" applyAlignment="1">
      <alignment vertical="center" wrapText="1"/>
    </xf>
    <xf numFmtId="164" fontId="93" fillId="32" borderId="11" xfId="26" applyNumberFormat="1" applyFont="1" applyFill="1" applyBorder="1" applyAlignment="1">
      <alignment vertical="center" wrapText="1"/>
    </xf>
    <xf numFmtId="10" fontId="104" fillId="0" borderId="59" xfId="26" applyNumberFormat="1" applyFont="1" applyFill="1" applyBorder="1" applyAlignment="1">
      <alignment horizontal="right" vertical="center" wrapText="1"/>
    </xf>
    <xf numFmtId="0" fontId="31" fillId="0" borderId="10" xfId="0" applyFont="1" applyFill="1" applyBorder="1" applyAlignment="1">
      <alignment vertical="center" wrapText="1"/>
    </xf>
    <xf numFmtId="0" fontId="31" fillId="0" borderId="12" xfId="0" applyFont="1" applyFill="1" applyBorder="1" applyAlignment="1">
      <alignment vertical="center" wrapText="1"/>
    </xf>
    <xf numFmtId="164" fontId="31" fillId="32" borderId="59" xfId="26" applyNumberFormat="1" applyFont="1" applyFill="1" applyBorder="1" applyAlignment="1">
      <alignment vertical="center" wrapText="1"/>
    </xf>
    <xf numFmtId="164" fontId="31" fillId="32" borderId="10" xfId="26" applyNumberFormat="1" applyFont="1" applyFill="1" applyBorder="1" applyAlignment="1">
      <alignment vertical="center" wrapText="1"/>
    </xf>
    <xf numFmtId="164" fontId="31" fillId="32" borderId="11" xfId="26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67" fontId="48" fillId="35" borderId="52" xfId="0" applyNumberFormat="1" applyFont="1" applyFill="1" applyBorder="1" applyAlignment="1">
      <alignment horizontal="center" vertical="center" wrapText="1"/>
    </xf>
    <xf numFmtId="0" fontId="28" fillId="35" borderId="91" xfId="0" applyFont="1" applyFill="1" applyBorder="1" applyAlignment="1">
      <alignment horizontal="center" vertical="center"/>
    </xf>
    <xf numFmtId="168" fontId="85" fillId="35" borderId="79" xfId="0" applyNumberFormat="1" applyFont="1" applyFill="1" applyBorder="1" applyAlignment="1">
      <alignment horizontal="center" vertical="center" wrapText="1"/>
    </xf>
    <xf numFmtId="168" fontId="85" fillId="35" borderId="64" xfId="0" applyNumberFormat="1" applyFont="1" applyFill="1" applyBorder="1" applyAlignment="1">
      <alignment horizontal="center" vertical="center" wrapText="1"/>
    </xf>
    <xf numFmtId="0" fontId="35" fillId="35" borderId="41" xfId="0" applyFont="1" applyFill="1" applyBorder="1" applyAlignment="1">
      <alignment horizontal="center" vertical="center" wrapText="1"/>
    </xf>
    <xf numFmtId="3" fontId="7" fillId="35" borderId="41" xfId="0" applyNumberFormat="1" applyFont="1" applyFill="1" applyBorder="1" applyAlignment="1">
      <alignment horizontal="center" vertical="top"/>
    </xf>
    <xf numFmtId="0" fontId="40" fillId="30" borderId="11" xfId="41" applyFont="1" applyFill="1" applyBorder="1" applyAlignment="1">
      <alignment vertical="center" wrapText="1"/>
    </xf>
    <xf numFmtId="164" fontId="7" fillId="35" borderId="41" xfId="0" applyNumberFormat="1" applyFont="1" applyFill="1" applyBorder="1" applyAlignment="1">
      <alignment horizontal="center"/>
    </xf>
    <xf numFmtId="164" fontId="0" fillId="0" borderId="0" xfId="0" applyNumberFormat="1"/>
    <xf numFmtId="0" fontId="40" fillId="30" borderId="0" xfId="0" applyFont="1" applyFill="1" applyBorder="1"/>
    <xf numFmtId="0" fontId="93" fillId="30" borderId="10" xfId="0" applyFont="1" applyFill="1" applyBorder="1" applyAlignment="1">
      <alignment vertical="center" wrapText="1"/>
    </xf>
    <xf numFmtId="0" fontId="93" fillId="30" borderId="12" xfId="0" applyFont="1" applyFill="1" applyBorder="1" applyAlignment="1">
      <alignment horizontal="left" vertical="center" wrapText="1"/>
    </xf>
    <xf numFmtId="164" fontId="93" fillId="32" borderId="59" xfId="27" applyNumberFormat="1" applyFont="1" applyFill="1" applyBorder="1" applyAlignment="1">
      <alignment vertical="center" wrapText="1"/>
    </xf>
    <xf numFmtId="164" fontId="93" fillId="32" borderId="10" xfId="27" applyNumberFormat="1" applyFont="1" applyFill="1" applyBorder="1" applyAlignment="1">
      <alignment vertical="center" wrapText="1"/>
    </xf>
    <xf numFmtId="164" fontId="93" fillId="32" borderId="11" xfId="27" applyNumberFormat="1" applyFont="1" applyFill="1" applyBorder="1" applyAlignment="1">
      <alignment vertical="center" wrapText="1"/>
    </xf>
    <xf numFmtId="0" fontId="93" fillId="30" borderId="10" xfId="0" applyFont="1" applyFill="1" applyBorder="1"/>
    <xf numFmtId="0" fontId="93" fillId="30" borderId="12" xfId="0" applyFont="1" applyFill="1" applyBorder="1" applyAlignment="1">
      <alignment horizontal="left" indent="2"/>
    </xf>
    <xf numFmtId="164" fontId="93" fillId="32" borderId="59" xfId="27" applyNumberFormat="1" applyFont="1" applyFill="1" applyBorder="1"/>
    <xf numFmtId="164" fontId="93" fillId="32" borderId="10" xfId="27" applyNumberFormat="1" applyFont="1" applyFill="1" applyBorder="1"/>
    <xf numFmtId="164" fontId="93" fillId="32" borderId="11" xfId="27" applyNumberFormat="1" applyFont="1" applyFill="1" applyBorder="1"/>
    <xf numFmtId="0" fontId="40" fillId="0" borderId="0" xfId="0" applyFont="1"/>
    <xf numFmtId="166" fontId="110" fillId="0" borderId="0" xfId="26" applyNumberFormat="1" applyFont="1" applyFill="1" applyBorder="1"/>
    <xf numFmtId="0" fontId="93" fillId="0" borderId="10" xfId="0" applyFont="1" applyBorder="1"/>
    <xf numFmtId="0" fontId="93" fillId="0" borderId="10" xfId="0" applyFont="1" applyFill="1" applyBorder="1"/>
    <xf numFmtId="0" fontId="93" fillId="0" borderId="12" xfId="0" applyFont="1" applyFill="1" applyBorder="1" applyAlignment="1">
      <alignment horizontal="left" indent="2"/>
    </xf>
    <xf numFmtId="0" fontId="93" fillId="0" borderId="10" xfId="0" applyFont="1" applyBorder="1" applyAlignment="1">
      <alignment vertical="center" wrapText="1"/>
    </xf>
    <xf numFmtId="164" fontId="40" fillId="0" borderId="0" xfId="0" applyNumberFormat="1" applyFont="1"/>
    <xf numFmtId="10" fontId="110" fillId="0" borderId="0" xfId="0" applyNumberFormat="1" applyFont="1" applyBorder="1" applyAlignment="1">
      <alignment horizontal="right"/>
    </xf>
    <xf numFmtId="0" fontId="110" fillId="0" borderId="0" xfId="0" applyFont="1" applyFill="1" applyBorder="1"/>
    <xf numFmtId="0" fontId="40" fillId="0" borderId="0" xfId="0" applyFont="1" applyBorder="1"/>
    <xf numFmtId="0" fontId="40" fillId="25" borderId="0" xfId="0" applyFont="1" applyFill="1"/>
    <xf numFmtId="0" fontId="105" fillId="35" borderId="10" xfId="0" applyFont="1" applyFill="1" applyBorder="1"/>
    <xf numFmtId="10" fontId="40" fillId="0" borderId="0" xfId="0" applyNumberFormat="1" applyFont="1" applyBorder="1"/>
    <xf numFmtId="0" fontId="40" fillId="0" borderId="0" xfId="0" applyFont="1" applyFill="1" applyBorder="1"/>
    <xf numFmtId="0" fontId="30" fillId="25" borderId="0" xfId="0" applyFont="1" applyFill="1" applyAlignment="1">
      <alignment horizontal="center"/>
    </xf>
    <xf numFmtId="166" fontId="30" fillId="25" borderId="0" xfId="26" applyNumberFormat="1" applyFont="1" applyFill="1"/>
    <xf numFmtId="0" fontId="30" fillId="25" borderId="0" xfId="0" applyFont="1" applyFill="1" applyAlignment="1">
      <alignment horizontal="left"/>
    </xf>
    <xf numFmtId="10" fontId="110" fillId="0" borderId="0" xfId="0" applyNumberFormat="1" applyFont="1" applyFill="1" applyBorder="1"/>
    <xf numFmtId="3" fontId="40" fillId="0" borderId="0" xfId="0" applyNumberFormat="1" applyFont="1" applyBorder="1" applyAlignment="1"/>
    <xf numFmtId="0" fontId="93" fillId="0" borderId="14" xfId="0" applyFont="1" applyFill="1" applyBorder="1"/>
    <xf numFmtId="0" fontId="93" fillId="0" borderId="44" xfId="0" applyFont="1" applyFill="1" applyBorder="1"/>
    <xf numFmtId="164" fontId="93" fillId="32" borderId="85" xfId="27" applyNumberFormat="1" applyFont="1" applyFill="1" applyBorder="1"/>
    <xf numFmtId="164" fontId="93" fillId="32" borderId="14" xfId="27" applyNumberFormat="1" applyFont="1" applyFill="1" applyBorder="1"/>
    <xf numFmtId="164" fontId="93" fillId="32" borderId="43" xfId="27" applyNumberFormat="1" applyFont="1" applyFill="1" applyBorder="1"/>
    <xf numFmtId="10" fontId="93" fillId="0" borderId="85" xfId="27" applyNumberFormat="1" applyFont="1" applyFill="1" applyBorder="1" applyAlignment="1">
      <alignment horizontal="right"/>
    </xf>
    <xf numFmtId="166" fontId="93" fillId="0" borderId="0" xfId="27" applyNumberFormat="1" applyFont="1" applyFill="1" applyBorder="1"/>
    <xf numFmtId="3" fontId="93" fillId="0" borderId="10" xfId="0" applyNumberFormat="1" applyFont="1" applyFill="1" applyBorder="1" applyAlignment="1"/>
    <xf numFmtId="3" fontId="93" fillId="0" borderId="10" xfId="26" applyNumberFormat="1" applyFont="1" applyFill="1" applyBorder="1"/>
    <xf numFmtId="3" fontId="93" fillId="0" borderId="10" xfId="26" applyNumberFormat="1" applyFont="1" applyFill="1" applyBorder="1" applyAlignment="1"/>
    <xf numFmtId="3" fontId="93" fillId="0" borderId="96" xfId="0" applyNumberFormat="1" applyFont="1" applyFill="1" applyBorder="1" applyAlignment="1">
      <alignment wrapText="1"/>
    </xf>
    <xf numFmtId="0" fontId="93" fillId="30" borderId="0" xfId="0" applyFont="1" applyFill="1" applyBorder="1"/>
    <xf numFmtId="0" fontId="93" fillId="0" borderId="12" xfId="0" applyFont="1" applyFill="1" applyBorder="1"/>
    <xf numFmtId="10" fontId="93" fillId="0" borderId="59" xfId="27" applyNumberFormat="1" applyFont="1" applyFill="1" applyBorder="1" applyAlignment="1">
      <alignment horizontal="right"/>
    </xf>
    <xf numFmtId="3" fontId="93" fillId="0" borderId="10" xfId="0" applyNumberFormat="1" applyFont="1" applyFill="1" applyBorder="1"/>
    <xf numFmtId="3" fontId="93" fillId="0" borderId="11" xfId="0" applyNumberFormat="1" applyFont="1" applyFill="1" applyBorder="1"/>
    <xf numFmtId="3" fontId="93" fillId="0" borderId="93" xfId="0" applyNumberFormat="1" applyFont="1" applyFill="1" applyBorder="1"/>
    <xf numFmtId="0" fontId="93" fillId="30" borderId="12" xfId="0" applyFont="1" applyFill="1" applyBorder="1"/>
    <xf numFmtId="166" fontId="93" fillId="0" borderId="0" xfId="27" applyNumberFormat="1" applyFont="1" applyFill="1" applyBorder="1" applyAlignment="1">
      <alignment vertical="center"/>
    </xf>
    <xf numFmtId="3" fontId="93" fillId="0" borderId="10" xfId="0" applyNumberFormat="1" applyFont="1" applyFill="1" applyBorder="1" applyAlignment="1">
      <alignment vertical="center"/>
    </xf>
    <xf numFmtId="3" fontId="93" fillId="0" borderId="10" xfId="26" applyNumberFormat="1" applyFont="1" applyFill="1" applyBorder="1" applyAlignment="1">
      <alignment vertical="center"/>
    </xf>
    <xf numFmtId="3" fontId="93" fillId="0" borderId="11" xfId="0" applyNumberFormat="1" applyFont="1" applyFill="1" applyBorder="1" applyAlignment="1">
      <alignment vertical="center"/>
    </xf>
    <xf numFmtId="3" fontId="93" fillId="0" borderId="93" xfId="0" applyNumberFormat="1" applyFont="1" applyFill="1" applyBorder="1" applyAlignment="1">
      <alignment vertical="center"/>
    </xf>
    <xf numFmtId="0" fontId="93" fillId="30" borderId="0" xfId="0" applyFont="1" applyFill="1" applyBorder="1" applyAlignment="1">
      <alignment vertical="center"/>
    </xf>
    <xf numFmtId="10" fontId="93" fillId="0" borderId="59" xfId="27" applyNumberFormat="1" applyFont="1" applyFill="1" applyBorder="1" applyAlignment="1">
      <alignment horizontal="right" vertical="center" wrapText="1"/>
    </xf>
    <xf numFmtId="166" fontId="93" fillId="0" borderId="0" xfId="27" applyNumberFormat="1" applyFont="1" applyFill="1" applyBorder="1" applyAlignment="1">
      <alignment vertical="center" wrapText="1"/>
    </xf>
    <xf numFmtId="3" fontId="93" fillId="0" borderId="10" xfId="0" applyNumberFormat="1" applyFont="1" applyFill="1" applyBorder="1" applyAlignment="1">
      <alignment vertical="center" wrapText="1"/>
    </xf>
    <xf numFmtId="3" fontId="93" fillId="0" borderId="10" xfId="26" applyNumberFormat="1" applyFont="1" applyFill="1" applyBorder="1" applyAlignment="1">
      <alignment vertical="center" wrapText="1"/>
    </xf>
    <xf numFmtId="3" fontId="93" fillId="0" borderId="11" xfId="0" applyNumberFormat="1" applyFont="1" applyFill="1" applyBorder="1" applyAlignment="1">
      <alignment vertical="center" wrapText="1"/>
    </xf>
    <xf numFmtId="3" fontId="93" fillId="0" borderId="93" xfId="0" applyNumberFormat="1" applyFont="1" applyFill="1" applyBorder="1" applyAlignment="1">
      <alignment vertical="center" wrapText="1"/>
    </xf>
    <xf numFmtId="0" fontId="93" fillId="30" borderId="0" xfId="0" applyFont="1" applyFill="1" applyBorder="1" applyAlignment="1">
      <alignment vertical="center" wrapText="1"/>
    </xf>
    <xf numFmtId="0" fontId="93" fillId="30" borderId="12" xfId="0" applyFont="1" applyFill="1" applyBorder="1" applyAlignment="1">
      <alignment vertical="center" wrapText="1"/>
    </xf>
    <xf numFmtId="16" fontId="93" fillId="30" borderId="10" xfId="0" applyNumberFormat="1" applyFont="1" applyFill="1" applyBorder="1"/>
    <xf numFmtId="10" fontId="93" fillId="0" borderId="59" xfId="26" applyNumberFormat="1" applyFont="1" applyFill="1" applyBorder="1" applyAlignment="1">
      <alignment horizontal="right"/>
    </xf>
    <xf numFmtId="166" fontId="93" fillId="0" borderId="0" xfId="26" applyNumberFormat="1" applyFont="1" applyFill="1" applyBorder="1"/>
    <xf numFmtId="0" fontId="93" fillId="30" borderId="12" xfId="0" applyFont="1" applyFill="1" applyBorder="1" applyAlignment="1">
      <alignment wrapText="1"/>
    </xf>
    <xf numFmtId="164" fontId="93" fillId="0" borderId="0" xfId="26" applyNumberFormat="1" applyFont="1" applyFill="1" applyBorder="1"/>
    <xf numFmtId="0" fontId="93" fillId="30" borderId="15" xfId="0" applyFont="1" applyFill="1" applyBorder="1"/>
    <xf numFmtId="0" fontId="93" fillId="30" borderId="32" xfId="0" applyFont="1" applyFill="1" applyBorder="1"/>
    <xf numFmtId="164" fontId="93" fillId="32" borderId="87" xfId="26" applyNumberFormat="1" applyFont="1" applyFill="1" applyBorder="1"/>
    <xf numFmtId="164" fontId="93" fillId="32" borderId="66" xfId="26" applyNumberFormat="1" applyFont="1" applyFill="1" applyBorder="1"/>
    <xf numFmtId="10" fontId="93" fillId="0" borderId="87" xfId="26" applyNumberFormat="1" applyFont="1" applyFill="1" applyBorder="1" applyAlignment="1">
      <alignment horizontal="right"/>
    </xf>
    <xf numFmtId="0" fontId="93" fillId="0" borderId="43" xfId="0" applyFont="1" applyFill="1" applyBorder="1"/>
    <xf numFmtId="164" fontId="93" fillId="32" borderId="86" xfId="26" applyNumberFormat="1" applyFont="1" applyFill="1" applyBorder="1"/>
    <xf numFmtId="164" fontId="93" fillId="32" borderId="14" xfId="26" applyNumberFormat="1" applyFont="1" applyFill="1" applyBorder="1"/>
    <xf numFmtId="164" fontId="93" fillId="32" borderId="43" xfId="26" applyNumberFormat="1" applyFont="1" applyFill="1" applyBorder="1"/>
    <xf numFmtId="10" fontId="93" fillId="0" borderId="86" xfId="26" applyNumberFormat="1" applyFont="1" applyFill="1" applyBorder="1" applyAlignment="1">
      <alignment horizontal="right"/>
    </xf>
    <xf numFmtId="3" fontId="93" fillId="0" borderId="14" xfId="0" applyNumberFormat="1" applyFont="1" applyFill="1" applyBorder="1"/>
    <xf numFmtId="3" fontId="93" fillId="0" borderId="14" xfId="26" applyNumberFormat="1" applyFont="1" applyFill="1" applyBorder="1" applyAlignment="1">
      <alignment horizontal="center"/>
    </xf>
    <xf numFmtId="3" fontId="93" fillId="0" borderId="14" xfId="26" applyNumberFormat="1" applyFont="1" applyFill="1" applyBorder="1" applyAlignment="1"/>
    <xf numFmtId="3" fontId="93" fillId="0" borderId="43" xfId="0" applyNumberFormat="1" applyFont="1" applyFill="1" applyBorder="1"/>
    <xf numFmtId="3" fontId="93" fillId="0" borderId="96" xfId="0" applyNumberFormat="1" applyFont="1" applyFill="1" applyBorder="1"/>
    <xf numFmtId="3" fontId="93" fillId="0" borderId="10" xfId="26" applyNumberFormat="1" applyFont="1" applyFill="1" applyBorder="1" applyAlignment="1">
      <alignment horizontal="center"/>
    </xf>
    <xf numFmtId="0" fontId="93" fillId="0" borderId="0" xfId="0" applyFont="1" applyFill="1" applyBorder="1"/>
    <xf numFmtId="166" fontId="113" fillId="0" borderId="0" xfId="26" applyNumberFormat="1" applyFont="1" applyFill="1" applyBorder="1"/>
    <xf numFmtId="3" fontId="93" fillId="0" borderId="10" xfId="26" applyNumberFormat="1" applyFont="1" applyFill="1" applyBorder="1" applyAlignment="1">
      <alignment horizontal="right"/>
    </xf>
    <xf numFmtId="10" fontId="93" fillId="0" borderId="59" xfId="26" applyNumberFormat="1" applyFont="1" applyFill="1" applyBorder="1" applyAlignment="1">
      <alignment horizontal="right" vertical="center" wrapText="1"/>
    </xf>
    <xf numFmtId="166" fontId="93" fillId="0" borderId="0" xfId="26" applyNumberFormat="1" applyFont="1" applyFill="1" applyBorder="1" applyAlignment="1">
      <alignment vertical="center" wrapText="1"/>
    </xf>
    <xf numFmtId="0" fontId="105" fillId="28" borderId="10" xfId="0" applyFont="1" applyFill="1" applyBorder="1"/>
    <xf numFmtId="0" fontId="105" fillId="28" borderId="12" xfId="0" applyFont="1" applyFill="1" applyBorder="1" applyAlignment="1">
      <alignment horizontal="left" indent="3"/>
    </xf>
    <xf numFmtId="164" fontId="105" fillId="28" borderId="59" xfId="27" applyNumberFormat="1" applyFont="1" applyFill="1" applyBorder="1"/>
    <xf numFmtId="164" fontId="105" fillId="28" borderId="10" xfId="27" applyNumberFormat="1" applyFont="1" applyFill="1" applyBorder="1"/>
    <xf numFmtId="164" fontId="105" fillId="28" borderId="11" xfId="27" applyNumberFormat="1" applyFont="1" applyFill="1" applyBorder="1"/>
    <xf numFmtId="10" fontId="105" fillId="28" borderId="59" xfId="27" applyNumberFormat="1" applyFont="1" applyFill="1" applyBorder="1" applyAlignment="1">
      <alignment horizontal="right"/>
    </xf>
    <xf numFmtId="166" fontId="112" fillId="0" borderId="0" xfId="27" applyNumberFormat="1" applyFont="1" applyFill="1" applyBorder="1"/>
    <xf numFmtId="3" fontId="114" fillId="31" borderId="10" xfId="0" applyNumberFormat="1" applyFont="1" applyFill="1" applyBorder="1"/>
    <xf numFmtId="3" fontId="114" fillId="31" borderId="10" xfId="27" applyNumberFormat="1" applyFont="1" applyFill="1" applyBorder="1"/>
    <xf numFmtId="3" fontId="114" fillId="31" borderId="10" xfId="27" applyNumberFormat="1" applyFont="1" applyFill="1" applyBorder="1" applyAlignment="1"/>
    <xf numFmtId="3" fontId="114" fillId="31" borderId="11" xfId="0" applyNumberFormat="1" applyFont="1" applyFill="1" applyBorder="1"/>
    <xf numFmtId="3" fontId="114" fillId="31" borderId="93" xfId="0" applyNumberFormat="1" applyFont="1" applyFill="1" applyBorder="1"/>
    <xf numFmtId="0" fontId="112" fillId="30" borderId="0" xfId="0" applyFont="1" applyFill="1" applyBorder="1"/>
    <xf numFmtId="0" fontId="105" fillId="31" borderId="10" xfId="0" applyFont="1" applyFill="1" applyBorder="1"/>
    <xf numFmtId="0" fontId="105" fillId="31" borderId="12" xfId="0" applyFont="1" applyFill="1" applyBorder="1" applyAlignment="1">
      <alignment horizontal="left" indent="1"/>
    </xf>
    <xf numFmtId="164" fontId="105" fillId="31" borderId="59" xfId="27" applyNumberFormat="1" applyFont="1" applyFill="1" applyBorder="1"/>
    <xf numFmtId="164" fontId="105" fillId="31" borderId="10" xfId="27" applyNumberFormat="1" applyFont="1" applyFill="1" applyBorder="1"/>
    <xf numFmtId="164" fontId="105" fillId="31" borderId="11" xfId="27" applyNumberFormat="1" applyFont="1" applyFill="1" applyBorder="1"/>
    <xf numFmtId="10" fontId="105" fillId="31" borderId="59" xfId="27" applyNumberFormat="1" applyFont="1" applyFill="1" applyBorder="1" applyAlignment="1">
      <alignment horizontal="right"/>
    </xf>
    <xf numFmtId="166" fontId="112" fillId="0" borderId="0" xfId="26" applyNumberFormat="1" applyFont="1" applyFill="1" applyBorder="1"/>
    <xf numFmtId="3" fontId="114" fillId="31" borderId="10" xfId="26" applyNumberFormat="1" applyFont="1" applyFill="1" applyBorder="1"/>
    <xf numFmtId="3" fontId="114" fillId="31" borderId="10" xfId="26" applyNumberFormat="1" applyFont="1" applyFill="1" applyBorder="1" applyAlignment="1"/>
    <xf numFmtId="10" fontId="105" fillId="28" borderId="59" xfId="27" applyNumberFormat="1" applyFont="1" applyFill="1" applyBorder="1"/>
    <xf numFmtId="3" fontId="114" fillId="31" borderId="10" xfId="0" applyNumberFormat="1" applyFont="1" applyFill="1" applyBorder="1" applyAlignment="1"/>
    <xf numFmtId="166" fontId="115" fillId="0" borderId="0" xfId="26" applyNumberFormat="1" applyFont="1" applyFill="1" applyBorder="1"/>
    <xf numFmtId="0" fontId="92" fillId="33" borderId="10" xfId="0" applyFont="1" applyFill="1" applyBorder="1"/>
    <xf numFmtId="0" fontId="92" fillId="33" borderId="12" xfId="0" applyFont="1" applyFill="1" applyBorder="1" applyAlignment="1">
      <alignment horizontal="left" indent="4"/>
    </xf>
    <xf numFmtId="164" fontId="92" fillId="33" borderId="59" xfId="27" applyNumberFormat="1" applyFont="1" applyFill="1" applyBorder="1"/>
    <xf numFmtId="164" fontId="92" fillId="33" borderId="10" xfId="27" applyNumberFormat="1" applyFont="1" applyFill="1" applyBorder="1"/>
    <xf numFmtId="164" fontId="92" fillId="33" borderId="11" xfId="27" applyNumberFormat="1" applyFont="1" applyFill="1" applyBorder="1"/>
    <xf numFmtId="10" fontId="92" fillId="33" borderId="59" xfId="27" applyNumberFormat="1" applyFont="1" applyFill="1" applyBorder="1" applyAlignment="1">
      <alignment horizontal="right"/>
    </xf>
    <xf numFmtId="166" fontId="116" fillId="0" borderId="0" xfId="27" applyNumberFormat="1" applyFont="1" applyFill="1" applyBorder="1"/>
    <xf numFmtId="3" fontId="92" fillId="33" borderId="10" xfId="0" applyNumberFormat="1" applyFont="1" applyFill="1" applyBorder="1"/>
    <xf numFmtId="3" fontId="92" fillId="33" borderId="10" xfId="27" applyNumberFormat="1" applyFont="1" applyFill="1" applyBorder="1"/>
    <xf numFmtId="3" fontId="92" fillId="33" borderId="10" xfId="27" applyNumberFormat="1" applyFont="1" applyFill="1" applyBorder="1" applyAlignment="1"/>
    <xf numFmtId="3" fontId="92" fillId="33" borderId="11" xfId="0" applyNumberFormat="1" applyFont="1" applyFill="1" applyBorder="1"/>
    <xf numFmtId="3" fontId="92" fillId="33" borderId="93" xfId="0" applyNumberFormat="1" applyFont="1" applyFill="1" applyBorder="1"/>
    <xf numFmtId="0" fontId="116" fillId="30" borderId="0" xfId="0" applyFont="1" applyFill="1" applyBorder="1"/>
    <xf numFmtId="164" fontId="116" fillId="0" borderId="0" xfId="27" applyNumberFormat="1" applyFont="1" applyFill="1" applyBorder="1"/>
    <xf numFmtId="166" fontId="116" fillId="0" borderId="0" xfId="26" applyNumberFormat="1" applyFont="1" applyFill="1" applyBorder="1"/>
    <xf numFmtId="3" fontId="92" fillId="33" borderId="10" xfId="26" applyNumberFormat="1" applyFont="1" applyFill="1" applyBorder="1"/>
    <xf numFmtId="3" fontId="92" fillId="33" borderId="10" xfId="26" applyNumberFormat="1" applyFont="1" applyFill="1" applyBorder="1" applyAlignment="1"/>
    <xf numFmtId="0" fontId="92" fillId="33" borderId="15" xfId="0" applyFont="1" applyFill="1" applyBorder="1"/>
    <xf numFmtId="0" fontId="92" fillId="33" borderId="32" xfId="0" applyFont="1" applyFill="1" applyBorder="1" applyAlignment="1">
      <alignment horizontal="left" indent="4"/>
    </xf>
    <xf numFmtId="164" fontId="92" fillId="33" borderId="87" xfId="27" applyNumberFormat="1" applyFont="1" applyFill="1" applyBorder="1"/>
    <xf numFmtId="164" fontId="92" fillId="33" borderId="15" xfId="27" applyNumberFormat="1" applyFont="1" applyFill="1" applyBorder="1"/>
    <xf numFmtId="164" fontId="92" fillId="33" borderId="66" xfId="27" applyNumberFormat="1" applyFont="1" applyFill="1" applyBorder="1"/>
    <xf numFmtId="10" fontId="92" fillId="33" borderId="87" xfId="27" applyNumberFormat="1" applyFont="1" applyFill="1" applyBorder="1" applyAlignment="1">
      <alignment horizontal="right"/>
    </xf>
    <xf numFmtId="3" fontId="92" fillId="33" borderId="15" xfId="0" applyNumberFormat="1" applyFont="1" applyFill="1" applyBorder="1"/>
    <xf numFmtId="3" fontId="92" fillId="33" borderId="15" xfId="26" applyNumberFormat="1" applyFont="1" applyFill="1" applyBorder="1"/>
    <xf numFmtId="3" fontId="92" fillId="33" borderId="15" xfId="26" applyNumberFormat="1" applyFont="1" applyFill="1" applyBorder="1" applyAlignment="1"/>
    <xf numFmtId="3" fontId="92" fillId="33" borderId="66" xfId="0" applyNumberFormat="1" applyFont="1" applyFill="1" applyBorder="1"/>
    <xf numFmtId="3" fontId="92" fillId="33" borderId="94" xfId="0" applyNumberFormat="1" applyFont="1" applyFill="1" applyBorder="1"/>
    <xf numFmtId="10" fontId="92" fillId="33" borderId="59" xfId="27" applyNumberFormat="1" applyFont="1" applyFill="1" applyBorder="1"/>
    <xf numFmtId="3" fontId="92" fillId="33" borderId="10" xfId="0" applyNumberFormat="1" applyFont="1" applyFill="1" applyBorder="1" applyAlignment="1"/>
    <xf numFmtId="164" fontId="116" fillId="0" borderId="0" xfId="26" applyNumberFormat="1" applyFont="1" applyFill="1" applyBorder="1"/>
    <xf numFmtId="10" fontId="92" fillId="33" borderId="87" xfId="27" applyNumberFormat="1" applyFont="1" applyFill="1" applyBorder="1"/>
    <xf numFmtId="164" fontId="109" fillId="34" borderId="59" xfId="26" applyNumberFormat="1" applyFont="1" applyFill="1" applyBorder="1"/>
    <xf numFmtId="164" fontId="109" fillId="34" borderId="10" xfId="26" applyNumberFormat="1" applyFont="1" applyFill="1" applyBorder="1"/>
    <xf numFmtId="164" fontId="109" fillId="34" borderId="11" xfId="26" applyNumberFormat="1" applyFont="1" applyFill="1" applyBorder="1"/>
    <xf numFmtId="10" fontId="109" fillId="34" borderId="59" xfId="26" applyNumberFormat="1" applyFont="1" applyFill="1" applyBorder="1"/>
    <xf numFmtId="166" fontId="117" fillId="0" borderId="0" xfId="26" applyNumberFormat="1" applyFont="1" applyFill="1" applyBorder="1"/>
    <xf numFmtId="3" fontId="109" fillId="34" borderId="10" xfId="0" applyNumberFormat="1" applyFont="1" applyFill="1" applyBorder="1"/>
    <xf numFmtId="3" fontId="109" fillId="34" borderId="10" xfId="26" applyNumberFormat="1" applyFont="1" applyFill="1" applyBorder="1"/>
    <xf numFmtId="3" fontId="109" fillId="34" borderId="10" xfId="26" applyNumberFormat="1" applyFont="1" applyFill="1" applyBorder="1" applyAlignment="1"/>
    <xf numFmtId="3" fontId="109" fillId="34" borderId="11" xfId="0" applyNumberFormat="1" applyFont="1" applyFill="1" applyBorder="1"/>
    <xf numFmtId="3" fontId="109" fillId="34" borderId="93" xfId="0" applyNumberFormat="1" applyFont="1" applyFill="1" applyBorder="1"/>
    <xf numFmtId="0" fontId="117" fillId="30" borderId="0" xfId="0" applyFont="1" applyFill="1" applyBorder="1"/>
    <xf numFmtId="164" fontId="109" fillId="34" borderId="23" xfId="26" applyNumberFormat="1" applyFont="1" applyFill="1" applyBorder="1"/>
    <xf numFmtId="10" fontId="109" fillId="34" borderId="23" xfId="26" applyNumberFormat="1" applyFont="1" applyFill="1" applyBorder="1"/>
    <xf numFmtId="3" fontId="109" fillId="34" borderId="23" xfId="0" applyNumberFormat="1" applyFont="1" applyFill="1" applyBorder="1"/>
    <xf numFmtId="3" fontId="109" fillId="34" borderId="23" xfId="26" applyNumberFormat="1" applyFont="1" applyFill="1" applyBorder="1"/>
    <xf numFmtId="3" fontId="109" fillId="34" borderId="23" xfId="26" applyNumberFormat="1" applyFont="1" applyFill="1" applyBorder="1" applyAlignment="1"/>
    <xf numFmtId="3" fontId="109" fillId="34" borderId="45" xfId="0" applyNumberFormat="1" applyFont="1" applyFill="1" applyBorder="1"/>
    <xf numFmtId="3" fontId="109" fillId="34" borderId="95" xfId="0" applyNumberFormat="1" applyFont="1" applyFill="1" applyBorder="1"/>
    <xf numFmtId="3" fontId="109" fillId="34" borderId="10" xfId="0" applyNumberFormat="1" applyFont="1" applyFill="1" applyBorder="1" applyAlignment="1"/>
    <xf numFmtId="3" fontId="109" fillId="34" borderId="23" xfId="0" applyNumberFormat="1" applyFont="1" applyFill="1" applyBorder="1" applyAlignment="1"/>
    <xf numFmtId="0" fontId="111" fillId="35" borderId="15" xfId="0" applyFont="1" applyFill="1" applyBorder="1" applyAlignment="1"/>
    <xf numFmtId="0" fontId="93" fillId="0" borderId="0" xfId="0" applyFont="1" applyFill="1" applyBorder="1" applyAlignment="1">
      <alignment horizontal="center"/>
    </xf>
    <xf numFmtId="168" fontId="111" fillId="35" borderId="16" xfId="0" applyNumberFormat="1" applyFont="1" applyFill="1" applyBorder="1" applyAlignment="1">
      <alignment horizontal="center"/>
    </xf>
    <xf numFmtId="0" fontId="93" fillId="0" borderId="0" xfId="0" applyFont="1" applyFill="1" applyBorder="1" applyAlignment="1"/>
    <xf numFmtId="0" fontId="111" fillId="35" borderId="16" xfId="0" applyFont="1" applyFill="1" applyBorder="1" applyAlignment="1">
      <alignment horizontal="center"/>
    </xf>
    <xf numFmtId="0" fontId="111" fillId="35" borderId="18" xfId="0" applyFont="1" applyFill="1" applyBorder="1" applyAlignment="1"/>
    <xf numFmtId="3" fontId="93" fillId="0" borderId="14" xfId="26" applyNumberFormat="1" applyFont="1" applyFill="1" applyBorder="1"/>
    <xf numFmtId="3" fontId="93" fillId="0" borderId="14" xfId="26" applyNumberFormat="1" applyFont="1" applyFill="1" applyBorder="1" applyAlignment="1">
      <alignment wrapText="1"/>
    </xf>
    <xf numFmtId="3" fontId="93" fillId="0" borderId="43" xfId="0" applyNumberFormat="1" applyFont="1" applyFill="1" applyBorder="1" applyAlignment="1">
      <alignment wrapText="1"/>
    </xf>
    <xf numFmtId="0" fontId="68" fillId="0" borderId="29" xfId="0" applyFont="1" applyBorder="1"/>
    <xf numFmtId="0" fontId="69" fillId="0" borderId="10" xfId="0" applyFont="1" applyBorder="1"/>
    <xf numFmtId="3" fontId="69" fillId="0" borderId="10" xfId="0" applyNumberFormat="1" applyFont="1" applyBorder="1"/>
    <xf numFmtId="0" fontId="70" fillId="0" borderId="10" xfId="0" applyFont="1" applyBorder="1" applyAlignment="1">
      <alignment wrapText="1"/>
    </xf>
    <xf numFmtId="3" fontId="69" fillId="0" borderId="10" xfId="0" applyNumberFormat="1" applyFont="1" applyBorder="1" applyAlignment="1">
      <alignment wrapText="1"/>
    </xf>
    <xf numFmtId="0" fontId="69" fillId="0" borderId="10" xfId="0" applyFont="1" applyBorder="1" applyAlignment="1">
      <alignment wrapText="1"/>
    </xf>
    <xf numFmtId="0" fontId="69" fillId="0" borderId="14" xfId="0" applyFont="1" applyBorder="1"/>
    <xf numFmtId="3" fontId="69" fillId="0" borderId="14" xfId="0" applyNumberFormat="1" applyFont="1" applyBorder="1"/>
    <xf numFmtId="0" fontId="35" fillId="32" borderId="23" xfId="0" applyFont="1" applyFill="1" applyBorder="1" applyAlignment="1">
      <alignment horizontal="center"/>
    </xf>
    <xf numFmtId="0" fontId="66" fillId="32" borderId="23" xfId="0" applyFont="1" applyFill="1" applyBorder="1" applyAlignment="1">
      <alignment horizontal="center"/>
    </xf>
    <xf numFmtId="0" fontId="71" fillId="32" borderId="23" xfId="0" applyFont="1" applyFill="1" applyBorder="1"/>
    <xf numFmtId="3" fontId="71" fillId="32" borderId="23" xfId="0" applyNumberFormat="1" applyFont="1" applyFill="1" applyBorder="1"/>
    <xf numFmtId="0" fontId="26" fillId="32" borderId="23" xfId="42" applyFont="1" applyFill="1" applyBorder="1" applyAlignment="1" applyProtection="1">
      <alignment horizontal="center" vertical="center"/>
    </xf>
    <xf numFmtId="0" fontId="79" fillId="32" borderId="23" xfId="42" applyFont="1" applyFill="1" applyBorder="1" applyAlignment="1" applyProtection="1">
      <alignment horizontal="left" indent="1"/>
      <protection locked="0"/>
    </xf>
    <xf numFmtId="3" fontId="68" fillId="0" borderId="29" xfId="0" applyNumberFormat="1" applyFont="1" applyBorder="1" applyAlignment="1">
      <alignment horizontal="left"/>
    </xf>
    <xf numFmtId="3" fontId="0" fillId="0" borderId="29" xfId="0" applyNumberFormat="1" applyBorder="1"/>
    <xf numFmtId="0" fontId="65" fillId="32" borderId="23" xfId="0" applyFont="1" applyFill="1" applyBorder="1"/>
    <xf numFmtId="0" fontId="65" fillId="32" borderId="23" xfId="0" applyFont="1" applyFill="1" applyBorder="1" applyAlignment="1">
      <alignment horizontal="center"/>
    </xf>
    <xf numFmtId="0" fontId="119" fillId="31" borderId="23" xfId="0" applyFont="1" applyFill="1" applyBorder="1"/>
    <xf numFmtId="3" fontId="119" fillId="31" borderId="23" xfId="0" applyNumberFormat="1" applyFont="1" applyFill="1" applyBorder="1"/>
    <xf numFmtId="0" fontId="65" fillId="38" borderId="23" xfId="0" applyFont="1" applyFill="1" applyBorder="1"/>
    <xf numFmtId="3" fontId="65" fillId="38" borderId="23" xfId="0" applyNumberFormat="1" applyFont="1" applyFill="1" applyBorder="1"/>
    <xf numFmtId="3" fontId="65" fillId="36" borderId="23" xfId="0" applyNumberFormat="1" applyFont="1" applyFill="1" applyBorder="1"/>
    <xf numFmtId="0" fontId="118" fillId="36" borderId="23" xfId="42" applyFont="1" applyFill="1" applyBorder="1" applyAlignment="1" applyProtection="1">
      <alignment vertical="center"/>
    </xf>
    <xf numFmtId="3" fontId="26" fillId="32" borderId="23" xfId="42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3" fontId="118" fillId="36" borderId="23" xfId="42" applyNumberFormat="1" applyFont="1" applyFill="1" applyBorder="1" applyAlignment="1" applyProtection="1">
      <alignment vertical="center"/>
    </xf>
    <xf numFmtId="3" fontId="79" fillId="32" borderId="23" xfId="42" applyNumberFormat="1" applyFont="1" applyFill="1" applyBorder="1" applyProtection="1"/>
    <xf numFmtId="3" fontId="0" fillId="0" borderId="97" xfId="0" applyNumberFormat="1" applyBorder="1"/>
    <xf numFmtId="3" fontId="0" fillId="0" borderId="10" xfId="0" applyNumberFormat="1" applyBorder="1"/>
    <xf numFmtId="3" fontId="0" fillId="0" borderId="22" xfId="0" applyNumberFormat="1" applyBorder="1"/>
    <xf numFmtId="0" fontId="0" fillId="0" borderId="97" xfId="0" applyBorder="1" applyAlignment="1">
      <alignment horizontal="left" indent="1"/>
    </xf>
    <xf numFmtId="0" fontId="0" fillId="0" borderId="10" xfId="0" applyBorder="1" applyAlignment="1">
      <alignment horizontal="left" indent="1"/>
    </xf>
    <xf numFmtId="0" fontId="0" fillId="0" borderId="22" xfId="0" applyBorder="1" applyAlignment="1">
      <alignment horizontal="left" indent="1"/>
    </xf>
    <xf numFmtId="0" fontId="65" fillId="0" borderId="0" xfId="0" applyFont="1" applyAlignment="1"/>
    <xf numFmtId="0" fontId="28" fillId="35" borderId="35" xfId="0" applyFont="1" applyFill="1" applyBorder="1" applyAlignment="1">
      <alignment horizontal="center" vertical="center"/>
    </xf>
    <xf numFmtId="0" fontId="28" fillId="35" borderId="37" xfId="0" applyFont="1" applyFill="1" applyBorder="1" applyAlignment="1">
      <alignment horizontal="center" vertical="center"/>
    </xf>
    <xf numFmtId="0" fontId="28" fillId="35" borderId="48" xfId="0" applyFont="1" applyFill="1" applyBorder="1" applyAlignment="1">
      <alignment horizontal="center" vertical="center"/>
    </xf>
    <xf numFmtId="0" fontId="28" fillId="35" borderId="50" xfId="0" applyFont="1" applyFill="1" applyBorder="1" applyAlignment="1">
      <alignment horizontal="center" vertical="center"/>
    </xf>
    <xf numFmtId="10" fontId="28" fillId="35" borderId="51" xfId="0" applyNumberFormat="1" applyFont="1" applyFill="1" applyBorder="1" applyAlignment="1">
      <alignment horizontal="center" vertical="center" wrapText="1"/>
    </xf>
    <xf numFmtId="10" fontId="28" fillId="35" borderId="41" xfId="0" applyNumberFormat="1" applyFont="1" applyFill="1" applyBorder="1" applyAlignment="1">
      <alignment horizontal="center" vertical="center"/>
    </xf>
    <xf numFmtId="167" fontId="84" fillId="35" borderId="67" xfId="0" applyNumberFormat="1" applyFont="1" applyFill="1" applyBorder="1" applyAlignment="1">
      <alignment horizontal="center" vertical="center" wrapText="1"/>
    </xf>
    <xf numFmtId="167" fontId="84" fillId="35" borderId="68" xfId="0" applyNumberFormat="1" applyFont="1" applyFill="1" applyBorder="1" applyAlignment="1">
      <alignment horizontal="center" vertical="center" wrapText="1"/>
    </xf>
    <xf numFmtId="167" fontId="84" fillId="35" borderId="69" xfId="0" applyNumberFormat="1" applyFont="1" applyFill="1" applyBorder="1" applyAlignment="1">
      <alignment horizontal="center" vertical="center" wrapText="1"/>
    </xf>
    <xf numFmtId="0" fontId="50" fillId="35" borderId="10" xfId="0" applyFont="1" applyFill="1" applyBorder="1" applyAlignment="1">
      <alignment horizontal="left"/>
    </xf>
    <xf numFmtId="0" fontId="50" fillId="35" borderId="22" xfId="0" applyFont="1" applyFill="1" applyBorder="1" applyAlignment="1">
      <alignment horizontal="left"/>
    </xf>
    <xf numFmtId="167" fontId="55" fillId="35" borderId="53" xfId="0" applyNumberFormat="1" applyFont="1" applyFill="1" applyBorder="1" applyAlignment="1">
      <alignment horizontal="center" vertical="center" wrapText="1"/>
    </xf>
    <xf numFmtId="167" fontId="55" fillId="35" borderId="54" xfId="0" applyNumberFormat="1" applyFont="1" applyFill="1" applyBorder="1" applyAlignment="1">
      <alignment horizontal="center" vertical="center" wrapText="1"/>
    </xf>
    <xf numFmtId="167" fontId="28" fillId="35" borderId="42" xfId="0" applyNumberFormat="1" applyFont="1" applyFill="1" applyBorder="1" applyAlignment="1">
      <alignment horizontal="center" vertical="center" wrapText="1"/>
    </xf>
    <xf numFmtId="167" fontId="28" fillId="35" borderId="34" xfId="0" applyNumberFormat="1" applyFont="1" applyFill="1" applyBorder="1" applyAlignment="1">
      <alignment horizontal="center" vertical="center" wrapText="1"/>
    </xf>
    <xf numFmtId="167" fontId="28" fillId="35" borderId="52" xfId="0" applyNumberFormat="1" applyFont="1" applyFill="1" applyBorder="1" applyAlignment="1">
      <alignment horizontal="center" vertical="center" wrapText="1"/>
    </xf>
    <xf numFmtId="167" fontId="48" fillId="35" borderId="13" xfId="0" applyNumberFormat="1" applyFont="1" applyFill="1" applyBorder="1" applyAlignment="1">
      <alignment horizontal="center" vertical="center" wrapText="1"/>
    </xf>
    <xf numFmtId="167" fontId="48" fillId="35" borderId="21" xfId="0" applyNumberFormat="1" applyFont="1" applyFill="1" applyBorder="1" applyAlignment="1">
      <alignment horizontal="center" vertical="center" wrapText="1"/>
    </xf>
    <xf numFmtId="167" fontId="84" fillId="35" borderId="92" xfId="0" applyNumberFormat="1" applyFont="1" applyFill="1" applyBorder="1" applyAlignment="1">
      <alignment horizontal="center" vertical="center" wrapText="1"/>
    </xf>
    <xf numFmtId="0" fontId="98" fillId="34" borderId="10" xfId="0" applyFont="1" applyFill="1" applyBorder="1" applyAlignment="1">
      <alignment horizontal="left" indent="3"/>
    </xf>
    <xf numFmtId="0" fontId="98" fillId="34" borderId="11" xfId="0" applyFont="1" applyFill="1" applyBorder="1" applyAlignment="1">
      <alignment horizontal="left" indent="3"/>
    </xf>
    <xf numFmtId="0" fontId="4" fillId="35" borderId="23" xfId="0" applyFont="1" applyFill="1" applyBorder="1" applyAlignment="1">
      <alignment horizontal="center" vertical="center" textRotation="60"/>
    </xf>
    <xf numFmtId="0" fontId="58" fillId="35" borderId="23" xfId="0" applyFont="1" applyFill="1" applyBorder="1" applyAlignment="1">
      <alignment horizontal="center" vertical="center"/>
    </xf>
    <xf numFmtId="0" fontId="100" fillId="35" borderId="60" xfId="0" applyFont="1" applyFill="1" applyBorder="1" applyAlignment="1">
      <alignment horizontal="center" vertical="center"/>
    </xf>
    <xf numFmtId="0" fontId="100" fillId="35" borderId="61" xfId="0" applyFont="1" applyFill="1" applyBorder="1" applyAlignment="1">
      <alignment horizontal="center" vertical="center"/>
    </xf>
    <xf numFmtId="0" fontId="100" fillId="35" borderId="62" xfId="0" applyFont="1" applyFill="1" applyBorder="1" applyAlignment="1">
      <alignment horizontal="center" vertical="center"/>
    </xf>
    <xf numFmtId="0" fontId="28" fillId="35" borderId="60" xfId="0" applyFont="1" applyFill="1" applyBorder="1" applyAlignment="1">
      <alignment horizontal="center" vertical="center"/>
    </xf>
    <xf numFmtId="0" fontId="28" fillId="35" borderId="61" xfId="0" applyFont="1" applyFill="1" applyBorder="1" applyAlignment="1">
      <alignment horizontal="center" vertical="center"/>
    </xf>
    <xf numFmtId="0" fontId="28" fillId="35" borderId="62" xfId="0" applyFont="1" applyFill="1" applyBorder="1" applyAlignment="1">
      <alignment horizontal="center" vertical="center"/>
    </xf>
    <xf numFmtId="169" fontId="101" fillId="35" borderId="83" xfId="0" applyNumberFormat="1" applyFont="1" applyFill="1" applyBorder="1" applyAlignment="1">
      <alignment horizontal="center" vertical="center" wrapText="1"/>
    </xf>
    <xf numFmtId="169" fontId="101" fillId="35" borderId="76" xfId="0" applyNumberFormat="1" applyFont="1" applyFill="1" applyBorder="1" applyAlignment="1">
      <alignment horizontal="center" vertical="center" wrapText="1"/>
    </xf>
    <xf numFmtId="171" fontId="28" fillId="35" borderId="10" xfId="26" applyNumberFormat="1" applyFont="1" applyFill="1" applyBorder="1" applyAlignment="1">
      <alignment horizontal="center"/>
    </xf>
    <xf numFmtId="3" fontId="98" fillId="38" borderId="10" xfId="0" applyNumberFormat="1" applyFont="1" applyFill="1" applyBorder="1" applyAlignment="1">
      <alignment horizontal="left" indent="2"/>
    </xf>
    <xf numFmtId="3" fontId="98" fillId="38" borderId="11" xfId="0" applyNumberFormat="1" applyFont="1" applyFill="1" applyBorder="1" applyAlignment="1">
      <alignment horizontal="left" indent="2"/>
    </xf>
    <xf numFmtId="0" fontId="63" fillId="35" borderId="23" xfId="0" applyFont="1" applyFill="1" applyBorder="1" applyAlignment="1">
      <alignment horizontal="center" vertical="center" wrapText="1"/>
    </xf>
    <xf numFmtId="10" fontId="51" fillId="35" borderId="23" xfId="0" applyNumberFormat="1" applyFont="1" applyFill="1" applyBorder="1" applyAlignment="1">
      <alignment horizontal="center" vertical="center" wrapText="1"/>
    </xf>
    <xf numFmtId="164" fontId="98" fillId="34" borderId="23" xfId="0" applyNumberFormat="1" applyFont="1" applyFill="1" applyBorder="1" applyAlignment="1">
      <alignment horizontal="center"/>
    </xf>
    <xf numFmtId="0" fontId="6" fillId="35" borderId="15" xfId="0" applyFont="1" applyFill="1" applyBorder="1" applyAlignment="1">
      <alignment horizontal="center" vertical="center" textRotation="75"/>
    </xf>
    <xf numFmtId="0" fontId="6" fillId="35" borderId="16" xfId="0" applyFont="1" applyFill="1" applyBorder="1" applyAlignment="1">
      <alignment horizontal="center" vertical="center" textRotation="75"/>
    </xf>
    <xf numFmtId="0" fontId="6" fillId="35" borderId="18" xfId="0" applyFont="1" applyFill="1" applyBorder="1" applyAlignment="1">
      <alignment horizontal="center" vertical="center" textRotation="75"/>
    </xf>
    <xf numFmtId="167" fontId="59" fillId="35" borderId="15" xfId="0" applyNumberFormat="1" applyFont="1" applyFill="1" applyBorder="1" applyAlignment="1">
      <alignment horizontal="center" vertical="center" wrapText="1"/>
    </xf>
    <xf numFmtId="167" fontId="59" fillId="35" borderId="16" xfId="0" applyNumberFormat="1" applyFont="1" applyFill="1" applyBorder="1" applyAlignment="1">
      <alignment horizontal="center" vertical="center" wrapText="1"/>
    </xf>
    <xf numFmtId="167" fontId="59" fillId="35" borderId="18" xfId="0" applyNumberFormat="1" applyFont="1" applyFill="1" applyBorder="1" applyAlignment="1">
      <alignment horizontal="center" vertical="center" wrapText="1"/>
    </xf>
    <xf numFmtId="170" fontId="85" fillId="35" borderId="16" xfId="0" applyNumberFormat="1" applyFont="1" applyFill="1" applyBorder="1" applyAlignment="1" applyProtection="1">
      <alignment horizontal="center" vertical="top" wrapText="1"/>
    </xf>
    <xf numFmtId="170" fontId="85" fillId="35" borderId="18" xfId="0" applyNumberFormat="1" applyFont="1" applyFill="1" applyBorder="1" applyAlignment="1" applyProtection="1">
      <alignment horizontal="center" vertical="top" wrapText="1"/>
    </xf>
    <xf numFmtId="168" fontId="85" fillId="35" borderId="15" xfId="0" applyNumberFormat="1" applyFont="1" applyFill="1" applyBorder="1" applyAlignment="1" applyProtection="1">
      <alignment horizontal="center" wrapText="1"/>
    </xf>
    <xf numFmtId="168" fontId="85" fillId="35" borderId="16" xfId="0" applyNumberFormat="1" applyFont="1" applyFill="1" applyBorder="1" applyAlignment="1" applyProtection="1">
      <alignment horizontal="center" wrapText="1"/>
    </xf>
    <xf numFmtId="0" fontId="84" fillId="35" borderId="15" xfId="0" applyFont="1" applyFill="1" applyBorder="1" applyAlignment="1">
      <alignment horizontal="center" vertical="center" wrapText="1"/>
    </xf>
    <xf numFmtId="0" fontId="84" fillId="35" borderId="16" xfId="0" applyFont="1" applyFill="1" applyBorder="1" applyAlignment="1">
      <alignment horizontal="center" vertical="center"/>
    </xf>
    <xf numFmtId="0" fontId="84" fillId="35" borderId="18" xfId="0" applyFont="1" applyFill="1" applyBorder="1" applyAlignment="1">
      <alignment horizontal="center" vertical="center"/>
    </xf>
    <xf numFmtId="0" fontId="56" fillId="35" borderId="15" xfId="41" applyFont="1" applyFill="1" applyBorder="1" applyAlignment="1">
      <alignment horizontal="center" vertical="center" textRotation="67"/>
    </xf>
    <xf numFmtId="0" fontId="56" fillId="35" borderId="18" xfId="41" applyFont="1" applyFill="1" applyBorder="1" applyAlignment="1">
      <alignment horizontal="center" vertical="center" textRotation="67"/>
    </xf>
    <xf numFmtId="10" fontId="80" fillId="35" borderId="15" xfId="0" applyNumberFormat="1" applyFont="1" applyFill="1" applyBorder="1" applyAlignment="1">
      <alignment horizontal="center" wrapText="1"/>
    </xf>
    <xf numFmtId="10" fontId="80" fillId="35" borderId="18" xfId="0" applyNumberFormat="1" applyFont="1" applyFill="1" applyBorder="1" applyAlignment="1">
      <alignment horizontal="center" wrapText="1"/>
    </xf>
    <xf numFmtId="0" fontId="59" fillId="35" borderId="16" xfId="41" applyFont="1" applyFill="1" applyBorder="1" applyAlignment="1">
      <alignment horizontal="center" vertical="center"/>
    </xf>
    <xf numFmtId="0" fontId="59" fillId="35" borderId="18" xfId="41" applyFont="1" applyFill="1" applyBorder="1" applyAlignment="1">
      <alignment horizontal="center" vertical="center"/>
    </xf>
    <xf numFmtId="0" fontId="7" fillId="35" borderId="23" xfId="0" applyFont="1" applyFill="1" applyBorder="1" applyAlignment="1">
      <alignment horizontal="center" vertical="center"/>
    </xf>
    <xf numFmtId="0" fontId="59" fillId="35" borderId="23" xfId="0" applyFont="1" applyFill="1" applyBorder="1" applyAlignment="1">
      <alignment horizontal="center" vertical="center"/>
    </xf>
    <xf numFmtId="0" fontId="108" fillId="35" borderId="23" xfId="0" applyFont="1" applyFill="1" applyBorder="1" applyAlignment="1">
      <alignment horizontal="center" wrapText="1"/>
    </xf>
    <xf numFmtId="166" fontId="111" fillId="35" borderId="31" xfId="26" applyNumberFormat="1" applyFont="1" applyFill="1" applyBorder="1" applyAlignment="1">
      <alignment horizontal="center" vertical="center" wrapText="1"/>
    </xf>
    <xf numFmtId="166" fontId="111" fillId="35" borderId="27" xfId="26" applyNumberFormat="1" applyFont="1" applyFill="1" applyBorder="1" applyAlignment="1">
      <alignment horizontal="center" vertical="center" wrapText="1"/>
    </xf>
    <xf numFmtId="166" fontId="111" fillId="35" borderId="29" xfId="26" applyNumberFormat="1" applyFont="1" applyFill="1" applyBorder="1" applyAlignment="1">
      <alignment horizontal="center" vertical="center" wrapText="1"/>
    </xf>
    <xf numFmtId="0" fontId="93" fillId="35" borderId="27" xfId="0" applyFont="1" applyFill="1" applyBorder="1" applyAlignment="1">
      <alignment horizontal="center" vertical="center" wrapText="1"/>
    </xf>
    <xf numFmtId="0" fontId="93" fillId="35" borderId="29" xfId="0" applyFont="1" applyFill="1" applyBorder="1" applyAlignment="1">
      <alignment horizontal="center" vertical="center" wrapText="1"/>
    </xf>
    <xf numFmtId="0" fontId="111" fillId="35" borderId="31" xfId="0" applyFont="1" applyFill="1" applyBorder="1" applyAlignment="1">
      <alignment horizontal="center" vertical="center" wrapText="1"/>
    </xf>
    <xf numFmtId="0" fontId="111" fillId="35" borderId="27" xfId="0" applyFont="1" applyFill="1" applyBorder="1" applyAlignment="1">
      <alignment horizontal="center" vertical="center" wrapText="1"/>
    </xf>
    <xf numFmtId="0" fontId="111" fillId="35" borderId="29" xfId="0" applyFont="1" applyFill="1" applyBorder="1" applyAlignment="1">
      <alignment horizontal="center" vertical="center" wrapText="1"/>
    </xf>
    <xf numFmtId="171" fontId="105" fillId="35" borderId="10" xfId="27" applyNumberFormat="1" applyFont="1" applyFill="1" applyBorder="1" applyAlignment="1">
      <alignment horizontal="center"/>
    </xf>
    <xf numFmtId="10" fontId="111" fillId="35" borderId="15" xfId="0" applyNumberFormat="1" applyFont="1" applyFill="1" applyBorder="1" applyAlignment="1">
      <alignment horizontal="center" vertical="center" wrapText="1"/>
    </xf>
    <xf numFmtId="10" fontId="111" fillId="35" borderId="16" xfId="0" applyNumberFormat="1" applyFont="1" applyFill="1" applyBorder="1" applyAlignment="1">
      <alignment horizontal="center" vertical="center"/>
    </xf>
    <xf numFmtId="10" fontId="111" fillId="35" borderId="18" xfId="0" applyNumberFormat="1" applyFont="1" applyFill="1" applyBorder="1" applyAlignment="1">
      <alignment horizontal="center" vertical="center"/>
    </xf>
    <xf numFmtId="0" fontId="111" fillId="35" borderId="16" xfId="0" applyFont="1" applyFill="1" applyBorder="1" applyAlignment="1">
      <alignment horizontal="center" vertical="top" wrapText="1"/>
    </xf>
    <xf numFmtId="0" fontId="111" fillId="35" borderId="18" xfId="0" applyFont="1" applyFill="1" applyBorder="1" applyAlignment="1">
      <alignment horizontal="center" vertical="top" wrapText="1"/>
    </xf>
    <xf numFmtId="0" fontId="111" fillId="35" borderId="11" xfId="0" applyFont="1" applyFill="1" applyBorder="1" applyAlignment="1">
      <alignment horizontal="center" vertical="center" wrapText="1"/>
    </xf>
    <xf numFmtId="166" fontId="93" fillId="0" borderId="0" xfId="26" applyNumberFormat="1" applyFont="1" applyBorder="1" applyAlignment="1">
      <alignment horizontal="left"/>
    </xf>
    <xf numFmtId="3" fontId="111" fillId="35" borderId="31" xfId="26" applyNumberFormat="1" applyFont="1" applyFill="1" applyBorder="1" applyAlignment="1">
      <alignment horizontal="center" vertical="center" wrapText="1"/>
    </xf>
    <xf numFmtId="3" fontId="111" fillId="35" borderId="27" xfId="26" applyNumberFormat="1" applyFont="1" applyFill="1" applyBorder="1" applyAlignment="1">
      <alignment horizontal="center" vertical="center" wrapText="1"/>
    </xf>
    <xf numFmtId="3" fontId="111" fillId="35" borderId="29" xfId="26" applyNumberFormat="1" applyFont="1" applyFill="1" applyBorder="1" applyAlignment="1">
      <alignment horizontal="center" vertical="center" wrapText="1"/>
    </xf>
    <xf numFmtId="0" fontId="111" fillId="35" borderId="31" xfId="0" applyFont="1" applyFill="1" applyBorder="1" applyAlignment="1">
      <alignment horizontal="center" vertical="center"/>
    </xf>
    <xf numFmtId="0" fontId="111" fillId="35" borderId="27" xfId="0" applyFont="1" applyFill="1" applyBorder="1" applyAlignment="1">
      <alignment horizontal="center" vertical="center"/>
    </xf>
    <xf numFmtId="0" fontId="111" fillId="35" borderId="29" xfId="0" applyFont="1" applyFill="1" applyBorder="1" applyAlignment="1">
      <alignment horizontal="center" vertical="center"/>
    </xf>
    <xf numFmtId="0" fontId="109" fillId="34" borderId="45" xfId="0" applyFont="1" applyFill="1" applyBorder="1" applyAlignment="1">
      <alignment horizontal="left" indent="12"/>
    </xf>
    <xf numFmtId="0" fontId="109" fillId="34" borderId="47" xfId="0" applyFont="1" applyFill="1" applyBorder="1" applyAlignment="1">
      <alignment horizontal="left" indent="12"/>
    </xf>
    <xf numFmtId="0" fontId="109" fillId="34" borderId="11" xfId="0" applyFont="1" applyFill="1" applyBorder="1" applyAlignment="1">
      <alignment horizontal="left" indent="10"/>
    </xf>
    <xf numFmtId="0" fontId="109" fillId="34" borderId="90" xfId="0" applyFont="1" applyFill="1" applyBorder="1" applyAlignment="1">
      <alignment horizontal="left" indent="10"/>
    </xf>
    <xf numFmtId="0" fontId="57" fillId="35" borderId="15" xfId="0" applyFont="1" applyFill="1" applyBorder="1" applyAlignment="1">
      <alignment horizontal="center" vertical="center" textRotation="255"/>
    </xf>
    <xf numFmtId="0" fontId="57" fillId="35" borderId="16" xfId="0" applyFont="1" applyFill="1" applyBorder="1" applyAlignment="1">
      <alignment horizontal="center" vertical="center" textRotation="255"/>
    </xf>
    <xf numFmtId="0" fontId="57" fillId="35" borderId="18" xfId="0" applyFont="1" applyFill="1" applyBorder="1" applyAlignment="1">
      <alignment horizontal="center" vertical="center" textRotation="255"/>
    </xf>
    <xf numFmtId="0" fontId="111" fillId="35" borderId="15" xfId="0" applyFont="1" applyFill="1" applyBorder="1" applyAlignment="1">
      <alignment horizontal="left" vertical="center"/>
    </xf>
    <xf numFmtId="0" fontId="111" fillId="35" borderId="16" xfId="0" applyFont="1" applyFill="1" applyBorder="1" applyAlignment="1">
      <alignment horizontal="left" vertical="center"/>
    </xf>
    <xf numFmtId="0" fontId="111" fillId="35" borderId="18" xfId="0" applyFont="1" applyFill="1" applyBorder="1" applyAlignment="1">
      <alignment horizontal="left" vertical="center"/>
    </xf>
    <xf numFmtId="10" fontId="80" fillId="35" borderId="23" xfId="0" applyNumberFormat="1" applyFont="1" applyFill="1" applyBorder="1" applyAlignment="1">
      <alignment horizontal="center" vertical="center" wrapText="1"/>
    </xf>
    <xf numFmtId="10" fontId="80" fillId="35" borderId="23" xfId="0" applyNumberFormat="1" applyFont="1" applyFill="1" applyBorder="1" applyAlignment="1">
      <alignment horizontal="center" vertical="center"/>
    </xf>
    <xf numFmtId="0" fontId="41" fillId="35" borderId="23" xfId="0" applyFont="1" applyFill="1" applyBorder="1" applyAlignment="1">
      <alignment horizontal="center" vertical="center"/>
    </xf>
    <xf numFmtId="0" fontId="6" fillId="35" borderId="23" xfId="0" applyFont="1" applyFill="1" applyBorder="1" applyAlignment="1">
      <alignment horizontal="center" vertical="center" textRotation="45"/>
    </xf>
    <xf numFmtId="164" fontId="28" fillId="35" borderId="10" xfId="27" applyNumberFormat="1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68" fontId="7" fillId="24" borderId="11" xfId="0" applyNumberFormat="1" applyFont="1" applyFill="1" applyBorder="1" applyAlignment="1">
      <alignment horizontal="center"/>
    </xf>
    <xf numFmtId="168" fontId="7" fillId="24" borderId="12" xfId="0" applyNumberFormat="1" applyFont="1" applyFill="1" applyBorder="1" applyAlignment="1">
      <alignment horizontal="center"/>
    </xf>
    <xf numFmtId="168" fontId="7" fillId="24" borderId="13" xfId="0" applyNumberFormat="1" applyFont="1" applyFill="1" applyBorder="1" applyAlignment="1">
      <alignment horizontal="center"/>
    </xf>
    <xf numFmtId="0" fontId="7" fillId="24" borderId="11" xfId="0" applyFont="1" applyFill="1" applyBorder="1" applyAlignment="1">
      <alignment horizontal="center"/>
    </xf>
    <xf numFmtId="0" fontId="7" fillId="24" borderId="12" xfId="0" applyFont="1" applyFill="1" applyBorder="1" applyAlignment="1">
      <alignment horizontal="center"/>
    </xf>
    <xf numFmtId="0" fontId="7" fillId="24" borderId="13" xfId="0" applyFont="1" applyFill="1" applyBorder="1" applyAlignment="1">
      <alignment horizontal="center"/>
    </xf>
    <xf numFmtId="0" fontId="53" fillId="0" borderId="51" xfId="40" applyFont="1" applyFill="1" applyBorder="1" applyAlignment="1">
      <alignment horizontal="center"/>
    </xf>
    <xf numFmtId="0" fontId="53" fillId="0" borderId="41" xfId="40" applyFont="1" applyFill="1" applyBorder="1" applyAlignment="1">
      <alignment horizontal="center"/>
    </xf>
    <xf numFmtId="0" fontId="65" fillId="0" borderId="23" xfId="40" applyFont="1" applyBorder="1" applyAlignment="1">
      <alignment horizontal="center"/>
    </xf>
    <xf numFmtId="0" fontId="65" fillId="0" borderId="45" xfId="40" applyFont="1" applyBorder="1" applyAlignment="1">
      <alignment horizontal="center"/>
    </xf>
    <xf numFmtId="0" fontId="65" fillId="0" borderId="47" xfId="40" applyFont="1" applyBorder="1" applyAlignment="1">
      <alignment horizontal="center"/>
    </xf>
    <xf numFmtId="0" fontId="65" fillId="0" borderId="0" xfId="40" applyFont="1" applyFill="1" applyAlignment="1">
      <alignment horizontal="center"/>
    </xf>
    <xf numFmtId="0" fontId="118" fillId="31" borderId="45" xfId="42" applyFont="1" applyFill="1" applyBorder="1" applyAlignment="1" applyProtection="1">
      <alignment horizontal="center" vertical="center"/>
    </xf>
    <xf numFmtId="0" fontId="118" fillId="31" borderId="46" xfId="42" applyFont="1" applyFill="1" applyBorder="1" applyAlignment="1" applyProtection="1">
      <alignment horizontal="center" vertical="center"/>
    </xf>
    <xf numFmtId="0" fontId="118" fillId="31" borderId="47" xfId="42" applyFont="1" applyFill="1" applyBorder="1" applyAlignment="1" applyProtection="1">
      <alignment horizontal="center" vertical="center"/>
    </xf>
    <xf numFmtId="0" fontId="66" fillId="0" borderId="45" xfId="0" applyFont="1" applyBorder="1" applyAlignment="1">
      <alignment horizontal="left"/>
    </xf>
    <xf numFmtId="0" fontId="66" fillId="0" borderId="47" xfId="0" applyFont="1" applyBorder="1" applyAlignment="1">
      <alignment horizontal="left"/>
    </xf>
    <xf numFmtId="0" fontId="64" fillId="0" borderId="35" xfId="0" applyFont="1" applyBorder="1" applyAlignment="1">
      <alignment horizontal="center" vertical="center"/>
    </xf>
    <xf numFmtId="0" fontId="64" fillId="0" borderId="36" xfId="0" applyFont="1" applyBorder="1" applyAlignment="1">
      <alignment horizontal="center" vertical="center"/>
    </xf>
    <xf numFmtId="0" fontId="64" fillId="0" borderId="37" xfId="0" applyFont="1" applyBorder="1" applyAlignment="1">
      <alignment horizontal="center" vertical="center"/>
    </xf>
    <xf numFmtId="0" fontId="0" fillId="0" borderId="25" xfId="0" applyBorder="1" applyAlignment="1"/>
    <xf numFmtId="0" fontId="0" fillId="0" borderId="0" xfId="0" applyBorder="1" applyAlignment="1"/>
    <xf numFmtId="0" fontId="0" fillId="0" borderId="26" xfId="0" applyBorder="1" applyAlignment="1"/>
    <xf numFmtId="0" fontId="0" fillId="0" borderId="48" xfId="0" applyBorder="1" applyAlignment="1"/>
    <xf numFmtId="0" fontId="0" fillId="0" borderId="49" xfId="0" applyBorder="1" applyAlignment="1"/>
    <xf numFmtId="0" fontId="0" fillId="0" borderId="50" xfId="0" applyBorder="1" applyAlignment="1"/>
    <xf numFmtId="0" fontId="65" fillId="0" borderId="0" xfId="0" applyFont="1" applyAlignment="1">
      <alignment horizontal="center"/>
    </xf>
    <xf numFmtId="0" fontId="65" fillId="0" borderId="44" xfId="0" applyFont="1" applyBorder="1" applyAlignment="1">
      <alignment horizontal="center"/>
    </xf>
    <xf numFmtId="0" fontId="35" fillId="32" borderId="23" xfId="0" applyFont="1" applyFill="1" applyBorder="1" applyAlignment="1">
      <alignment horizontal="center" vertical="center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27" xr:uid="{00000000-0005-0000-0000-00001A000000}"/>
    <cellStyle name="Figyelmeztetés" xfId="28" builtinId="11" customBuiltin="1"/>
    <cellStyle name="Hivatkozott cella" xfId="29" builtinId="24" customBuiltin="1"/>
    <cellStyle name="Jegyzet" xfId="30" builtinId="10" customBuiltin="1"/>
    <cellStyle name="Jelölőszín 1" xfId="31" builtinId="29" customBuiltin="1"/>
    <cellStyle name="Jelölőszín 2" xfId="32" builtinId="33" customBuiltin="1"/>
    <cellStyle name="Jelölőszín 3" xfId="33" builtinId="37" customBuiltin="1"/>
    <cellStyle name="Jelölőszín 4" xfId="34" builtinId="41" customBuiltin="1"/>
    <cellStyle name="Jelölőszín 5" xfId="35" builtinId="45" customBuiltin="1"/>
    <cellStyle name="Jelölőszín 6" xfId="36" builtinId="49" customBuiltin="1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 2" xfId="40" xr:uid="{00000000-0005-0000-0000-000028000000}"/>
    <cellStyle name="Normál_Pénzátad." xfId="41" xr:uid="{00000000-0005-0000-0000-000029000000}"/>
    <cellStyle name="Normál_SEGEDLETEK" xfId="42" xr:uid="{00000000-0005-0000-0000-00002A000000}"/>
    <cellStyle name="Normál_Szoc.jutt." xfId="43" xr:uid="{00000000-0005-0000-0000-00002B000000}"/>
    <cellStyle name="Összesen" xfId="44" builtinId="25" customBuiltin="1"/>
    <cellStyle name="Rossz" xfId="45" builtinId="27" customBuiltin="1"/>
    <cellStyle name="Semleges" xfId="46" builtinId="28" customBuiltin="1"/>
    <cellStyle name="Számítás" xfId="47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CCFFCC"/>
      <color rgb="FFFFFF66"/>
      <color rgb="FFFFFF99"/>
      <color rgb="FFFFFFCC"/>
      <color rgb="FFFFF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tg.-vet&#233;s/2019/K&#246;lts&#233;gvet&#233;si%20rendelet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tvetési mérleg"/>
      <sheetName val="Műk-felh.mérleg"/>
      <sheetName val="Bevétel össz."/>
      <sheetName val="Kiadás ktgvszervenként"/>
      <sheetName val="Állami"/>
      <sheetName val="Ber.-felú."/>
      <sheetName val="Pénze.átadás"/>
      <sheetName val="Szoc.jutt."/>
      <sheetName val="Önkormányzat"/>
      <sheetName val="Óvoda"/>
      <sheetName val="Ei. felh.terv"/>
      <sheetName val="Élelm."/>
      <sheetName val="Címrend"/>
      <sheetName val="Létszám"/>
      <sheetName val="gördülő"/>
      <sheetName val="stab.tv saját bevét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6">
          <cell r="F116">
            <v>171265000</v>
          </cell>
        </row>
        <row r="127">
          <cell r="F127">
            <v>460000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tabColor rgb="FF00B0F0"/>
  </sheetPr>
  <dimension ref="A1:J35"/>
  <sheetViews>
    <sheetView workbookViewId="0">
      <pane ySplit="2" topLeftCell="A30" activePane="bottomLeft" state="frozen"/>
      <selection pane="bottomLeft" activeCell="D35" sqref="D35"/>
    </sheetView>
  </sheetViews>
  <sheetFormatPr defaultRowHeight="12.75" x14ac:dyDescent="0.2"/>
  <cols>
    <col min="1" max="1" width="6.7109375" bestFit="1" customWidth="1"/>
    <col min="2" max="2" width="55" bestFit="1" customWidth="1"/>
    <col min="3" max="3" width="20.7109375" customWidth="1"/>
    <col min="4" max="4" width="22.5703125" bestFit="1" customWidth="1"/>
    <col min="5" max="5" width="8.85546875" style="361" bestFit="1" customWidth="1"/>
    <col min="6" max="6" width="7" customWidth="1"/>
    <col min="7" max="7" width="59.5703125" bestFit="1" customWidth="1"/>
    <col min="8" max="8" width="21.5703125" customWidth="1"/>
    <col min="9" max="9" width="22.5703125" bestFit="1" customWidth="1"/>
    <col min="10" max="10" width="9.140625" style="361" bestFit="1" customWidth="1"/>
  </cols>
  <sheetData>
    <row r="1" spans="1:10" ht="24.95" customHeight="1" x14ac:dyDescent="0.3">
      <c r="A1" s="731" t="s">
        <v>75</v>
      </c>
      <c r="B1" s="732"/>
      <c r="C1" s="220">
        <v>2019</v>
      </c>
      <c r="D1" s="220">
        <v>2019</v>
      </c>
      <c r="E1" s="735" t="s">
        <v>681</v>
      </c>
      <c r="F1" s="731" t="s">
        <v>4</v>
      </c>
      <c r="G1" s="732"/>
      <c r="H1" s="220">
        <v>2019</v>
      </c>
      <c r="I1" s="220">
        <v>2019</v>
      </c>
      <c r="J1" s="735" t="s">
        <v>681</v>
      </c>
    </row>
    <row r="2" spans="1:10" ht="24.95" customHeight="1" thickBot="1" x14ac:dyDescent="0.35">
      <c r="A2" s="733"/>
      <c r="B2" s="734"/>
      <c r="C2" s="221" t="s">
        <v>353</v>
      </c>
      <c r="D2" s="221" t="s">
        <v>684</v>
      </c>
      <c r="E2" s="736"/>
      <c r="F2" s="733"/>
      <c r="G2" s="734"/>
      <c r="H2" s="221" t="s">
        <v>353</v>
      </c>
      <c r="I2" s="221" t="s">
        <v>684</v>
      </c>
      <c r="J2" s="736"/>
    </row>
    <row r="3" spans="1:10" ht="24.95" customHeight="1" x14ac:dyDescent="0.3">
      <c r="A3" s="157" t="s">
        <v>269</v>
      </c>
      <c r="B3" s="158" t="s">
        <v>263</v>
      </c>
      <c r="C3" s="159">
        <f>'Bevétel össz. - 3. mell.'!K10</f>
        <v>56512929</v>
      </c>
      <c r="D3" s="244">
        <f>'Bevétel össz. - 3. mell.'!L10</f>
        <v>58302796</v>
      </c>
      <c r="E3" s="477">
        <f>D3/C3-1</f>
        <v>3.1671814426748268E-2</v>
      </c>
      <c r="F3" s="215" t="s">
        <v>141</v>
      </c>
      <c r="G3" s="185" t="s">
        <v>0</v>
      </c>
      <c r="H3" s="161">
        <f>'Kiadás össz. - 4. mell.'!K4</f>
        <v>86983644</v>
      </c>
      <c r="I3" s="245">
        <f>'Kiadás össz. - 4. mell.'!L4</f>
        <v>89460869</v>
      </c>
      <c r="J3" s="483">
        <f>I3/H3-1</f>
        <v>2.8479204665189606E-2</v>
      </c>
    </row>
    <row r="4" spans="1:10" ht="24.95" customHeight="1" x14ac:dyDescent="0.3">
      <c r="A4" s="157" t="s">
        <v>270</v>
      </c>
      <c r="B4" s="158" t="s">
        <v>339</v>
      </c>
      <c r="C4" s="159">
        <f>'Bevétel össz. - 3. mell.'!K16</f>
        <v>21112800</v>
      </c>
      <c r="D4" s="244">
        <f>'Bevétel össz. - 3. mell.'!L16</f>
        <v>21112800</v>
      </c>
      <c r="E4" s="478">
        <f t="shared" ref="E4:E35" si="0">D4/C4-1</f>
        <v>0</v>
      </c>
      <c r="F4" s="215" t="s">
        <v>146</v>
      </c>
      <c r="G4" s="185" t="s">
        <v>50</v>
      </c>
      <c r="H4" s="161">
        <f>'Kiadás össz. - 4. mell.'!K5</f>
        <v>17383608</v>
      </c>
      <c r="I4" s="245">
        <f>'Kiadás össz. - 4. mell.'!L5</f>
        <v>16598883</v>
      </c>
      <c r="J4" s="480">
        <f t="shared" ref="J4:J35" si="1">I4/H4-1</f>
        <v>-4.5141664492204359E-2</v>
      </c>
    </row>
    <row r="5" spans="1:10" ht="24.95" customHeight="1" x14ac:dyDescent="0.3">
      <c r="A5" s="160" t="s">
        <v>262</v>
      </c>
      <c r="B5" s="185" t="s">
        <v>354</v>
      </c>
      <c r="C5" s="161">
        <f>SUM(C3:C4)</f>
        <v>77625729</v>
      </c>
      <c r="D5" s="245">
        <f>SUM(D3:D4)</f>
        <v>79415596</v>
      </c>
      <c r="E5" s="480">
        <f t="shared" si="0"/>
        <v>2.3057651413489477E-2</v>
      </c>
      <c r="F5" s="215" t="s">
        <v>198</v>
      </c>
      <c r="G5" s="185" t="s">
        <v>1</v>
      </c>
      <c r="H5" s="161">
        <f>'Kiadás össz. - 4. mell.'!K6</f>
        <v>79745477</v>
      </c>
      <c r="I5" s="245">
        <f>'Kiadás össz. - 4. mell.'!L6</f>
        <v>93255905</v>
      </c>
      <c r="J5" s="480">
        <f t="shared" si="1"/>
        <v>0.16941936405998304</v>
      </c>
    </row>
    <row r="6" spans="1:10" ht="24.95" customHeight="1" x14ac:dyDescent="0.3">
      <c r="A6" s="157" t="s">
        <v>274</v>
      </c>
      <c r="B6" s="158" t="s">
        <v>340</v>
      </c>
      <c r="C6" s="159">
        <f>'Bevétel össz. - 3. mell.'!K18</f>
        <v>0</v>
      </c>
      <c r="D6" s="244">
        <f>'Bevétel össz. - 3. mell.'!L18</f>
        <v>0</v>
      </c>
      <c r="E6" s="478"/>
      <c r="F6" s="215" t="s">
        <v>215</v>
      </c>
      <c r="G6" s="185" t="s">
        <v>2</v>
      </c>
      <c r="H6" s="161">
        <f>'Kiadás össz. - 4. mell.'!K7</f>
        <v>7000800</v>
      </c>
      <c r="I6" s="245">
        <f>'Kiadás össz. - 4. mell.'!L7</f>
        <v>4696800</v>
      </c>
      <c r="J6" s="480">
        <f t="shared" si="1"/>
        <v>-0.32910524511484407</v>
      </c>
    </row>
    <row r="7" spans="1:10" ht="24.95" customHeight="1" x14ac:dyDescent="0.25">
      <c r="A7" s="157" t="s">
        <v>272</v>
      </c>
      <c r="B7" s="158" t="s">
        <v>341</v>
      </c>
      <c r="C7" s="159">
        <f>'Bevétel össz. - 3. mell.'!K20</f>
        <v>0</v>
      </c>
      <c r="D7" s="244">
        <f>'Bevétel össz. - 3. mell.'!L20</f>
        <v>175076</v>
      </c>
      <c r="E7" s="478"/>
      <c r="F7" s="216" t="s">
        <v>216</v>
      </c>
      <c r="G7" s="158" t="s">
        <v>217</v>
      </c>
      <c r="H7" s="159">
        <f>'Kiadás össz. - 4. mell.'!K8</f>
        <v>18163453</v>
      </c>
      <c r="I7" s="244">
        <f>'Kiadás össz. - 4. mell.'!L8</f>
        <v>18163453</v>
      </c>
      <c r="J7" s="478">
        <f t="shared" si="1"/>
        <v>0</v>
      </c>
    </row>
    <row r="8" spans="1:10" ht="24.95" customHeight="1" x14ac:dyDescent="0.3">
      <c r="A8" s="160" t="s">
        <v>273</v>
      </c>
      <c r="B8" s="185" t="s">
        <v>343</v>
      </c>
      <c r="C8" s="161">
        <f>SUM(C6:C7)</f>
        <v>0</v>
      </c>
      <c r="D8" s="245">
        <f>SUM(D6:D7)</f>
        <v>175076</v>
      </c>
      <c r="E8" s="480"/>
      <c r="F8" s="216" t="s">
        <v>218</v>
      </c>
      <c r="G8" s="158" t="s">
        <v>250</v>
      </c>
      <c r="H8" s="159">
        <f>'Kiadás össz. - 4. mell.'!K9</f>
        <v>21152748</v>
      </c>
      <c r="I8" s="244">
        <f>'Kiadás össz. - 4. mell.'!L9</f>
        <v>21152748</v>
      </c>
      <c r="J8" s="478">
        <f t="shared" si="1"/>
        <v>0</v>
      </c>
    </row>
    <row r="9" spans="1:10" ht="24.95" customHeight="1" x14ac:dyDescent="0.25">
      <c r="A9" s="157" t="s">
        <v>276</v>
      </c>
      <c r="B9" s="158" t="s">
        <v>662</v>
      </c>
      <c r="C9" s="159">
        <f>'Bevétel össz. - 3. mell.'!K22</f>
        <v>2500000</v>
      </c>
      <c r="D9" s="244">
        <f>'Bevétel össz. - 3. mell.'!L22</f>
        <v>2500000</v>
      </c>
      <c r="E9" s="478">
        <f t="shared" si="0"/>
        <v>0</v>
      </c>
      <c r="F9" s="216" t="s">
        <v>220</v>
      </c>
      <c r="G9" s="184" t="s">
        <v>346</v>
      </c>
      <c r="H9" s="159">
        <f>'Kiadás össz. - 4. mell.'!K10</f>
        <v>0</v>
      </c>
      <c r="I9" s="244">
        <f>'Kiadás össz. - 4. mell.'!L10</f>
        <v>0</v>
      </c>
      <c r="J9" s="478"/>
    </row>
    <row r="10" spans="1:10" ht="24.95" customHeight="1" x14ac:dyDescent="0.25">
      <c r="A10" s="157" t="s">
        <v>614</v>
      </c>
      <c r="B10" s="158" t="s">
        <v>454</v>
      </c>
      <c r="C10" s="159">
        <f>'Bevétel össz. - 3. mell.'!K23</f>
        <v>4200000</v>
      </c>
      <c r="D10" s="244">
        <f>'Bevétel össz. - 3. mell.'!L23</f>
        <v>4200000</v>
      </c>
      <c r="E10" s="478">
        <f t="shared" si="0"/>
        <v>0</v>
      </c>
      <c r="F10" s="216" t="s">
        <v>223</v>
      </c>
      <c r="G10" s="158" t="s">
        <v>252</v>
      </c>
      <c r="H10" s="159">
        <f>'Kiadás össz. - 4. mell.'!K11</f>
        <v>15246654</v>
      </c>
      <c r="I10" s="244">
        <f>'Kiadás össz. - 4. mell.'!L11</f>
        <v>15083154</v>
      </c>
      <c r="J10" s="478">
        <f t="shared" si="1"/>
        <v>-1.0723664352847551E-2</v>
      </c>
    </row>
    <row r="11" spans="1:10" ht="24.95" customHeight="1" x14ac:dyDescent="0.3">
      <c r="A11" s="157" t="s">
        <v>615</v>
      </c>
      <c r="B11" s="158" t="s">
        <v>663</v>
      </c>
      <c r="C11" s="159">
        <f>'Bevétel össz. - 3. mell.'!K24</f>
        <v>6500000</v>
      </c>
      <c r="D11" s="244">
        <f>'Bevétel össz. - 3. mell.'!L24</f>
        <v>6500000</v>
      </c>
      <c r="E11" s="478">
        <f t="shared" si="0"/>
        <v>0</v>
      </c>
      <c r="F11" s="215" t="s">
        <v>225</v>
      </c>
      <c r="G11" s="185" t="s">
        <v>349</v>
      </c>
      <c r="H11" s="161">
        <f>SUM(H7:H10)</f>
        <v>54562855</v>
      </c>
      <c r="I11" s="245">
        <f>SUM(I7:I10)</f>
        <v>54399355</v>
      </c>
      <c r="J11" s="480">
        <f t="shared" si="1"/>
        <v>-2.9965440774680774E-3</v>
      </c>
    </row>
    <row r="12" spans="1:10" ht="24.95" customHeight="1" x14ac:dyDescent="0.3">
      <c r="A12" s="157" t="s">
        <v>278</v>
      </c>
      <c r="B12" s="158" t="s">
        <v>664</v>
      </c>
      <c r="C12" s="159">
        <f>'Bevétel össz. - 3. mell.'!K25</f>
        <v>150000000</v>
      </c>
      <c r="D12" s="244">
        <f>'Bevétel össz. - 3. mell.'!L25</f>
        <v>150000000</v>
      </c>
      <c r="E12" s="478">
        <f t="shared" si="0"/>
        <v>0</v>
      </c>
      <c r="F12" s="217"/>
      <c r="G12" s="40"/>
      <c r="H12" s="34"/>
      <c r="I12" s="475"/>
      <c r="J12" s="484"/>
    </row>
    <row r="13" spans="1:10" ht="24.95" customHeight="1" x14ac:dyDescent="0.3">
      <c r="A13" s="157" t="s">
        <v>279</v>
      </c>
      <c r="B13" s="158" t="s">
        <v>281</v>
      </c>
      <c r="C13" s="159">
        <f>'Bevétel össz. - 3. mell.'!K26</f>
        <v>6000000</v>
      </c>
      <c r="D13" s="244">
        <f>'Bevétel össz. - 3. mell.'!L26</f>
        <v>6000000</v>
      </c>
      <c r="E13" s="478">
        <f t="shared" si="0"/>
        <v>0</v>
      </c>
      <c r="F13" s="215" t="s">
        <v>206</v>
      </c>
      <c r="G13" s="185" t="s">
        <v>3</v>
      </c>
      <c r="H13" s="161">
        <f>'Kiadás össz. - 4. mell.'!K13</f>
        <v>99077799</v>
      </c>
      <c r="I13" s="245">
        <f>'Kiadás össz. - 4. mell.'!L13</f>
        <v>117092876</v>
      </c>
      <c r="J13" s="480">
        <f t="shared" si="1"/>
        <v>0.18182758581465874</v>
      </c>
    </row>
    <row r="14" spans="1:10" ht="24.95" customHeight="1" x14ac:dyDescent="0.3">
      <c r="A14" s="157" t="s">
        <v>280</v>
      </c>
      <c r="B14" s="158" t="s">
        <v>453</v>
      </c>
      <c r="C14" s="159">
        <f>'Bevétel össz. - 3. mell.'!K27</f>
        <v>2000000</v>
      </c>
      <c r="D14" s="244">
        <f>'Bevétel össz. - 3. mell.'!L27</f>
        <v>2000000</v>
      </c>
      <c r="E14" s="478">
        <f t="shared" si="0"/>
        <v>0</v>
      </c>
      <c r="F14" s="215" t="s">
        <v>209</v>
      </c>
      <c r="G14" s="185" t="s">
        <v>56</v>
      </c>
      <c r="H14" s="161">
        <f>'Kiadás össz. - 4. mell.'!K14</f>
        <v>37310978</v>
      </c>
      <c r="I14" s="245">
        <f>'Kiadás össz. - 4. mell.'!L14</f>
        <v>47105913</v>
      </c>
      <c r="J14" s="480">
        <f t="shared" si="1"/>
        <v>0.26252152918639649</v>
      </c>
    </row>
    <row r="15" spans="1:10" ht="24.95" customHeight="1" x14ac:dyDescent="0.25">
      <c r="A15" s="157" t="s">
        <v>618</v>
      </c>
      <c r="B15" s="158" t="s">
        <v>665</v>
      </c>
      <c r="C15" s="159">
        <f>'Bevétel össz. - 3. mell.'!K28</f>
        <v>50000</v>
      </c>
      <c r="D15" s="244">
        <f>'Bevétel össz. - 3. mell.'!L28</f>
        <v>50000</v>
      </c>
      <c r="E15" s="478">
        <f t="shared" si="0"/>
        <v>0</v>
      </c>
      <c r="F15" s="216" t="s">
        <v>210</v>
      </c>
      <c r="G15" s="158" t="s">
        <v>257</v>
      </c>
      <c r="H15" s="159">
        <f>'Kiadás össz. - 4. mell.'!K15</f>
        <v>0</v>
      </c>
      <c r="I15" s="244">
        <f>'Kiadás össz. - 4. mell.'!L15</f>
        <v>0</v>
      </c>
      <c r="J15" s="478"/>
    </row>
    <row r="16" spans="1:10" ht="24.95" customHeight="1" x14ac:dyDescent="0.25">
      <c r="A16" s="157"/>
      <c r="B16" s="158" t="s">
        <v>655</v>
      </c>
      <c r="C16" s="159">
        <f>'Bevétel össz. - 3. mell.'!K29</f>
        <v>15000</v>
      </c>
      <c r="D16" s="244">
        <f>'Bevétel össz. - 3. mell.'!L29</f>
        <v>15000</v>
      </c>
      <c r="E16" s="478">
        <f t="shared" si="0"/>
        <v>0</v>
      </c>
      <c r="F16" s="216" t="s">
        <v>211</v>
      </c>
      <c r="G16" s="158" t="s">
        <v>258</v>
      </c>
      <c r="H16" s="159">
        <f>'Kiadás össz. - 4. mell.'!K16</f>
        <v>0</v>
      </c>
      <c r="I16" s="244">
        <f>'Kiadás össz. - 4. mell.'!L16</f>
        <v>0</v>
      </c>
      <c r="J16" s="478"/>
    </row>
    <row r="17" spans="1:10" ht="24.95" customHeight="1" x14ac:dyDescent="0.25">
      <c r="A17" s="157"/>
      <c r="B17" s="158" t="s">
        <v>656</v>
      </c>
      <c r="C17" s="159">
        <f>'Bevétel össz. - 3. mell.'!K30</f>
        <v>0</v>
      </c>
      <c r="D17" s="244">
        <f>'Bevétel össz. - 3. mell.'!L30</f>
        <v>0</v>
      </c>
      <c r="E17" s="478"/>
      <c r="F17" s="216" t="s">
        <v>212</v>
      </c>
      <c r="G17" s="158" t="s">
        <v>259</v>
      </c>
      <c r="H17" s="159">
        <f>'Kiadás össz. - 4. mell.'!K17</f>
        <v>0</v>
      </c>
      <c r="I17" s="244">
        <f>'Kiadás össz. - 4. mell.'!L17</f>
        <v>0</v>
      </c>
      <c r="J17" s="478"/>
    </row>
    <row r="18" spans="1:10" ht="24.95" customHeight="1" x14ac:dyDescent="0.3">
      <c r="A18" s="160" t="s">
        <v>282</v>
      </c>
      <c r="B18" s="185" t="s">
        <v>342</v>
      </c>
      <c r="C18" s="161">
        <f>SUM(C9:C17)</f>
        <v>171265000</v>
      </c>
      <c r="D18" s="245">
        <f>SUM(D9:D17)</f>
        <v>171265000</v>
      </c>
      <c r="E18" s="480">
        <f t="shared" si="0"/>
        <v>0</v>
      </c>
      <c r="F18" s="216"/>
      <c r="G18" s="158"/>
      <c r="H18" s="159"/>
      <c r="I18" s="244"/>
      <c r="J18" s="478"/>
    </row>
    <row r="19" spans="1:10" ht="24.95" customHeight="1" x14ac:dyDescent="0.3">
      <c r="A19" s="160" t="s">
        <v>284</v>
      </c>
      <c r="B19" s="185" t="s">
        <v>96</v>
      </c>
      <c r="C19" s="161">
        <f>'Bevétel össz. - 3. mell.'!K41</f>
        <v>13851807</v>
      </c>
      <c r="D19" s="245">
        <f>'Bevétel össz. - 3. mell.'!L41</f>
        <v>14951807</v>
      </c>
      <c r="E19" s="480">
        <f t="shared" si="0"/>
        <v>7.9412021839461167E-2</v>
      </c>
      <c r="F19" s="215" t="s">
        <v>213</v>
      </c>
      <c r="G19" s="185" t="s">
        <v>350</v>
      </c>
      <c r="H19" s="161">
        <f>SUM(H15:H18)</f>
        <v>0</v>
      </c>
      <c r="I19" s="245">
        <f>SUM(I15:I18)</f>
        <v>0</v>
      </c>
      <c r="J19" s="480"/>
    </row>
    <row r="20" spans="1:10" ht="24.95" customHeight="1" x14ac:dyDescent="0.3">
      <c r="A20" s="160" t="s">
        <v>344</v>
      </c>
      <c r="B20" s="185" t="s">
        <v>345</v>
      </c>
      <c r="C20" s="161">
        <f>'Bevétel össz. - 3. mell.'!K44</f>
        <v>460000</v>
      </c>
      <c r="D20" s="245">
        <f>'Bevétel össz. - 3. mell.'!L44</f>
        <v>460000</v>
      </c>
      <c r="E20" s="480">
        <f t="shared" si="0"/>
        <v>0</v>
      </c>
      <c r="F20" s="216" t="s">
        <v>578</v>
      </c>
      <c r="G20" s="158" t="s">
        <v>53</v>
      </c>
      <c r="H20" s="159">
        <f>'Kiadás össz. - 4. mell.'!K19</f>
        <v>52314000</v>
      </c>
      <c r="I20" s="244">
        <f>'Kiadás össz. - 4. mell.'!L19</f>
        <v>40609201</v>
      </c>
      <c r="J20" s="478">
        <f t="shared" si="1"/>
        <v>-0.22374123561570514</v>
      </c>
    </row>
    <row r="21" spans="1:10" ht="24.95" customHeight="1" x14ac:dyDescent="0.25">
      <c r="A21" s="157" t="s">
        <v>306</v>
      </c>
      <c r="B21" s="158" t="s">
        <v>355</v>
      </c>
      <c r="C21" s="159">
        <f>'Bevétel össz. - 3. mell.'!K45</f>
        <v>0</v>
      </c>
      <c r="D21" s="244">
        <f>'Bevétel össz. - 3. mell.'!L45</f>
        <v>0</v>
      </c>
      <c r="E21" s="478"/>
      <c r="F21" s="216"/>
      <c r="G21" s="158"/>
      <c r="H21" s="159"/>
      <c r="I21" s="244"/>
      <c r="J21" s="478"/>
    </row>
    <row r="22" spans="1:10" ht="24.95" customHeight="1" x14ac:dyDescent="0.25">
      <c r="A22" s="157" t="s">
        <v>630</v>
      </c>
      <c r="B22" s="158" t="s">
        <v>356</v>
      </c>
      <c r="C22" s="159">
        <f>'Bevétel össz. - 3. mell.'!K46</f>
        <v>0</v>
      </c>
      <c r="D22" s="244">
        <f>'Bevétel össz. - 3. mell.'!L46</f>
        <v>47560</v>
      </c>
      <c r="E22" s="478"/>
      <c r="F22" s="216"/>
      <c r="G22" s="158"/>
      <c r="H22" s="159"/>
      <c r="I22" s="244"/>
      <c r="J22" s="478"/>
    </row>
    <row r="23" spans="1:10" ht="24.95" customHeight="1" x14ac:dyDescent="0.3">
      <c r="A23" s="160" t="s">
        <v>309</v>
      </c>
      <c r="B23" s="185" t="s">
        <v>357</v>
      </c>
      <c r="C23" s="161">
        <f>SUM(C21:C22)</f>
        <v>0</v>
      </c>
      <c r="D23" s="245">
        <f>SUM(D21:D22)</f>
        <v>47560</v>
      </c>
      <c r="E23" s="480"/>
      <c r="F23" s="216"/>
      <c r="G23" s="158"/>
      <c r="H23" s="159"/>
      <c r="I23" s="244"/>
      <c r="J23" s="478"/>
    </row>
    <row r="24" spans="1:10" ht="24.95" customHeight="1" x14ac:dyDescent="0.25">
      <c r="A24" s="157" t="s">
        <v>313</v>
      </c>
      <c r="B24" s="158" t="s">
        <v>314</v>
      </c>
      <c r="C24" s="159">
        <f>'Bevétel össz. - 3. mell.'!K48</f>
        <v>0</v>
      </c>
      <c r="D24" s="244">
        <f>'Bevétel össz. - 3. mell.'!L48</f>
        <v>0</v>
      </c>
      <c r="E24" s="478"/>
      <c r="F24" s="216"/>
      <c r="G24" s="158"/>
      <c r="H24" s="159"/>
      <c r="I24" s="244"/>
      <c r="J24" s="478"/>
    </row>
    <row r="25" spans="1:10" ht="24.95" customHeight="1" x14ac:dyDescent="0.25">
      <c r="A25" s="157" t="s">
        <v>632</v>
      </c>
      <c r="B25" s="158" t="s">
        <v>359</v>
      </c>
      <c r="C25" s="159">
        <f>'Bevétel össz. - 3. mell.'!K49</f>
        <v>2886600</v>
      </c>
      <c r="D25" s="244">
        <f>'Bevétel össz. - 3. mell.'!L49</f>
        <v>2886600</v>
      </c>
      <c r="E25" s="478">
        <f t="shared" si="0"/>
        <v>0</v>
      </c>
      <c r="F25" s="216"/>
      <c r="G25" s="158"/>
      <c r="H25" s="159"/>
      <c r="I25" s="244"/>
      <c r="J25" s="478"/>
    </row>
    <row r="26" spans="1:10" ht="24.95" customHeight="1" x14ac:dyDescent="0.3">
      <c r="A26" s="160" t="s">
        <v>310</v>
      </c>
      <c r="B26" s="185" t="s">
        <v>645</v>
      </c>
      <c r="C26" s="161">
        <f>SUM(C24:C25)</f>
        <v>2886600</v>
      </c>
      <c r="D26" s="245">
        <f>SUM(D24:D25)</f>
        <v>2886600</v>
      </c>
      <c r="E26" s="480">
        <f t="shared" si="0"/>
        <v>0</v>
      </c>
      <c r="F26" s="216"/>
      <c r="G26" s="158"/>
      <c r="H26" s="159"/>
      <c r="I26" s="244"/>
      <c r="J26" s="478"/>
    </row>
    <row r="27" spans="1:10" ht="24.95" customHeight="1" x14ac:dyDescent="0.3">
      <c r="A27" s="167"/>
      <c r="B27" s="186" t="s">
        <v>347</v>
      </c>
      <c r="C27" s="168">
        <f>SUM(C26,C23,C18,C20,C19,C8,C5)</f>
        <v>266089136</v>
      </c>
      <c r="D27" s="365">
        <f>SUM(D26,D23,D18,D20,D19,D8,D5)</f>
        <v>269201639</v>
      </c>
      <c r="E27" s="481">
        <f t="shared" si="0"/>
        <v>1.1697219385912838E-2</v>
      </c>
      <c r="F27" s="218"/>
      <c r="G27" s="186" t="s">
        <v>348</v>
      </c>
      <c r="H27" s="168">
        <f>SUM(H20:H26,H19,H14,H13,H11,H6,H5,H4,H3)</f>
        <v>434379161</v>
      </c>
      <c r="I27" s="365">
        <f>SUM(I20:I26,I19,I14,I13,I11,I6,I5,I4,I3)</f>
        <v>463219802</v>
      </c>
      <c r="J27" s="481">
        <f t="shared" si="1"/>
        <v>6.6395084270628679E-2</v>
      </c>
    </row>
    <row r="28" spans="1:10" ht="24.95" customHeight="1" x14ac:dyDescent="0.25">
      <c r="A28" s="157" t="s">
        <v>317</v>
      </c>
      <c r="B28" s="158" t="s">
        <v>316</v>
      </c>
      <c r="C28" s="159">
        <f>'Bevétel össz. - 3. mell.'!K52</f>
        <v>5000000</v>
      </c>
      <c r="D28" s="244">
        <f>'Bevétel össz. - 3. mell.'!L52</f>
        <v>5000000</v>
      </c>
      <c r="E28" s="478">
        <f t="shared" si="0"/>
        <v>0</v>
      </c>
      <c r="F28" s="216" t="s">
        <v>260</v>
      </c>
      <c r="G28" s="158" t="s">
        <v>261</v>
      </c>
      <c r="H28" s="159">
        <v>0</v>
      </c>
      <c r="I28" s="244">
        <v>0</v>
      </c>
      <c r="J28" s="478"/>
    </row>
    <row r="29" spans="1:10" ht="24.95" customHeight="1" x14ac:dyDescent="0.25">
      <c r="A29" s="157" t="s">
        <v>318</v>
      </c>
      <c r="B29" s="158" t="s">
        <v>319</v>
      </c>
      <c r="C29" s="159">
        <f>'Bevétel össz. - 3. mell.'!K53</f>
        <v>164147292</v>
      </c>
      <c r="D29" s="244">
        <f>'Bevétel össz. - 3. mell.'!L53</f>
        <v>189628159</v>
      </c>
      <c r="E29" s="478">
        <f t="shared" si="0"/>
        <v>0.15523172322574785</v>
      </c>
      <c r="F29" s="216"/>
      <c r="G29" s="158"/>
      <c r="H29" s="159"/>
      <c r="I29" s="244"/>
      <c r="J29" s="478"/>
    </row>
    <row r="30" spans="1:10" ht="24.95" customHeight="1" x14ac:dyDescent="0.25">
      <c r="A30" s="157"/>
      <c r="B30" s="158"/>
      <c r="C30" s="159"/>
      <c r="D30" s="244"/>
      <c r="E30" s="478"/>
      <c r="F30" s="216"/>
      <c r="G30" s="158"/>
      <c r="H30" s="159"/>
      <c r="I30" s="244"/>
      <c r="J30" s="478"/>
    </row>
    <row r="31" spans="1:10" ht="24.95" customHeight="1" x14ac:dyDescent="0.3">
      <c r="A31" s="160"/>
      <c r="B31" s="185" t="s">
        <v>646</v>
      </c>
      <c r="C31" s="161">
        <f>SUM(C27:C30)</f>
        <v>435236428</v>
      </c>
      <c r="D31" s="245">
        <f>SUM(D27:D30)</f>
        <v>463829798</v>
      </c>
      <c r="E31" s="480">
        <f t="shared" si="0"/>
        <v>6.5696178353894519E-2</v>
      </c>
      <c r="F31" s="215"/>
      <c r="G31" s="185" t="s">
        <v>646</v>
      </c>
      <c r="H31" s="161">
        <f>SUM(H27:H30)</f>
        <v>434379161</v>
      </c>
      <c r="I31" s="245">
        <f>SUM(I27:I30)</f>
        <v>463219802</v>
      </c>
      <c r="J31" s="480">
        <f t="shared" si="1"/>
        <v>6.6395084270628679E-2</v>
      </c>
    </row>
    <row r="32" spans="1:10" ht="24.95" customHeight="1" x14ac:dyDescent="0.25">
      <c r="A32" s="157" t="s">
        <v>320</v>
      </c>
      <c r="B32" s="158" t="s">
        <v>68</v>
      </c>
      <c r="C32" s="159">
        <f>'Bevétel össz. - 3. mell.'!K54</f>
        <v>69183233</v>
      </c>
      <c r="D32" s="244">
        <f>'Bevétel össz. - 3. mell.'!L54</f>
        <v>69212153</v>
      </c>
      <c r="E32" s="478">
        <f t="shared" si="0"/>
        <v>4.1802036051130642E-4</v>
      </c>
      <c r="F32" s="216" t="s">
        <v>500</v>
      </c>
      <c r="G32" s="158" t="s">
        <v>501</v>
      </c>
      <c r="H32" s="159">
        <f>'Kiadás össz. - 4. mell.'!K21</f>
        <v>524833</v>
      </c>
      <c r="I32" s="244">
        <f>'Kiadás össz. - 4. mell.'!L21</f>
        <v>524833</v>
      </c>
      <c r="J32" s="478">
        <f t="shared" si="1"/>
        <v>0</v>
      </c>
    </row>
    <row r="33" spans="1:10" ht="24.95" customHeight="1" x14ac:dyDescent="0.25">
      <c r="A33" s="157" t="s">
        <v>321</v>
      </c>
      <c r="B33" s="158" t="s">
        <v>322</v>
      </c>
      <c r="C33" s="159">
        <f>'Bevétel össz. - 3. mell.'!K55</f>
        <v>0</v>
      </c>
      <c r="D33" s="244">
        <f>'Bevétel össz. - 3. mell.'!L55</f>
        <v>0</v>
      </c>
      <c r="E33" s="478"/>
      <c r="F33" s="216" t="s">
        <v>249</v>
      </c>
      <c r="G33" s="158" t="s">
        <v>68</v>
      </c>
      <c r="H33" s="159">
        <f>'Kiadás össz. - 4. mell.'!K22</f>
        <v>69183233</v>
      </c>
      <c r="I33" s="244">
        <f>'Kiadás össz. - 4. mell.'!L22</f>
        <v>69212153</v>
      </c>
      <c r="J33" s="478">
        <f t="shared" si="1"/>
        <v>4.1802036051130642E-4</v>
      </c>
    </row>
    <row r="34" spans="1:10" ht="24.95" customHeight="1" thickBot="1" x14ac:dyDescent="0.3">
      <c r="A34" s="212"/>
      <c r="B34" s="213"/>
      <c r="C34" s="214"/>
      <c r="D34" s="474"/>
      <c r="E34" s="479"/>
      <c r="F34" s="219" t="s">
        <v>498</v>
      </c>
      <c r="G34" s="213" t="s">
        <v>499</v>
      </c>
      <c r="H34" s="214">
        <f>'Kiadás össz. - 4. mell.'!K23</f>
        <v>332434</v>
      </c>
      <c r="I34" s="476">
        <f>'Kiadás össz. - 4. mell.'!L23</f>
        <v>85163</v>
      </c>
      <c r="J34" s="485">
        <f t="shared" si="1"/>
        <v>-0.74381982589025197</v>
      </c>
    </row>
    <row r="35" spans="1:10" ht="24.95" customHeight="1" thickBot="1" x14ac:dyDescent="0.35">
      <c r="A35" s="211"/>
      <c r="B35" s="209" t="s">
        <v>351</v>
      </c>
      <c r="C35" s="210">
        <f>SUM(C31:C34)</f>
        <v>504419661</v>
      </c>
      <c r="D35" s="249">
        <f>SUM(D31:D34)</f>
        <v>533041951</v>
      </c>
      <c r="E35" s="482">
        <f t="shared" si="0"/>
        <v>5.6743010261053328E-2</v>
      </c>
      <c r="F35" s="211"/>
      <c r="G35" s="209" t="s">
        <v>352</v>
      </c>
      <c r="H35" s="210">
        <f>SUM(H31:H34)</f>
        <v>504419661</v>
      </c>
      <c r="I35" s="249">
        <f>SUM(I31:I34)</f>
        <v>533041951</v>
      </c>
      <c r="J35" s="482">
        <f t="shared" si="1"/>
        <v>5.6743010261053328E-2</v>
      </c>
    </row>
  </sheetData>
  <mergeCells count="4">
    <mergeCell ref="F1:G2"/>
    <mergeCell ref="A1:B2"/>
    <mergeCell ref="E1:E2"/>
    <mergeCell ref="J1:J2"/>
  </mergeCells>
  <phoneticPr fontId="2" type="noConversion"/>
  <printOptions horizontalCentered="1"/>
  <pageMargins left="0.70866141732283472" right="0.70866141732283472" top="0.98425196850393704" bottom="0.43307086614173229" header="0.47244094488188981" footer="0.39370078740157483"/>
  <pageSetup paperSize="9" scale="55" orientation="landscape" r:id="rId1"/>
  <headerFooter>
    <oddHeader>&amp;L&amp;"Arial CE,Félkövér"&amp;12LEVÉL Községi Önkormányzat&amp;C&amp;"Arial CE,Félkövér"&amp;12Költségvetési mérleg - 2019. 01-09. hó&amp;R&amp;8 1. sz.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9">
    <tabColor rgb="FFC00000"/>
    <pageSetUpPr fitToPage="1"/>
  </sheetPr>
  <dimension ref="A1:F140"/>
  <sheetViews>
    <sheetView workbookViewId="0">
      <pane ySplit="2" topLeftCell="A63" activePane="bottomLeft" state="frozen"/>
      <selection pane="bottomLeft" activeCell="D134" sqref="D134"/>
    </sheetView>
  </sheetViews>
  <sheetFormatPr defaultRowHeight="12.75" x14ac:dyDescent="0.2"/>
  <cols>
    <col min="1" max="1" width="6.7109375" bestFit="1" customWidth="1"/>
    <col min="2" max="2" width="68.140625" bestFit="1" customWidth="1"/>
    <col min="3" max="5" width="19.7109375" style="521" bestFit="1" customWidth="1"/>
    <col min="6" max="6" width="9" style="361" bestFit="1" customWidth="1"/>
  </cols>
  <sheetData>
    <row r="1" spans="1:6" ht="19.5" thickBot="1" x14ac:dyDescent="0.35">
      <c r="A1" s="825" t="s">
        <v>235</v>
      </c>
      <c r="B1" s="824" t="s">
        <v>680</v>
      </c>
      <c r="C1" s="220">
        <v>2019</v>
      </c>
      <c r="D1" s="220">
        <v>2019</v>
      </c>
      <c r="E1" s="220">
        <v>2019</v>
      </c>
      <c r="F1" s="822" t="s">
        <v>675</v>
      </c>
    </row>
    <row r="2" spans="1:6" ht="16.5" thickBot="1" x14ac:dyDescent="0.3">
      <c r="A2" s="825"/>
      <c r="B2" s="824"/>
      <c r="C2" s="520" t="s">
        <v>64</v>
      </c>
      <c r="D2" s="520" t="s">
        <v>684</v>
      </c>
      <c r="E2" s="520" t="s">
        <v>685</v>
      </c>
      <c r="F2" s="823"/>
    </row>
    <row r="3" spans="1:6" ht="15" x14ac:dyDescent="0.25">
      <c r="A3" s="153" t="s">
        <v>115</v>
      </c>
      <c r="B3" s="437" t="s">
        <v>116</v>
      </c>
      <c r="C3" s="450">
        <v>37626303</v>
      </c>
      <c r="D3" s="155">
        <f>C3-14950</f>
        <v>37611353</v>
      </c>
      <c r="E3" s="428">
        <v>26923696</v>
      </c>
      <c r="F3" s="459">
        <f>E3/D3</f>
        <v>0.71583960300497562</v>
      </c>
    </row>
    <row r="4" spans="1:6" ht="15" hidden="1" x14ac:dyDescent="0.25">
      <c r="A4" s="154" t="s">
        <v>115</v>
      </c>
      <c r="B4" s="438" t="s">
        <v>639</v>
      </c>
      <c r="C4" s="451"/>
      <c r="D4" s="156">
        <f t="shared" ref="D4:D14" si="0">C4</f>
        <v>0</v>
      </c>
      <c r="E4" s="429"/>
      <c r="F4" s="460"/>
    </row>
    <row r="5" spans="1:6" ht="15" x14ac:dyDescent="0.25">
      <c r="A5" s="154" t="s">
        <v>117</v>
      </c>
      <c r="B5" s="438" t="s">
        <v>118</v>
      </c>
      <c r="C5" s="451">
        <v>2809905</v>
      </c>
      <c r="D5" s="156">
        <f t="shared" si="0"/>
        <v>2809905</v>
      </c>
      <c r="E5" s="429">
        <v>1592335</v>
      </c>
      <c r="F5" s="460">
        <f t="shared" ref="F5:F62" si="1">E5/D5</f>
        <v>0.56668641822410371</v>
      </c>
    </row>
    <row r="6" spans="1:6" ht="15" hidden="1" x14ac:dyDescent="0.25">
      <c r="A6" s="154" t="s">
        <v>117</v>
      </c>
      <c r="B6" s="438" t="s">
        <v>640</v>
      </c>
      <c r="C6" s="451"/>
      <c r="D6" s="156">
        <f t="shared" si="0"/>
        <v>0</v>
      </c>
      <c r="E6" s="429"/>
      <c r="F6" s="460"/>
    </row>
    <row r="7" spans="1:6" ht="15" hidden="1" x14ac:dyDescent="0.25">
      <c r="A7" s="154" t="s">
        <v>119</v>
      </c>
      <c r="B7" s="438" t="s">
        <v>120</v>
      </c>
      <c r="C7" s="451"/>
      <c r="D7" s="156">
        <f t="shared" si="0"/>
        <v>0</v>
      </c>
      <c r="E7" s="429"/>
      <c r="F7" s="460"/>
    </row>
    <row r="8" spans="1:6" ht="15" x14ac:dyDescent="0.25">
      <c r="A8" s="154" t="s">
        <v>121</v>
      </c>
      <c r="B8" s="438" t="s">
        <v>122</v>
      </c>
      <c r="C8" s="451">
        <v>450000</v>
      </c>
      <c r="D8" s="156">
        <f t="shared" si="0"/>
        <v>450000</v>
      </c>
      <c r="E8" s="429"/>
      <c r="F8" s="460">
        <f t="shared" si="1"/>
        <v>0</v>
      </c>
    </row>
    <row r="9" spans="1:6" ht="15" x14ac:dyDescent="0.25">
      <c r="A9" s="154" t="s">
        <v>123</v>
      </c>
      <c r="B9" s="438" t="s">
        <v>124</v>
      </c>
      <c r="C9" s="451">
        <v>2804445</v>
      </c>
      <c r="D9" s="156">
        <f t="shared" si="0"/>
        <v>2804445</v>
      </c>
      <c r="E9" s="429"/>
      <c r="F9" s="460">
        <f t="shared" si="1"/>
        <v>0</v>
      </c>
    </row>
    <row r="10" spans="1:6" ht="15" x14ac:dyDescent="0.25">
      <c r="A10" s="154" t="s">
        <v>125</v>
      </c>
      <c r="B10" s="438" t="s">
        <v>126</v>
      </c>
      <c r="C10" s="451">
        <v>1561340</v>
      </c>
      <c r="D10" s="156">
        <f t="shared" si="0"/>
        <v>1561340</v>
      </c>
      <c r="E10" s="429">
        <v>1536555</v>
      </c>
      <c r="F10" s="460">
        <f t="shared" si="1"/>
        <v>0.9841258150050598</v>
      </c>
    </row>
    <row r="11" spans="1:6" ht="15" hidden="1" x14ac:dyDescent="0.25">
      <c r="A11" s="154" t="s">
        <v>125</v>
      </c>
      <c r="B11" s="438" t="s">
        <v>449</v>
      </c>
      <c r="C11" s="451"/>
      <c r="D11" s="156">
        <f t="shared" si="0"/>
        <v>0</v>
      </c>
      <c r="E11" s="429"/>
      <c r="F11" s="460"/>
    </row>
    <row r="12" spans="1:6" ht="15" hidden="1" x14ac:dyDescent="0.25">
      <c r="A12" s="154" t="s">
        <v>127</v>
      </c>
      <c r="B12" s="438" t="s">
        <v>393</v>
      </c>
      <c r="C12" s="451"/>
      <c r="D12" s="156">
        <f t="shared" si="0"/>
        <v>0</v>
      </c>
      <c r="E12" s="429"/>
      <c r="F12" s="460"/>
    </row>
    <row r="13" spans="1:6" ht="15" x14ac:dyDescent="0.25">
      <c r="A13" s="154" t="s">
        <v>129</v>
      </c>
      <c r="B13" s="438" t="s">
        <v>130</v>
      </c>
      <c r="C13" s="451">
        <v>380000</v>
      </c>
      <c r="D13" s="156">
        <f t="shared" si="0"/>
        <v>380000</v>
      </c>
      <c r="E13" s="429">
        <v>170213</v>
      </c>
      <c r="F13" s="460">
        <f t="shared" si="1"/>
        <v>0.44792894736842104</v>
      </c>
    </row>
    <row r="14" spans="1:6" ht="15" hidden="1" x14ac:dyDescent="0.25">
      <c r="A14" s="154" t="s">
        <v>131</v>
      </c>
      <c r="B14" s="438" t="s">
        <v>132</v>
      </c>
      <c r="C14" s="451"/>
      <c r="D14" s="156">
        <f t="shared" si="0"/>
        <v>0</v>
      </c>
      <c r="E14" s="429"/>
      <c r="F14" s="460"/>
    </row>
    <row r="15" spans="1:6" ht="15" x14ac:dyDescent="0.25">
      <c r="A15" s="154" t="s">
        <v>133</v>
      </c>
      <c r="B15" s="438" t="s">
        <v>164</v>
      </c>
      <c r="C15" s="451">
        <v>0</v>
      </c>
      <c r="D15" s="156">
        <f>C15+15600+14950+8700</f>
        <v>39250</v>
      </c>
      <c r="E15" s="429">
        <v>39250</v>
      </c>
      <c r="F15" s="460">
        <f t="shared" si="1"/>
        <v>1</v>
      </c>
    </row>
    <row r="16" spans="1:6" ht="16.5" x14ac:dyDescent="0.25">
      <c r="A16" s="151" t="s">
        <v>139</v>
      </c>
      <c r="B16" s="439" t="s">
        <v>586</v>
      </c>
      <c r="C16" s="448">
        <f>SUM(C3:C15)</f>
        <v>45631993</v>
      </c>
      <c r="D16" s="152">
        <f t="shared" ref="D16:E16" si="2">SUM(D3:D15)</f>
        <v>45656293</v>
      </c>
      <c r="E16" s="430">
        <f t="shared" si="2"/>
        <v>30262049</v>
      </c>
      <c r="F16" s="463">
        <f t="shared" si="1"/>
        <v>0.66282317313847627</v>
      </c>
    </row>
    <row r="17" spans="1:6" ht="15.75" hidden="1" x14ac:dyDescent="0.25">
      <c r="A17" s="164" t="s">
        <v>134</v>
      </c>
      <c r="B17" s="440" t="s">
        <v>137</v>
      </c>
      <c r="C17" s="452"/>
      <c r="D17" s="165">
        <f t="shared" ref="D17:D19" si="3">C17</f>
        <v>0</v>
      </c>
      <c r="E17" s="431"/>
      <c r="F17" s="460"/>
    </row>
    <row r="18" spans="1:6" ht="15.75" x14ac:dyDescent="0.25">
      <c r="A18" s="164" t="s">
        <v>135</v>
      </c>
      <c r="B18" s="440" t="s">
        <v>138</v>
      </c>
      <c r="C18" s="452">
        <v>576000</v>
      </c>
      <c r="D18" s="165">
        <f t="shared" si="3"/>
        <v>576000</v>
      </c>
      <c r="E18" s="431">
        <v>279000</v>
      </c>
      <c r="F18" s="460">
        <f t="shared" si="1"/>
        <v>0.484375</v>
      </c>
    </row>
    <row r="19" spans="1:6" ht="15.75" hidden="1" x14ac:dyDescent="0.25">
      <c r="A19" s="164" t="s">
        <v>136</v>
      </c>
      <c r="B19" s="440" t="s">
        <v>165</v>
      </c>
      <c r="C19" s="452"/>
      <c r="D19" s="165">
        <f t="shared" si="3"/>
        <v>0</v>
      </c>
      <c r="E19" s="431"/>
      <c r="F19" s="460"/>
    </row>
    <row r="20" spans="1:6" ht="16.5" x14ac:dyDescent="0.25">
      <c r="A20" s="151" t="s">
        <v>140</v>
      </c>
      <c r="B20" s="439" t="s">
        <v>588</v>
      </c>
      <c r="C20" s="448">
        <f>SUM(C17:C19)</f>
        <v>576000</v>
      </c>
      <c r="D20" s="152">
        <f t="shared" ref="D20:E20" si="4">SUM(D17:D19)</f>
        <v>576000</v>
      </c>
      <c r="E20" s="430">
        <f t="shared" si="4"/>
        <v>279000</v>
      </c>
      <c r="F20" s="463">
        <f t="shared" si="1"/>
        <v>0.484375</v>
      </c>
    </row>
    <row r="21" spans="1:6" ht="18.75" x14ac:dyDescent="0.3">
      <c r="A21" s="160" t="s">
        <v>141</v>
      </c>
      <c r="B21" s="441" t="s">
        <v>148</v>
      </c>
      <c r="C21" s="449">
        <f>SUM(C20,C16)</f>
        <v>46207993</v>
      </c>
      <c r="D21" s="161">
        <f t="shared" ref="D21:E21" si="5">SUM(D20,D16)</f>
        <v>46232293</v>
      </c>
      <c r="E21" s="245">
        <f t="shared" si="5"/>
        <v>30541049</v>
      </c>
      <c r="F21" s="465">
        <f t="shared" si="1"/>
        <v>0.66059991876241142</v>
      </c>
    </row>
    <row r="22" spans="1:6" ht="16.5" x14ac:dyDescent="0.25">
      <c r="A22" s="157" t="s">
        <v>142</v>
      </c>
      <c r="B22" s="442" t="s">
        <v>65</v>
      </c>
      <c r="C22" s="453">
        <v>8936459</v>
      </c>
      <c r="D22" s="159">
        <f>C22+3041+1579</f>
        <v>8941079</v>
      </c>
      <c r="E22" s="244">
        <v>5796835</v>
      </c>
      <c r="F22" s="460">
        <f t="shared" si="1"/>
        <v>0.64833729799278139</v>
      </c>
    </row>
    <row r="23" spans="1:6" ht="16.5" x14ac:dyDescent="0.25">
      <c r="A23" s="157" t="s">
        <v>641</v>
      </c>
      <c r="B23" s="442" t="s">
        <v>642</v>
      </c>
      <c r="C23" s="453"/>
      <c r="D23" s="159">
        <f t="shared" ref="D23:D26" si="6">C23</f>
        <v>0</v>
      </c>
      <c r="E23" s="244">
        <v>215</v>
      </c>
      <c r="F23" s="460"/>
    </row>
    <row r="24" spans="1:6" ht="16.5" x14ac:dyDescent="0.25">
      <c r="A24" s="157" t="s">
        <v>143</v>
      </c>
      <c r="B24" s="442" t="s">
        <v>66</v>
      </c>
      <c r="C24" s="453"/>
      <c r="D24" s="159">
        <f t="shared" si="6"/>
        <v>0</v>
      </c>
      <c r="E24" s="244">
        <v>11016</v>
      </c>
      <c r="F24" s="460"/>
    </row>
    <row r="25" spans="1:6" ht="16.5" x14ac:dyDescent="0.25">
      <c r="A25" s="157" t="s">
        <v>144</v>
      </c>
      <c r="B25" s="442" t="s">
        <v>394</v>
      </c>
      <c r="C25" s="453"/>
      <c r="D25" s="159">
        <f t="shared" si="6"/>
        <v>0</v>
      </c>
      <c r="E25" s="244">
        <v>16835</v>
      </c>
      <c r="F25" s="460"/>
    </row>
    <row r="26" spans="1:6" ht="16.5" x14ac:dyDescent="0.25">
      <c r="A26" s="157" t="s">
        <v>145</v>
      </c>
      <c r="B26" s="442" t="s">
        <v>63</v>
      </c>
      <c r="C26" s="453">
        <v>234201</v>
      </c>
      <c r="D26" s="159">
        <f t="shared" si="6"/>
        <v>234201</v>
      </c>
      <c r="E26" s="244">
        <v>242284</v>
      </c>
      <c r="F26" s="460">
        <f t="shared" si="1"/>
        <v>1.034513089184077</v>
      </c>
    </row>
    <row r="27" spans="1:6" ht="18.75" x14ac:dyDescent="0.3">
      <c r="A27" s="160" t="s">
        <v>146</v>
      </c>
      <c r="B27" s="441" t="s">
        <v>147</v>
      </c>
      <c r="C27" s="449">
        <f>SUM(C22:C26)</f>
        <v>9170660</v>
      </c>
      <c r="D27" s="161">
        <f t="shared" ref="D27:E27" si="7">SUM(D22:D26)</f>
        <v>9175280</v>
      </c>
      <c r="E27" s="245">
        <f t="shared" si="7"/>
        <v>6067185</v>
      </c>
      <c r="F27" s="465">
        <f t="shared" si="1"/>
        <v>0.66125338954233548</v>
      </c>
    </row>
    <row r="28" spans="1:6" ht="15" x14ac:dyDescent="0.25">
      <c r="A28" s="131" t="s">
        <v>150</v>
      </c>
      <c r="B28" s="443" t="s">
        <v>81</v>
      </c>
      <c r="C28" s="451">
        <v>19685</v>
      </c>
      <c r="D28" s="156">
        <f t="shared" ref="D28:D31" si="8">C28</f>
        <v>19685</v>
      </c>
      <c r="E28" s="429"/>
      <c r="F28" s="460">
        <f t="shared" si="1"/>
        <v>0</v>
      </c>
    </row>
    <row r="29" spans="1:6" ht="15" x14ac:dyDescent="0.25">
      <c r="A29" s="131" t="s">
        <v>151</v>
      </c>
      <c r="B29" s="443" t="s">
        <v>152</v>
      </c>
      <c r="C29" s="451">
        <v>236220</v>
      </c>
      <c r="D29" s="156">
        <f t="shared" si="8"/>
        <v>236220</v>
      </c>
      <c r="E29" s="429">
        <v>94219</v>
      </c>
      <c r="F29" s="460">
        <f t="shared" si="1"/>
        <v>0.39886123105579546</v>
      </c>
    </row>
    <row r="30" spans="1:6" ht="15" x14ac:dyDescent="0.25">
      <c r="A30" s="131" t="s">
        <v>451</v>
      </c>
      <c r="B30" s="443" t="s">
        <v>644</v>
      </c>
      <c r="C30" s="451">
        <v>118110</v>
      </c>
      <c r="D30" s="156">
        <f t="shared" si="8"/>
        <v>118110</v>
      </c>
      <c r="E30" s="429">
        <v>29597</v>
      </c>
      <c r="F30" s="460">
        <f t="shared" si="1"/>
        <v>0.25058843451020235</v>
      </c>
    </row>
    <row r="31" spans="1:6" ht="15" x14ac:dyDescent="0.25">
      <c r="A31" s="131" t="s">
        <v>643</v>
      </c>
      <c r="B31" s="443" t="s">
        <v>497</v>
      </c>
      <c r="C31" s="451">
        <v>196850</v>
      </c>
      <c r="D31" s="156">
        <f t="shared" si="8"/>
        <v>196850</v>
      </c>
      <c r="E31" s="429"/>
      <c r="F31" s="460">
        <f t="shared" si="1"/>
        <v>0</v>
      </c>
    </row>
    <row r="32" spans="1:6" ht="15.75" x14ac:dyDescent="0.25">
      <c r="A32" s="162" t="s">
        <v>153</v>
      </c>
      <c r="B32" s="444" t="s">
        <v>592</v>
      </c>
      <c r="C32" s="454">
        <f>SUM(C28:C31)</f>
        <v>570865</v>
      </c>
      <c r="D32" s="163">
        <f t="shared" ref="D32:E32" si="9">SUM(D28:D31)</f>
        <v>570865</v>
      </c>
      <c r="E32" s="432">
        <f t="shared" si="9"/>
        <v>123816</v>
      </c>
      <c r="F32" s="468">
        <f t="shared" si="1"/>
        <v>0.21689190964588825</v>
      </c>
    </row>
    <row r="33" spans="1:6" ht="15" hidden="1" x14ac:dyDescent="0.25">
      <c r="A33" s="131" t="s">
        <v>157</v>
      </c>
      <c r="B33" s="443" t="s">
        <v>60</v>
      </c>
      <c r="C33" s="451"/>
      <c r="D33" s="156">
        <f>C33</f>
        <v>0</v>
      </c>
      <c r="E33" s="429"/>
      <c r="F33" s="460"/>
    </row>
    <row r="34" spans="1:6" ht="15" x14ac:dyDescent="0.25">
      <c r="A34" s="131" t="s">
        <v>158</v>
      </c>
      <c r="B34" s="443" t="s">
        <v>154</v>
      </c>
      <c r="C34" s="451">
        <v>166102</v>
      </c>
      <c r="D34" s="156">
        <f t="shared" ref="D34:D38" si="10">C34</f>
        <v>166102</v>
      </c>
      <c r="E34" s="429">
        <v>4575</v>
      </c>
      <c r="F34" s="460">
        <f t="shared" si="1"/>
        <v>2.7543316757173301E-2</v>
      </c>
    </row>
    <row r="35" spans="1:6" ht="15" hidden="1" x14ac:dyDescent="0.25">
      <c r="A35" s="131" t="s">
        <v>159</v>
      </c>
      <c r="B35" s="443" t="s">
        <v>155</v>
      </c>
      <c r="C35" s="451">
        <v>0</v>
      </c>
      <c r="D35" s="156">
        <f t="shared" si="10"/>
        <v>0</v>
      </c>
      <c r="E35" s="429"/>
      <c r="F35" s="460"/>
    </row>
    <row r="36" spans="1:6" ht="15" hidden="1" x14ac:dyDescent="0.25">
      <c r="A36" s="131" t="s">
        <v>160</v>
      </c>
      <c r="B36" s="443" t="s">
        <v>61</v>
      </c>
      <c r="C36" s="451"/>
      <c r="D36" s="156">
        <f t="shared" si="10"/>
        <v>0</v>
      </c>
      <c r="E36" s="429"/>
      <c r="F36" s="460"/>
    </row>
    <row r="37" spans="1:6" ht="15" x14ac:dyDescent="0.25">
      <c r="A37" s="131" t="s">
        <v>161</v>
      </c>
      <c r="B37" s="443" t="s">
        <v>67</v>
      </c>
      <c r="C37" s="451">
        <v>206692</v>
      </c>
      <c r="D37" s="156">
        <f t="shared" si="10"/>
        <v>206692</v>
      </c>
      <c r="E37" s="429">
        <v>39310</v>
      </c>
      <c r="F37" s="460">
        <f t="shared" si="1"/>
        <v>0.19018636425212393</v>
      </c>
    </row>
    <row r="38" spans="1:6" ht="15" x14ac:dyDescent="0.25">
      <c r="A38" s="131" t="s">
        <v>162</v>
      </c>
      <c r="B38" s="443" t="s">
        <v>156</v>
      </c>
      <c r="C38" s="451">
        <v>683463</v>
      </c>
      <c r="D38" s="156">
        <f t="shared" si="10"/>
        <v>683463</v>
      </c>
      <c r="E38" s="429">
        <v>188849</v>
      </c>
      <c r="F38" s="460">
        <f t="shared" si="1"/>
        <v>0.27631195836497369</v>
      </c>
    </row>
    <row r="39" spans="1:6" ht="15.75" x14ac:dyDescent="0.25">
      <c r="A39" s="162" t="s">
        <v>163</v>
      </c>
      <c r="B39" s="444" t="s">
        <v>593</v>
      </c>
      <c r="C39" s="454">
        <f>SUM(C33:C38)</f>
        <v>1056257</v>
      </c>
      <c r="D39" s="163">
        <f t="shared" ref="D39:E39" si="11">SUM(D33:D38)</f>
        <v>1056257</v>
      </c>
      <c r="E39" s="432">
        <f t="shared" si="11"/>
        <v>232734</v>
      </c>
      <c r="F39" s="468">
        <f t="shared" si="1"/>
        <v>0.22033842142584617</v>
      </c>
    </row>
    <row r="40" spans="1:6" ht="16.5" x14ac:dyDescent="0.25">
      <c r="A40" s="151" t="s">
        <v>149</v>
      </c>
      <c r="B40" s="439" t="s">
        <v>594</v>
      </c>
      <c r="C40" s="448">
        <f>SUM(C39,C32)</f>
        <v>1627122</v>
      </c>
      <c r="D40" s="152">
        <f t="shared" ref="D40:E40" si="12">SUM(D39,D32)</f>
        <v>1627122</v>
      </c>
      <c r="E40" s="430">
        <f t="shared" si="12"/>
        <v>356550</v>
      </c>
      <c r="F40" s="462">
        <f t="shared" si="1"/>
        <v>0.21912923554595168</v>
      </c>
    </row>
    <row r="41" spans="1:6" ht="15.75" hidden="1" x14ac:dyDescent="0.25">
      <c r="A41" s="164" t="s">
        <v>166</v>
      </c>
      <c r="B41" s="440" t="s">
        <v>167</v>
      </c>
      <c r="C41" s="452"/>
      <c r="D41" s="165">
        <f t="shared" ref="D41:D42" si="13">C41</f>
        <v>0</v>
      </c>
      <c r="E41" s="431"/>
      <c r="F41" s="460"/>
    </row>
    <row r="42" spans="1:6" ht="15.75" x14ac:dyDescent="0.25">
      <c r="A42" s="164" t="s">
        <v>168</v>
      </c>
      <c r="B42" s="440" t="s">
        <v>366</v>
      </c>
      <c r="C42" s="452">
        <v>102362</v>
      </c>
      <c r="D42" s="165">
        <f t="shared" si="13"/>
        <v>102362</v>
      </c>
      <c r="E42" s="431">
        <v>87319</v>
      </c>
      <c r="F42" s="460">
        <f t="shared" si="1"/>
        <v>0.85304116762079674</v>
      </c>
    </row>
    <row r="43" spans="1:6" ht="16.5" x14ac:dyDescent="0.25">
      <c r="A43" s="151" t="s">
        <v>169</v>
      </c>
      <c r="B43" s="439" t="s">
        <v>595</v>
      </c>
      <c r="C43" s="448">
        <f>SUM(C41:C42)</f>
        <v>102362</v>
      </c>
      <c r="D43" s="152">
        <f t="shared" ref="D43:E43" si="14">SUM(D41:D42)</f>
        <v>102362</v>
      </c>
      <c r="E43" s="430">
        <f t="shared" si="14"/>
        <v>87319</v>
      </c>
      <c r="F43" s="462">
        <f t="shared" si="1"/>
        <v>0.85304116762079674</v>
      </c>
    </row>
    <row r="44" spans="1:6" ht="15.75" x14ac:dyDescent="0.25">
      <c r="A44" s="171" t="s">
        <v>170</v>
      </c>
      <c r="B44" s="446" t="s">
        <v>367</v>
      </c>
      <c r="C44" s="457">
        <v>1062721</v>
      </c>
      <c r="D44" s="172">
        <f t="shared" ref="D44:D48" si="15">C44</f>
        <v>1062721</v>
      </c>
      <c r="E44" s="435">
        <v>496978</v>
      </c>
      <c r="F44" s="461">
        <f t="shared" si="1"/>
        <v>0.46764672948026809</v>
      </c>
    </row>
    <row r="45" spans="1:6" ht="15.75" x14ac:dyDescent="0.25">
      <c r="A45" s="171" t="s">
        <v>597</v>
      </c>
      <c r="B45" s="446" t="s">
        <v>180</v>
      </c>
      <c r="C45" s="457">
        <v>6864000</v>
      </c>
      <c r="D45" s="172">
        <f t="shared" si="15"/>
        <v>6864000</v>
      </c>
      <c r="E45" s="435">
        <v>4933200</v>
      </c>
      <c r="F45" s="461">
        <f t="shared" si="1"/>
        <v>0.71870629370629369</v>
      </c>
    </row>
    <row r="46" spans="1:6" ht="15.75" hidden="1" x14ac:dyDescent="0.25">
      <c r="A46" s="171" t="s">
        <v>171</v>
      </c>
      <c r="B46" s="446" t="s">
        <v>172</v>
      </c>
      <c r="C46" s="457"/>
      <c r="D46" s="172">
        <f t="shared" si="15"/>
        <v>0</v>
      </c>
      <c r="E46" s="435"/>
      <c r="F46" s="461"/>
    </row>
    <row r="47" spans="1:6" ht="15.75" x14ac:dyDescent="0.25">
      <c r="A47" s="171" t="s">
        <v>173</v>
      </c>
      <c r="B47" s="446" t="s">
        <v>174</v>
      </c>
      <c r="C47" s="457">
        <v>1102360</v>
      </c>
      <c r="D47" s="172">
        <f t="shared" si="15"/>
        <v>1102360</v>
      </c>
      <c r="E47" s="435"/>
      <c r="F47" s="461">
        <f t="shared" si="1"/>
        <v>0</v>
      </c>
    </row>
    <row r="48" spans="1:6" ht="15.75" hidden="1" x14ac:dyDescent="0.25">
      <c r="A48" s="171" t="s">
        <v>175</v>
      </c>
      <c r="B48" s="446" t="s">
        <v>176</v>
      </c>
      <c r="C48" s="457"/>
      <c r="D48" s="172">
        <f t="shared" si="15"/>
        <v>0</v>
      </c>
      <c r="E48" s="435"/>
      <c r="F48" s="461"/>
    </row>
    <row r="49" spans="1:6" s="512" customFormat="1" ht="15.75" x14ac:dyDescent="0.2">
      <c r="A49" s="507" t="s">
        <v>177</v>
      </c>
      <c r="B49" s="508" t="s">
        <v>391</v>
      </c>
      <c r="C49" s="509"/>
      <c r="D49" s="510">
        <f>C49+245500</f>
        <v>245500</v>
      </c>
      <c r="E49" s="511">
        <v>239990</v>
      </c>
      <c r="F49" s="506">
        <f t="shared" si="1"/>
        <v>0.97755600814663957</v>
      </c>
    </row>
    <row r="50" spans="1:6" s="512" customFormat="1" ht="15.75" x14ac:dyDescent="0.2">
      <c r="A50" s="507" t="s">
        <v>178</v>
      </c>
      <c r="B50" s="508" t="s">
        <v>392</v>
      </c>
      <c r="C50" s="509">
        <v>1056101</v>
      </c>
      <c r="D50" s="510">
        <f>C50-245500-8000+77550</f>
        <v>880151</v>
      </c>
      <c r="E50" s="511">
        <v>240095</v>
      </c>
      <c r="F50" s="506">
        <f t="shared" si="1"/>
        <v>0.27278841925987701</v>
      </c>
    </row>
    <row r="51" spans="1:6" ht="16.5" x14ac:dyDescent="0.25">
      <c r="A51" s="151" t="s">
        <v>179</v>
      </c>
      <c r="B51" s="439" t="s">
        <v>598</v>
      </c>
      <c r="C51" s="448">
        <f>SUM(C44:C50)</f>
        <v>10085182</v>
      </c>
      <c r="D51" s="152">
        <f t="shared" ref="D51:E51" si="16">SUM(D44:D50)</f>
        <v>10154732</v>
      </c>
      <c r="E51" s="430">
        <f t="shared" si="16"/>
        <v>5910263</v>
      </c>
      <c r="F51" s="462">
        <f t="shared" si="1"/>
        <v>0.58202057917431993</v>
      </c>
    </row>
    <row r="52" spans="1:6" ht="15.75" x14ac:dyDescent="0.25">
      <c r="A52" s="171" t="s">
        <v>181</v>
      </c>
      <c r="B52" s="446" t="s">
        <v>184</v>
      </c>
      <c r="C52" s="457">
        <v>50000</v>
      </c>
      <c r="D52" s="172">
        <f t="shared" ref="D52:D54" si="17">C52</f>
        <v>50000</v>
      </c>
      <c r="E52" s="435"/>
      <c r="F52" s="461">
        <f t="shared" si="1"/>
        <v>0</v>
      </c>
    </row>
    <row r="53" spans="1:6" ht="15.75" hidden="1" x14ac:dyDescent="0.25">
      <c r="A53" s="171" t="s">
        <v>182</v>
      </c>
      <c r="B53" s="446" t="s">
        <v>185</v>
      </c>
      <c r="C53" s="457"/>
      <c r="D53" s="172">
        <f t="shared" si="17"/>
        <v>0</v>
      </c>
      <c r="E53" s="435"/>
      <c r="F53" s="461"/>
    </row>
    <row r="54" spans="1:6" ht="15.75" hidden="1" x14ac:dyDescent="0.25">
      <c r="A54" s="171" t="s">
        <v>183</v>
      </c>
      <c r="B54" s="446" t="s">
        <v>62</v>
      </c>
      <c r="C54" s="457"/>
      <c r="D54" s="172">
        <f t="shared" si="17"/>
        <v>0</v>
      </c>
      <c r="E54" s="435"/>
      <c r="F54" s="461"/>
    </row>
    <row r="55" spans="1:6" ht="16.5" x14ac:dyDescent="0.25">
      <c r="A55" s="151" t="s">
        <v>186</v>
      </c>
      <c r="B55" s="439" t="s">
        <v>599</v>
      </c>
      <c r="C55" s="448">
        <f>SUM(C52:C54)</f>
        <v>50000</v>
      </c>
      <c r="D55" s="152">
        <f t="shared" ref="D55:E55" si="18">SUM(D52:D54)</f>
        <v>50000</v>
      </c>
      <c r="E55" s="430">
        <f t="shared" si="18"/>
        <v>0</v>
      </c>
      <c r="F55" s="463">
        <f t="shared" si="1"/>
        <v>0</v>
      </c>
    </row>
    <row r="56" spans="1:6" ht="15.75" x14ac:dyDescent="0.25">
      <c r="A56" s="171" t="s">
        <v>187</v>
      </c>
      <c r="B56" s="446" t="s">
        <v>192</v>
      </c>
      <c r="C56" s="457">
        <v>3093115</v>
      </c>
      <c r="D56" s="172">
        <f t="shared" ref="D56:D59" si="19">C56</f>
        <v>3093115</v>
      </c>
      <c r="E56" s="435">
        <v>1575365</v>
      </c>
      <c r="F56" s="461">
        <f t="shared" si="1"/>
        <v>0.50931342675587554</v>
      </c>
    </row>
    <row r="57" spans="1:6" ht="15.75" hidden="1" x14ac:dyDescent="0.25">
      <c r="A57" s="171" t="s">
        <v>188</v>
      </c>
      <c r="B57" s="446" t="s">
        <v>193</v>
      </c>
      <c r="C57" s="457"/>
      <c r="D57" s="172">
        <f t="shared" si="19"/>
        <v>0</v>
      </c>
      <c r="E57" s="435"/>
      <c r="F57" s="461"/>
    </row>
    <row r="58" spans="1:6" ht="15.75" hidden="1" x14ac:dyDescent="0.25">
      <c r="A58" s="171" t="s">
        <v>189</v>
      </c>
      <c r="B58" s="446" t="s">
        <v>194</v>
      </c>
      <c r="C58" s="457"/>
      <c r="D58" s="172">
        <f t="shared" si="19"/>
        <v>0</v>
      </c>
      <c r="E58" s="435"/>
      <c r="F58" s="461"/>
    </row>
    <row r="59" spans="1:6" ht="15.75" hidden="1" x14ac:dyDescent="0.25">
      <c r="A59" s="171" t="s">
        <v>190</v>
      </c>
      <c r="B59" s="446" t="s">
        <v>195</v>
      </c>
      <c r="C59" s="457"/>
      <c r="D59" s="172">
        <f t="shared" si="19"/>
        <v>0</v>
      </c>
      <c r="E59" s="435"/>
      <c r="F59" s="461"/>
    </row>
    <row r="60" spans="1:6" ht="15.75" x14ac:dyDescent="0.25">
      <c r="A60" s="171" t="s">
        <v>191</v>
      </c>
      <c r="B60" s="446" t="s">
        <v>196</v>
      </c>
      <c r="C60" s="457"/>
      <c r="D60" s="172">
        <f>C60+8000</f>
        <v>8000</v>
      </c>
      <c r="E60" s="435">
        <v>1957</v>
      </c>
      <c r="F60" s="461">
        <f t="shared" si="1"/>
        <v>0.24462500000000001</v>
      </c>
    </row>
    <row r="61" spans="1:6" ht="16.5" x14ac:dyDescent="0.25">
      <c r="A61" s="151" t="s">
        <v>197</v>
      </c>
      <c r="B61" s="439" t="s">
        <v>600</v>
      </c>
      <c r="C61" s="448">
        <f>SUM(C56:C60)</f>
        <v>3093115</v>
      </c>
      <c r="D61" s="152">
        <f t="shared" ref="D61:E61" si="20">SUM(D56:D60)</f>
        <v>3101115</v>
      </c>
      <c r="E61" s="430">
        <f t="shared" si="20"/>
        <v>1577322</v>
      </c>
      <c r="F61" s="463">
        <f t="shared" si="1"/>
        <v>0.50863060544352601</v>
      </c>
    </row>
    <row r="62" spans="1:6" ht="18.75" x14ac:dyDescent="0.3">
      <c r="A62" s="160" t="s">
        <v>198</v>
      </c>
      <c r="B62" s="441" t="s">
        <v>199</v>
      </c>
      <c r="C62" s="449">
        <f>SUM(C61,C55,C51,C43,C40)</f>
        <v>14957781</v>
      </c>
      <c r="D62" s="161">
        <f t="shared" ref="D62:E62" si="21">SUM(D61,D55,D51,D43,D40)</f>
        <v>15035331</v>
      </c>
      <c r="E62" s="245">
        <f t="shared" si="21"/>
        <v>7931454</v>
      </c>
      <c r="F62" s="465">
        <f t="shared" si="1"/>
        <v>0.52752107685557437</v>
      </c>
    </row>
    <row r="63" spans="1:6" ht="18.75" x14ac:dyDescent="0.3">
      <c r="A63" s="160" t="s">
        <v>215</v>
      </c>
      <c r="B63" s="441" t="s">
        <v>253</v>
      </c>
      <c r="C63" s="449">
        <v>0</v>
      </c>
      <c r="D63" s="161">
        <v>0</v>
      </c>
      <c r="E63" s="245">
        <v>0</v>
      </c>
      <c r="F63" s="464"/>
    </row>
    <row r="64" spans="1:6" ht="15.75" hidden="1" x14ac:dyDescent="0.25">
      <c r="A64" s="171" t="s">
        <v>216</v>
      </c>
      <c r="B64" s="446" t="s">
        <v>217</v>
      </c>
      <c r="C64" s="457">
        <v>0</v>
      </c>
      <c r="D64" s="172">
        <f>C64</f>
        <v>0</v>
      </c>
      <c r="E64" s="435"/>
      <c r="F64" s="461"/>
    </row>
    <row r="65" spans="1:6" s="149" customFormat="1" ht="15.75" hidden="1" x14ac:dyDescent="0.25">
      <c r="A65" s="166" t="s">
        <v>218</v>
      </c>
      <c r="B65" s="445" t="s">
        <v>250</v>
      </c>
      <c r="C65" s="455">
        <v>0</v>
      </c>
      <c r="D65" s="169">
        <f>C65</f>
        <v>0</v>
      </c>
      <c r="E65" s="433"/>
      <c r="F65" s="461"/>
    </row>
    <row r="66" spans="1:6" ht="15.75" hidden="1" x14ac:dyDescent="0.25">
      <c r="A66" s="171" t="s">
        <v>220</v>
      </c>
      <c r="B66" s="446" t="s">
        <v>251</v>
      </c>
      <c r="C66" s="457"/>
      <c r="D66" s="172">
        <f t="shared" ref="D66:D68" si="22">C66</f>
        <v>0</v>
      </c>
      <c r="E66" s="435"/>
      <c r="F66" s="461"/>
    </row>
    <row r="67" spans="1:6" ht="15.75" hidden="1" x14ac:dyDescent="0.25">
      <c r="A67" s="171" t="s">
        <v>223</v>
      </c>
      <c r="B67" s="446" t="s">
        <v>252</v>
      </c>
      <c r="C67" s="457"/>
      <c r="D67" s="172">
        <f t="shared" si="22"/>
        <v>0</v>
      </c>
      <c r="E67" s="435"/>
      <c r="F67" s="461"/>
    </row>
    <row r="68" spans="1:6" ht="15.75" hidden="1" x14ac:dyDescent="0.25">
      <c r="A68" s="171" t="s">
        <v>578</v>
      </c>
      <c r="B68" s="446" t="s">
        <v>224</v>
      </c>
      <c r="C68" s="457"/>
      <c r="D68" s="172">
        <f t="shared" si="22"/>
        <v>0</v>
      </c>
      <c r="E68" s="435"/>
      <c r="F68" s="461"/>
    </row>
    <row r="69" spans="1:6" ht="18.75" x14ac:dyDescent="0.3">
      <c r="A69" s="160" t="s">
        <v>225</v>
      </c>
      <c r="B69" s="441" t="s">
        <v>226</v>
      </c>
      <c r="C69" s="449">
        <f>SUM(C64:C68)</f>
        <v>0</v>
      </c>
      <c r="D69" s="161">
        <f>SUM(D64:D68)</f>
        <v>0</v>
      </c>
      <c r="E69" s="245">
        <f>SUM(E64:E68)</f>
        <v>0</v>
      </c>
      <c r="F69" s="465"/>
    </row>
    <row r="70" spans="1:6" ht="18.75" x14ac:dyDescent="0.3">
      <c r="A70" s="160" t="s">
        <v>206</v>
      </c>
      <c r="B70" s="441" t="s">
        <v>254</v>
      </c>
      <c r="C70" s="449">
        <v>289999</v>
      </c>
      <c r="D70" s="161">
        <f>C70</f>
        <v>289999</v>
      </c>
      <c r="E70" s="245">
        <v>32639</v>
      </c>
      <c r="F70" s="464">
        <f t="shared" ref="F70:F131" si="23">E70/D70</f>
        <v>0.11254866396091021</v>
      </c>
    </row>
    <row r="71" spans="1:6" ht="18.75" x14ac:dyDescent="0.3">
      <c r="A71" s="160" t="s">
        <v>209</v>
      </c>
      <c r="B71" s="441" t="s">
        <v>255</v>
      </c>
      <c r="C71" s="449">
        <v>0</v>
      </c>
      <c r="D71" s="161">
        <v>0</v>
      </c>
      <c r="E71" s="245">
        <v>0</v>
      </c>
      <c r="F71" s="464"/>
    </row>
    <row r="72" spans="1:6" ht="16.5" hidden="1" x14ac:dyDescent="0.25">
      <c r="A72" s="157" t="s">
        <v>210</v>
      </c>
      <c r="B72" s="442" t="s">
        <v>257</v>
      </c>
      <c r="C72" s="453"/>
      <c r="D72" s="159">
        <f t="shared" ref="D72:D74" si="24">C72</f>
        <v>0</v>
      </c>
      <c r="E72" s="244"/>
      <c r="F72" s="460"/>
    </row>
    <row r="73" spans="1:6" ht="16.5" hidden="1" x14ac:dyDescent="0.25">
      <c r="A73" s="157" t="s">
        <v>211</v>
      </c>
      <c r="B73" s="442" t="s">
        <v>258</v>
      </c>
      <c r="C73" s="453"/>
      <c r="D73" s="159">
        <f t="shared" si="24"/>
        <v>0</v>
      </c>
      <c r="E73" s="244"/>
      <c r="F73" s="460"/>
    </row>
    <row r="74" spans="1:6" ht="16.5" hidden="1" x14ac:dyDescent="0.25">
      <c r="A74" s="157" t="s">
        <v>212</v>
      </c>
      <c r="B74" s="442" t="s">
        <v>259</v>
      </c>
      <c r="C74" s="453"/>
      <c r="D74" s="159">
        <f t="shared" si="24"/>
        <v>0</v>
      </c>
      <c r="E74" s="244"/>
      <c r="F74" s="460"/>
    </row>
    <row r="75" spans="1:6" ht="18.75" x14ac:dyDescent="0.3">
      <c r="A75" s="160" t="s">
        <v>213</v>
      </c>
      <c r="B75" s="441" t="s">
        <v>256</v>
      </c>
      <c r="C75" s="449">
        <f>SUM(C72:C74)</f>
        <v>0</v>
      </c>
      <c r="D75" s="161">
        <v>0</v>
      </c>
      <c r="E75" s="245">
        <v>0</v>
      </c>
      <c r="F75" s="464"/>
    </row>
    <row r="76" spans="1:6" ht="19.5" x14ac:dyDescent="0.3">
      <c r="A76" s="167"/>
      <c r="B76" s="372" t="s">
        <v>602</v>
      </c>
      <c r="C76" s="368">
        <f>SUM(C21,C27,C62,C63,C69,C70,C71,C75)</f>
        <v>70626433</v>
      </c>
      <c r="D76" s="168">
        <f>SUM(D21,D27,D62,D63,D69,D70,D71,D75)</f>
        <v>70732903</v>
      </c>
      <c r="E76" s="365">
        <f>SUM(E21,E27,E62,E63,E69,E70,E71,E75)</f>
        <v>44572327</v>
      </c>
      <c r="F76" s="466">
        <f t="shared" si="23"/>
        <v>0.63014983281542958</v>
      </c>
    </row>
    <row r="77" spans="1:6" ht="15.75" hidden="1" x14ac:dyDescent="0.25">
      <c r="A77" s="171" t="s">
        <v>500</v>
      </c>
      <c r="B77" s="446" t="s">
        <v>501</v>
      </c>
      <c r="C77" s="457"/>
      <c r="D77" s="172">
        <f t="shared" ref="D77:D79" si="25">C77</f>
        <v>0</v>
      </c>
      <c r="E77" s="435"/>
      <c r="F77" s="461"/>
    </row>
    <row r="78" spans="1:6" ht="15.75" hidden="1" x14ac:dyDescent="0.25">
      <c r="A78" s="171" t="s">
        <v>249</v>
      </c>
      <c r="B78" s="446" t="s">
        <v>68</v>
      </c>
      <c r="C78" s="457"/>
      <c r="D78" s="172">
        <f t="shared" si="25"/>
        <v>0</v>
      </c>
      <c r="E78" s="435"/>
      <c r="F78" s="461"/>
    </row>
    <row r="79" spans="1:6" ht="15.75" hidden="1" x14ac:dyDescent="0.25">
      <c r="A79" s="171" t="s">
        <v>498</v>
      </c>
      <c r="B79" s="446" t="s">
        <v>499</v>
      </c>
      <c r="C79" s="457"/>
      <c r="D79" s="172">
        <f t="shared" si="25"/>
        <v>0</v>
      </c>
      <c r="E79" s="435"/>
      <c r="F79" s="461"/>
    </row>
    <row r="80" spans="1:6" ht="19.5" x14ac:dyDescent="0.3">
      <c r="A80" s="167"/>
      <c r="B80" s="372" t="s">
        <v>603</v>
      </c>
      <c r="C80" s="368">
        <f>SUM(C76:C79)</f>
        <v>70626433</v>
      </c>
      <c r="D80" s="168">
        <f>SUM(D76:D79)</f>
        <v>70732903</v>
      </c>
      <c r="E80" s="365">
        <f>SUM(E76:E79)</f>
        <v>44572327</v>
      </c>
      <c r="F80" s="466">
        <f t="shared" si="23"/>
        <v>0.63014983281542958</v>
      </c>
    </row>
    <row r="81" spans="1:6" ht="15.75" hidden="1" x14ac:dyDescent="0.25">
      <c r="A81" s="171" t="s">
        <v>325</v>
      </c>
      <c r="B81" s="446" t="s">
        <v>331</v>
      </c>
      <c r="C81" s="457"/>
      <c r="D81" s="172">
        <f t="shared" ref="D81:D86" si="26">C81</f>
        <v>0</v>
      </c>
      <c r="E81" s="435"/>
      <c r="F81" s="461"/>
    </row>
    <row r="82" spans="1:6" ht="15.75" hidden="1" x14ac:dyDescent="0.25">
      <c r="A82" s="171" t="s">
        <v>326</v>
      </c>
      <c r="B82" s="446" t="s">
        <v>332</v>
      </c>
      <c r="C82" s="457"/>
      <c r="D82" s="172">
        <f t="shared" si="26"/>
        <v>0</v>
      </c>
      <c r="E82" s="435"/>
      <c r="F82" s="461"/>
    </row>
    <row r="83" spans="1:6" ht="15.75" hidden="1" x14ac:dyDescent="0.25">
      <c r="A83" s="171" t="s">
        <v>327</v>
      </c>
      <c r="B83" s="446" t="s">
        <v>333</v>
      </c>
      <c r="C83" s="457"/>
      <c r="D83" s="172">
        <f t="shared" si="26"/>
        <v>0</v>
      </c>
      <c r="E83" s="435"/>
      <c r="F83" s="461"/>
    </row>
    <row r="84" spans="1:6" ht="15.75" hidden="1" x14ac:dyDescent="0.25">
      <c r="A84" s="171" t="s">
        <v>328</v>
      </c>
      <c r="B84" s="446" t="s">
        <v>334</v>
      </c>
      <c r="C84" s="457"/>
      <c r="D84" s="172">
        <f t="shared" si="26"/>
        <v>0</v>
      </c>
      <c r="E84" s="435"/>
      <c r="F84" s="461"/>
    </row>
    <row r="85" spans="1:6" ht="15.75" hidden="1" x14ac:dyDescent="0.25">
      <c r="A85" s="171" t="s">
        <v>329</v>
      </c>
      <c r="B85" s="446" t="s">
        <v>335</v>
      </c>
      <c r="C85" s="457"/>
      <c r="D85" s="172">
        <f t="shared" si="26"/>
        <v>0</v>
      </c>
      <c r="E85" s="435"/>
      <c r="F85" s="461"/>
    </row>
    <row r="86" spans="1:6" ht="15.75" hidden="1" x14ac:dyDescent="0.25">
      <c r="A86" s="171" t="s">
        <v>330</v>
      </c>
      <c r="B86" s="446" t="s">
        <v>336</v>
      </c>
      <c r="C86" s="457"/>
      <c r="D86" s="172">
        <f t="shared" si="26"/>
        <v>0</v>
      </c>
      <c r="E86" s="435"/>
      <c r="F86" s="461"/>
    </row>
    <row r="87" spans="1:6" ht="16.5" hidden="1" x14ac:dyDescent="0.25">
      <c r="A87" s="151" t="s">
        <v>269</v>
      </c>
      <c r="B87" s="439" t="s">
        <v>263</v>
      </c>
      <c r="C87" s="448">
        <f>SUM(C81:C86)</f>
        <v>0</v>
      </c>
      <c r="D87" s="152"/>
      <c r="E87" s="430"/>
      <c r="F87" s="462"/>
    </row>
    <row r="88" spans="1:6" ht="15.75" hidden="1" x14ac:dyDescent="0.25">
      <c r="A88" s="171"/>
      <c r="C88" s="457"/>
      <c r="D88" s="172">
        <f t="shared" ref="D88" si="27">C88</f>
        <v>0</v>
      </c>
      <c r="E88" s="435"/>
      <c r="F88" s="461"/>
    </row>
    <row r="89" spans="1:6" ht="15.75" hidden="1" x14ac:dyDescent="0.25">
      <c r="A89" s="171"/>
      <c r="B89" s="446" t="s">
        <v>368</v>
      </c>
      <c r="C89" s="457"/>
      <c r="D89" s="172"/>
      <c r="E89" s="435"/>
      <c r="F89" s="461"/>
    </row>
    <row r="90" spans="1:6" ht="15.75" hidden="1" x14ac:dyDescent="0.25">
      <c r="A90" s="171"/>
      <c r="B90" s="446"/>
      <c r="C90" s="457"/>
      <c r="D90" s="172"/>
      <c r="E90" s="435"/>
      <c r="F90" s="461"/>
    </row>
    <row r="91" spans="1:6" ht="15.75" hidden="1" x14ac:dyDescent="0.25">
      <c r="A91" s="171"/>
      <c r="B91" s="446"/>
      <c r="C91" s="457"/>
      <c r="D91" s="172"/>
      <c r="E91" s="435"/>
      <c r="F91" s="461"/>
    </row>
    <row r="92" spans="1:6" ht="15.75" hidden="1" x14ac:dyDescent="0.25">
      <c r="A92" s="171"/>
      <c r="B92" s="446"/>
      <c r="C92" s="457"/>
      <c r="D92" s="172"/>
      <c r="E92" s="435"/>
      <c r="F92" s="461"/>
    </row>
    <row r="93" spans="1:6" ht="16.5" hidden="1" x14ac:dyDescent="0.25">
      <c r="A93" s="151" t="s">
        <v>270</v>
      </c>
      <c r="B93" s="439" t="s">
        <v>264</v>
      </c>
      <c r="C93" s="448">
        <f>SUM(C88:C92)</f>
        <v>0</v>
      </c>
      <c r="D93" s="152">
        <f t="shared" ref="D93:E93" si="28">SUM(D88:D92)</f>
        <v>0</v>
      </c>
      <c r="E93" s="430">
        <f t="shared" si="28"/>
        <v>0</v>
      </c>
      <c r="F93" s="463"/>
    </row>
    <row r="94" spans="1:6" ht="18.75" x14ac:dyDescent="0.3">
      <c r="A94" s="160" t="s">
        <v>262</v>
      </c>
      <c r="B94" s="441" t="s">
        <v>637</v>
      </c>
      <c r="C94" s="449">
        <f>SUM(C87,C93)</f>
        <v>0</v>
      </c>
      <c r="D94" s="161"/>
      <c r="E94" s="245"/>
      <c r="F94" s="464"/>
    </row>
    <row r="95" spans="1:6" ht="16.5" hidden="1" x14ac:dyDescent="0.25">
      <c r="A95" s="151" t="s">
        <v>274</v>
      </c>
      <c r="B95" s="439" t="s">
        <v>268</v>
      </c>
      <c r="C95" s="448"/>
      <c r="D95" s="152"/>
      <c r="E95" s="430"/>
      <c r="F95" s="462"/>
    </row>
    <row r="96" spans="1:6" ht="15.75" hidden="1" x14ac:dyDescent="0.25">
      <c r="A96" s="171"/>
      <c r="B96" s="446"/>
      <c r="C96" s="457"/>
      <c r="D96" s="172">
        <f t="shared" ref="D96" si="29">C96</f>
        <v>0</v>
      </c>
      <c r="E96" s="435"/>
      <c r="F96" s="461"/>
    </row>
    <row r="97" spans="1:6" ht="16.5" hidden="1" x14ac:dyDescent="0.25">
      <c r="A97" s="151" t="s">
        <v>272</v>
      </c>
      <c r="B97" s="439" t="s">
        <v>271</v>
      </c>
      <c r="C97" s="448">
        <f>SUM(C96:C96)</f>
        <v>0</v>
      </c>
      <c r="D97" s="152"/>
      <c r="E97" s="430"/>
      <c r="F97" s="462"/>
    </row>
    <row r="98" spans="1:6" ht="18.75" x14ac:dyDescent="0.3">
      <c r="A98" s="160" t="s">
        <v>273</v>
      </c>
      <c r="B98" s="441" t="s">
        <v>638</v>
      </c>
      <c r="C98" s="449">
        <f>SUM(C95,C97)</f>
        <v>0</v>
      </c>
      <c r="D98" s="161"/>
      <c r="E98" s="245"/>
      <c r="F98" s="464"/>
    </row>
    <row r="99" spans="1:6" s="150" customFormat="1" ht="16.5" hidden="1" x14ac:dyDescent="0.25">
      <c r="A99" s="151" t="s">
        <v>276</v>
      </c>
      <c r="B99" s="439" t="s">
        <v>613</v>
      </c>
      <c r="C99" s="448">
        <v>0</v>
      </c>
      <c r="D99" s="152">
        <f>C99</f>
        <v>0</v>
      </c>
      <c r="E99" s="430"/>
      <c r="F99" s="463"/>
    </row>
    <row r="100" spans="1:6" s="150" customFormat="1" ht="15.75" hidden="1" x14ac:dyDescent="0.25">
      <c r="A100" s="173" t="s">
        <v>614</v>
      </c>
      <c r="B100" s="447" t="s">
        <v>454</v>
      </c>
      <c r="C100" s="456">
        <v>0</v>
      </c>
      <c r="D100" s="170">
        <f>C100</f>
        <v>0</v>
      </c>
      <c r="E100" s="434"/>
      <c r="F100" s="461"/>
    </row>
    <row r="101" spans="1:6" s="150" customFormat="1" ht="15.75" hidden="1" x14ac:dyDescent="0.25">
      <c r="A101" s="173" t="s">
        <v>615</v>
      </c>
      <c r="B101" s="447" t="s">
        <v>616</v>
      </c>
      <c r="C101" s="456">
        <v>0</v>
      </c>
      <c r="D101" s="170">
        <f t="shared" ref="D101:D108" si="30">C101</f>
        <v>0</v>
      </c>
      <c r="E101" s="434"/>
      <c r="F101" s="461"/>
    </row>
    <row r="102" spans="1:6" s="150" customFormat="1" ht="16.5" hidden="1" x14ac:dyDescent="0.25">
      <c r="A102" s="151" t="s">
        <v>277</v>
      </c>
      <c r="B102" s="439" t="s">
        <v>626</v>
      </c>
      <c r="C102" s="448">
        <f>SUM(C100:C101)</f>
        <v>0</v>
      </c>
      <c r="D102" s="152">
        <f t="shared" ref="D102:E102" si="31">SUM(D100:D101)</f>
        <v>0</v>
      </c>
      <c r="E102" s="430">
        <f t="shared" si="31"/>
        <v>0</v>
      </c>
      <c r="F102" s="463"/>
    </row>
    <row r="103" spans="1:6" s="150" customFormat="1" ht="15.75" hidden="1" x14ac:dyDescent="0.25">
      <c r="A103" s="173" t="s">
        <v>278</v>
      </c>
      <c r="B103" s="447" t="s">
        <v>458</v>
      </c>
      <c r="C103" s="456">
        <v>0</v>
      </c>
      <c r="D103" s="170">
        <f t="shared" si="30"/>
        <v>0</v>
      </c>
      <c r="E103" s="434"/>
      <c r="F103" s="461"/>
    </row>
    <row r="104" spans="1:6" s="150" customFormat="1" ht="15.75" hidden="1" x14ac:dyDescent="0.25">
      <c r="A104" s="173" t="s">
        <v>279</v>
      </c>
      <c r="B104" s="447" t="s">
        <v>281</v>
      </c>
      <c r="C104" s="456">
        <v>0</v>
      </c>
      <c r="D104" s="170">
        <f>C104</f>
        <v>0</v>
      </c>
      <c r="E104" s="434"/>
      <c r="F104" s="461"/>
    </row>
    <row r="105" spans="1:6" s="150" customFormat="1" ht="15.75" hidden="1" x14ac:dyDescent="0.25">
      <c r="A105" s="173" t="s">
        <v>280</v>
      </c>
      <c r="B105" s="447" t="s">
        <v>453</v>
      </c>
      <c r="C105" s="456">
        <v>0</v>
      </c>
      <c r="D105" s="170">
        <f t="shared" si="30"/>
        <v>0</v>
      </c>
      <c r="E105" s="434"/>
      <c r="F105" s="461"/>
    </row>
    <row r="106" spans="1:6" s="150" customFormat="1" ht="16.5" hidden="1" x14ac:dyDescent="0.25">
      <c r="A106" s="151" t="s">
        <v>619</v>
      </c>
      <c r="B106" s="439" t="s">
        <v>620</v>
      </c>
      <c r="C106" s="448">
        <f>SUM(C103:C105)</f>
        <v>0</v>
      </c>
      <c r="D106" s="152">
        <f t="shared" ref="D106:E106" si="32">SUM(D103:D105)</f>
        <v>0</v>
      </c>
      <c r="E106" s="430">
        <f t="shared" si="32"/>
        <v>0</v>
      </c>
      <c r="F106" s="463"/>
    </row>
    <row r="107" spans="1:6" s="150" customFormat="1" ht="15.75" hidden="1" x14ac:dyDescent="0.25">
      <c r="A107" s="173" t="s">
        <v>624</v>
      </c>
      <c r="B107" s="447" t="s">
        <v>617</v>
      </c>
      <c r="C107" s="456">
        <v>0</v>
      </c>
      <c r="D107" s="170">
        <f t="shared" si="30"/>
        <v>0</v>
      </c>
      <c r="E107" s="434"/>
      <c r="F107" s="461"/>
    </row>
    <row r="108" spans="1:6" s="150" customFormat="1" ht="15.75" hidden="1" x14ac:dyDescent="0.25">
      <c r="A108" s="173" t="s">
        <v>625</v>
      </c>
      <c r="B108" s="447" t="s">
        <v>514</v>
      </c>
      <c r="C108" s="456">
        <v>0</v>
      </c>
      <c r="D108" s="170">
        <f t="shared" si="30"/>
        <v>0</v>
      </c>
      <c r="E108" s="434"/>
      <c r="F108" s="461"/>
    </row>
    <row r="109" spans="1:6" s="150" customFormat="1" ht="15.75" hidden="1" x14ac:dyDescent="0.25">
      <c r="A109" s="173" t="s">
        <v>623</v>
      </c>
      <c r="B109" s="447" t="s">
        <v>622</v>
      </c>
      <c r="C109" s="456">
        <v>0</v>
      </c>
      <c r="D109" s="170">
        <f>C109</f>
        <v>0</v>
      </c>
      <c r="E109" s="434"/>
      <c r="F109" s="461"/>
    </row>
    <row r="110" spans="1:6" s="150" customFormat="1" ht="16.5" hidden="1" x14ac:dyDescent="0.25">
      <c r="A110" s="151" t="s">
        <v>618</v>
      </c>
      <c r="B110" s="439" t="s">
        <v>621</v>
      </c>
      <c r="C110" s="448">
        <f>SUM(C107:C109)</f>
        <v>0</v>
      </c>
      <c r="D110" s="152">
        <f t="shared" ref="D110:E110" si="33">SUM(D107:D109)</f>
        <v>0</v>
      </c>
      <c r="E110" s="430">
        <f t="shared" si="33"/>
        <v>0</v>
      </c>
      <c r="F110" s="463"/>
    </row>
    <row r="111" spans="1:6" ht="18.75" x14ac:dyDescent="0.3">
      <c r="A111" s="160" t="s">
        <v>282</v>
      </c>
      <c r="B111" s="441" t="s">
        <v>283</v>
      </c>
      <c r="C111" s="449">
        <f>SUM(C110,C106,C102,C99)</f>
        <v>0</v>
      </c>
      <c r="D111" s="161">
        <f t="shared" ref="D111:E111" si="34">SUM(D110,D106,D102,D99)</f>
        <v>0</v>
      </c>
      <c r="E111" s="245">
        <f t="shared" si="34"/>
        <v>0</v>
      </c>
      <c r="F111" s="465"/>
    </row>
    <row r="112" spans="1:6" ht="15.75" hidden="1" x14ac:dyDescent="0.25">
      <c r="A112" s="171" t="s">
        <v>286</v>
      </c>
      <c r="B112" s="446" t="s">
        <v>657</v>
      </c>
      <c r="C112" s="457"/>
      <c r="D112" s="172">
        <f t="shared" ref="D112:D120" si="35">C112</f>
        <v>0</v>
      </c>
      <c r="E112" s="435"/>
      <c r="F112" s="461"/>
    </row>
    <row r="113" spans="1:6" ht="15.75" hidden="1" x14ac:dyDescent="0.25">
      <c r="A113" s="171" t="s">
        <v>287</v>
      </c>
      <c r="B113" s="446" t="s">
        <v>457</v>
      </c>
      <c r="C113" s="457"/>
      <c r="D113" s="172">
        <f t="shared" si="35"/>
        <v>0</v>
      </c>
      <c r="E113" s="435"/>
      <c r="F113" s="461"/>
    </row>
    <row r="114" spans="1:6" ht="15.75" hidden="1" x14ac:dyDescent="0.25">
      <c r="A114" s="171" t="s">
        <v>288</v>
      </c>
      <c r="B114" s="446" t="s">
        <v>658</v>
      </c>
      <c r="C114" s="457"/>
      <c r="D114" s="172">
        <f t="shared" si="35"/>
        <v>0</v>
      </c>
      <c r="E114" s="435"/>
      <c r="F114" s="461"/>
    </row>
    <row r="115" spans="1:6" ht="15.75" hidden="1" x14ac:dyDescent="0.25">
      <c r="A115" s="171" t="s">
        <v>289</v>
      </c>
      <c r="B115" s="446" t="s">
        <v>659</v>
      </c>
      <c r="C115" s="457"/>
      <c r="D115" s="172">
        <f t="shared" si="35"/>
        <v>0</v>
      </c>
      <c r="E115" s="435"/>
      <c r="F115" s="461"/>
    </row>
    <row r="116" spans="1:6" ht="15.75" x14ac:dyDescent="0.25">
      <c r="A116" s="171" t="s">
        <v>290</v>
      </c>
      <c r="B116" s="446" t="s">
        <v>294</v>
      </c>
      <c r="C116" s="457">
        <v>1443200</v>
      </c>
      <c r="D116" s="172">
        <f t="shared" si="35"/>
        <v>1443200</v>
      </c>
      <c r="E116" s="435">
        <v>1258140</v>
      </c>
      <c r="F116" s="461">
        <f t="shared" si="23"/>
        <v>0.87177106430155216</v>
      </c>
    </row>
    <row r="117" spans="1:6" ht="15.75" hidden="1" x14ac:dyDescent="0.25">
      <c r="A117" s="171" t="s">
        <v>291</v>
      </c>
      <c r="B117" s="446" t="s">
        <v>337</v>
      </c>
      <c r="C117" s="457">
        <v>0</v>
      </c>
      <c r="D117" s="172">
        <f t="shared" si="35"/>
        <v>0</v>
      </c>
      <c r="E117" s="435"/>
      <c r="F117" s="461"/>
    </row>
    <row r="118" spans="1:6" ht="15.75" hidden="1" x14ac:dyDescent="0.25">
      <c r="A118" s="171" t="s">
        <v>295</v>
      </c>
      <c r="B118" s="446" t="s">
        <v>660</v>
      </c>
      <c r="C118" s="457"/>
      <c r="D118" s="172">
        <f t="shared" si="35"/>
        <v>0</v>
      </c>
      <c r="E118" s="435"/>
      <c r="F118" s="461"/>
    </row>
    <row r="119" spans="1:6" ht="15.75" hidden="1" x14ac:dyDescent="0.25">
      <c r="A119" s="171" t="s">
        <v>297</v>
      </c>
      <c r="B119" s="446" t="s">
        <v>661</v>
      </c>
      <c r="C119" s="457"/>
      <c r="D119" s="172">
        <f t="shared" si="35"/>
        <v>0</v>
      </c>
      <c r="E119" s="435"/>
      <c r="F119" s="461"/>
    </row>
    <row r="120" spans="1:6" ht="15.75" x14ac:dyDescent="0.25">
      <c r="A120" s="171" t="s">
        <v>628</v>
      </c>
      <c r="B120" s="446" t="s">
        <v>299</v>
      </c>
      <c r="C120" s="457">
        <v>0</v>
      </c>
      <c r="D120" s="172">
        <f t="shared" si="35"/>
        <v>0</v>
      </c>
      <c r="E120" s="435">
        <v>3537</v>
      </c>
      <c r="F120" s="461"/>
    </row>
    <row r="121" spans="1:6" ht="18.75" x14ac:dyDescent="0.3">
      <c r="A121" s="160" t="s">
        <v>284</v>
      </c>
      <c r="B121" s="441" t="s">
        <v>285</v>
      </c>
      <c r="C121" s="449">
        <f>SUM(C112:C120)</f>
        <v>1443200</v>
      </c>
      <c r="D121" s="161">
        <f>SUM(D112:D120)</f>
        <v>1443200</v>
      </c>
      <c r="E121" s="245">
        <f>SUM(E112:E120)</f>
        <v>1261677</v>
      </c>
      <c r="F121" s="465">
        <f t="shared" si="23"/>
        <v>0.87422186807095348</v>
      </c>
    </row>
    <row r="122" spans="1:6" ht="16.5" hidden="1" x14ac:dyDescent="0.25">
      <c r="A122" s="157" t="s">
        <v>300</v>
      </c>
      <c r="B122" s="442" t="s">
        <v>302</v>
      </c>
      <c r="C122" s="453"/>
      <c r="D122" s="159">
        <f t="shared" ref="D122:D123" si="36">C122</f>
        <v>0</v>
      </c>
      <c r="E122" s="244"/>
      <c r="F122" s="460"/>
    </row>
    <row r="123" spans="1:6" ht="16.5" hidden="1" x14ac:dyDescent="0.25">
      <c r="A123" s="157" t="s">
        <v>301</v>
      </c>
      <c r="B123" s="442" t="s">
        <v>303</v>
      </c>
      <c r="C123" s="453"/>
      <c r="D123" s="159">
        <f t="shared" si="36"/>
        <v>0</v>
      </c>
      <c r="E123" s="244"/>
      <c r="F123" s="460"/>
    </row>
    <row r="124" spans="1:6" ht="18.75" x14ac:dyDescent="0.3">
      <c r="A124" s="160" t="s">
        <v>304</v>
      </c>
      <c r="B124" s="441" t="s">
        <v>305</v>
      </c>
      <c r="C124" s="449">
        <f>SUM(C122:C123)</f>
        <v>0</v>
      </c>
      <c r="D124" s="161"/>
      <c r="E124" s="245"/>
      <c r="F124" s="464"/>
    </row>
    <row r="125" spans="1:6" ht="16.5" hidden="1" x14ac:dyDescent="0.25">
      <c r="A125" s="157" t="s">
        <v>306</v>
      </c>
      <c r="B125" s="442" t="s">
        <v>307</v>
      </c>
      <c r="C125" s="453"/>
      <c r="D125" s="159">
        <f t="shared" ref="D125:D126" si="37">C125</f>
        <v>0</v>
      </c>
      <c r="E125" s="244"/>
      <c r="F125" s="460"/>
    </row>
    <row r="126" spans="1:6" ht="16.5" hidden="1" x14ac:dyDescent="0.25">
      <c r="A126" s="157" t="s">
        <v>630</v>
      </c>
      <c r="B126" s="442" t="s">
        <v>308</v>
      </c>
      <c r="C126" s="453"/>
      <c r="D126" s="159">
        <f t="shared" si="37"/>
        <v>0</v>
      </c>
      <c r="E126" s="244"/>
      <c r="F126" s="460"/>
    </row>
    <row r="127" spans="1:6" ht="18.75" x14ac:dyDescent="0.3">
      <c r="A127" s="160" t="s">
        <v>309</v>
      </c>
      <c r="B127" s="441" t="s">
        <v>629</v>
      </c>
      <c r="C127" s="449">
        <f>SUM(C125:C126)</f>
        <v>0</v>
      </c>
      <c r="D127" s="161"/>
      <c r="E127" s="245"/>
      <c r="F127" s="464"/>
    </row>
    <row r="128" spans="1:6" ht="16.5" hidden="1" x14ac:dyDescent="0.25">
      <c r="A128" s="157" t="s">
        <v>313</v>
      </c>
      <c r="B128" s="442" t="s">
        <v>314</v>
      </c>
      <c r="C128" s="453"/>
      <c r="D128" s="159">
        <f t="shared" ref="D128:D129" si="38">C128</f>
        <v>0</v>
      </c>
      <c r="E128" s="244"/>
      <c r="F128" s="460"/>
    </row>
    <row r="129" spans="1:6" ht="16.5" hidden="1" x14ac:dyDescent="0.25">
      <c r="A129" s="157" t="s">
        <v>632</v>
      </c>
      <c r="B129" s="442" t="s">
        <v>315</v>
      </c>
      <c r="C129" s="453"/>
      <c r="D129" s="159">
        <f t="shared" si="38"/>
        <v>0</v>
      </c>
      <c r="E129" s="244"/>
      <c r="F129" s="460"/>
    </row>
    <row r="130" spans="1:6" ht="18.75" x14ac:dyDescent="0.3">
      <c r="A130" s="160" t="s">
        <v>310</v>
      </c>
      <c r="B130" s="441" t="s">
        <v>636</v>
      </c>
      <c r="C130" s="449">
        <f>SUM(C128:C129)</f>
        <v>0</v>
      </c>
      <c r="D130" s="161"/>
      <c r="E130" s="245"/>
      <c r="F130" s="464"/>
    </row>
    <row r="131" spans="1:6" ht="19.5" x14ac:dyDescent="0.3">
      <c r="A131" s="167"/>
      <c r="B131" s="372" t="s">
        <v>633</v>
      </c>
      <c r="C131" s="368">
        <f>SUM(C94,C98,C111,C121,C124,C127,C130)</f>
        <v>1443200</v>
      </c>
      <c r="D131" s="168">
        <f>SUM(D94,D98,D111,D121,D124,D127,D130)</f>
        <v>1443200</v>
      </c>
      <c r="E131" s="365">
        <f>SUM(E94,E98,E111,E121,E124,E127,E130)</f>
        <v>1261677</v>
      </c>
      <c r="F131" s="466">
        <f t="shared" si="23"/>
        <v>0.87422186807095348</v>
      </c>
    </row>
    <row r="132" spans="1:6" ht="15.75" hidden="1" x14ac:dyDescent="0.25">
      <c r="A132" s="171" t="s">
        <v>317</v>
      </c>
      <c r="B132" s="446" t="s">
        <v>316</v>
      </c>
      <c r="C132" s="457"/>
      <c r="D132" s="172">
        <f t="shared" ref="D132:D135" si="39">C132</f>
        <v>0</v>
      </c>
      <c r="E132" s="435"/>
      <c r="F132" s="461"/>
    </row>
    <row r="133" spans="1:6" ht="15.75" x14ac:dyDescent="0.25">
      <c r="A133" s="171" t="s">
        <v>318</v>
      </c>
      <c r="B133" s="446" t="s">
        <v>319</v>
      </c>
      <c r="C133" s="457"/>
      <c r="D133" s="172">
        <f>C133+77550</f>
        <v>77550</v>
      </c>
      <c r="E133" s="435">
        <v>77550</v>
      </c>
      <c r="F133" s="461">
        <f t="shared" ref="F133:F137" si="40">E133/D133</f>
        <v>1</v>
      </c>
    </row>
    <row r="134" spans="1:6" ht="15.75" x14ac:dyDescent="0.25">
      <c r="A134" s="171" t="s">
        <v>320</v>
      </c>
      <c r="B134" s="446" t="s">
        <v>68</v>
      </c>
      <c r="C134" s="457">
        <v>69183233</v>
      </c>
      <c r="D134" s="172">
        <f>C134+18641+10279</f>
        <v>69212153</v>
      </c>
      <c r="E134" s="435">
        <v>43604709</v>
      </c>
      <c r="F134" s="461">
        <f t="shared" si="40"/>
        <v>0.63001520845623749</v>
      </c>
    </row>
    <row r="135" spans="1:6" ht="15.75" hidden="1" x14ac:dyDescent="0.25">
      <c r="A135" s="171" t="s">
        <v>321</v>
      </c>
      <c r="B135" s="446" t="s">
        <v>322</v>
      </c>
      <c r="C135" s="457"/>
      <c r="D135" s="172">
        <f t="shared" si="39"/>
        <v>0</v>
      </c>
      <c r="E135" s="435"/>
      <c r="F135" s="461"/>
    </row>
    <row r="136" spans="1:6" ht="18.75" x14ac:dyDescent="0.3">
      <c r="A136" s="160" t="s">
        <v>360</v>
      </c>
      <c r="B136" s="441" t="s">
        <v>634</v>
      </c>
      <c r="C136" s="449">
        <f>SUM(C132:C135)</f>
        <v>69183233</v>
      </c>
      <c r="D136" s="161">
        <f t="shared" ref="D136:E136" si="41">SUM(D132:D135)</f>
        <v>69289703</v>
      </c>
      <c r="E136" s="245">
        <f t="shared" si="41"/>
        <v>43682259</v>
      </c>
      <c r="F136" s="465">
        <f t="shared" si="40"/>
        <v>0.63042930058453273</v>
      </c>
    </row>
    <row r="137" spans="1:6" ht="19.5" x14ac:dyDescent="0.3">
      <c r="A137" s="167"/>
      <c r="B137" s="372" t="s">
        <v>635</v>
      </c>
      <c r="C137" s="368">
        <f>SUM(C136,C131)</f>
        <v>70626433</v>
      </c>
      <c r="D137" s="168">
        <f t="shared" ref="D137:E137" si="42">SUM(D136,D131)</f>
        <v>70732903</v>
      </c>
      <c r="E137" s="365">
        <f t="shared" si="42"/>
        <v>44943936</v>
      </c>
      <c r="F137" s="466">
        <f t="shared" si="40"/>
        <v>0.63540352641824982</v>
      </c>
    </row>
    <row r="138" spans="1:6" ht="14.25" x14ac:dyDescent="0.2">
      <c r="F138" s="467"/>
    </row>
    <row r="139" spans="1:6" ht="14.25" x14ac:dyDescent="0.2">
      <c r="F139" s="467"/>
    </row>
    <row r="140" spans="1:6" ht="18.75" x14ac:dyDescent="0.3">
      <c r="A140" s="469"/>
      <c r="B140" s="470" t="s">
        <v>113</v>
      </c>
      <c r="C140" s="826">
        <v>11</v>
      </c>
      <c r="D140" s="826"/>
      <c r="E140" s="826"/>
      <c r="F140"/>
    </row>
  </sheetData>
  <mergeCells count="4">
    <mergeCell ref="F1:F2"/>
    <mergeCell ref="B1:B2"/>
    <mergeCell ref="A1:A2"/>
    <mergeCell ref="C140:E140"/>
  </mergeCells>
  <phoneticPr fontId="2" type="noConversion"/>
  <printOptions horizontalCentered="1"/>
  <pageMargins left="0.59055118110236227" right="0.59055118110236227" top="1.1811023622047245" bottom="0.78740157480314965" header="0.51181102362204722" footer="0.51181102362204722"/>
  <pageSetup paperSize="9" scale="64" orientation="portrait" r:id="rId1"/>
  <headerFooter>
    <oddHeader>&amp;L&amp;"Arial,Normál"Levél Község    Önkormányzata&amp;C&amp;"Arial,Félkövér"&amp;12Óvoda
2019. 01-09. hó&amp;R&amp;"Arial,Normál"&amp;8 10. sz.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7">
    <pageSetUpPr fitToPage="1"/>
  </sheetPr>
  <dimension ref="A1:M5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6.42578125" customWidth="1"/>
    <col min="2" max="4" width="0" hidden="1" customWidth="1"/>
    <col min="5" max="5" width="16.140625" hidden="1" customWidth="1"/>
    <col min="6" max="6" width="14.5703125" hidden="1" customWidth="1"/>
    <col min="7" max="7" width="15.5703125" hidden="1" customWidth="1"/>
    <col min="8" max="10" width="9.42578125" bestFit="1" customWidth="1"/>
    <col min="11" max="11" width="19" customWidth="1"/>
    <col min="12" max="12" width="17.5703125" bestFit="1" customWidth="1"/>
    <col min="13" max="13" width="18.7109375" customWidth="1"/>
  </cols>
  <sheetData>
    <row r="1" spans="1:13" ht="15.75" x14ac:dyDescent="0.25">
      <c r="A1" s="11"/>
      <c r="B1" s="827" t="s">
        <v>12</v>
      </c>
      <c r="C1" s="828"/>
      <c r="D1" s="828"/>
      <c r="E1" s="828"/>
      <c r="F1" s="828"/>
      <c r="G1" s="829"/>
      <c r="H1" s="830">
        <v>2019</v>
      </c>
      <c r="I1" s="831"/>
      <c r="J1" s="831"/>
      <c r="K1" s="831"/>
      <c r="L1" s="831"/>
      <c r="M1" s="832"/>
    </row>
    <row r="2" spans="1:13" ht="15.75" x14ac:dyDescent="0.25">
      <c r="A2" s="11"/>
      <c r="B2" s="12"/>
      <c r="C2" s="13"/>
      <c r="D2" s="13"/>
      <c r="E2" s="13"/>
      <c r="F2" s="13"/>
      <c r="G2" s="14"/>
      <c r="H2" s="833" t="s">
        <v>64</v>
      </c>
      <c r="I2" s="834"/>
      <c r="J2" s="834"/>
      <c r="K2" s="834"/>
      <c r="L2" s="834"/>
      <c r="M2" s="835"/>
    </row>
    <row r="3" spans="1:13" ht="15.75" x14ac:dyDescent="0.25">
      <c r="A3" s="15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16" t="s">
        <v>57</v>
      </c>
      <c r="H3" s="7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5" t="s">
        <v>57</v>
      </c>
    </row>
    <row r="4" spans="1:13" ht="15.75" x14ac:dyDescent="0.25">
      <c r="A4" s="1" t="s">
        <v>518</v>
      </c>
      <c r="B4" s="17"/>
      <c r="C4" s="1"/>
      <c r="D4" s="1"/>
      <c r="E4" s="25">
        <f>B4*C4*D4</f>
        <v>0</v>
      </c>
      <c r="F4" s="25">
        <f>E4*0.27</f>
        <v>0</v>
      </c>
      <c r="G4" s="3">
        <f>SUM(E4:F4)</f>
        <v>0</v>
      </c>
      <c r="H4" s="17">
        <v>17</v>
      </c>
      <c r="I4" s="1">
        <v>220</v>
      </c>
      <c r="J4" s="1">
        <v>550</v>
      </c>
      <c r="K4" s="25">
        <v>2055503</v>
      </c>
      <c r="L4" s="25">
        <v>554986</v>
      </c>
      <c r="M4" s="3">
        <f>SUM(K4:L4)</f>
        <v>2610489</v>
      </c>
    </row>
    <row r="5" spans="1:13" ht="15.75" x14ac:dyDescent="0.25">
      <c r="A5" s="1" t="s">
        <v>460</v>
      </c>
      <c r="B5" s="17"/>
      <c r="C5" s="1"/>
      <c r="D5" s="1"/>
      <c r="E5" s="25">
        <f>B5*C5*D5</f>
        <v>0</v>
      </c>
      <c r="F5" s="25">
        <f>E5*0.27</f>
        <v>0</v>
      </c>
      <c r="G5" s="3">
        <f>SUM(E5:F5)</f>
        <v>0</v>
      </c>
      <c r="H5" s="17"/>
      <c r="I5" s="1"/>
      <c r="J5" s="1"/>
      <c r="K5" s="25">
        <f>H5*I5*J5</f>
        <v>0</v>
      </c>
      <c r="L5" s="25"/>
      <c r="M5" s="3">
        <f>SUM(K5:L5)</f>
        <v>0</v>
      </c>
    </row>
    <row r="6" spans="1:13" ht="15.75" x14ac:dyDescent="0.25">
      <c r="A6" s="1" t="s">
        <v>459</v>
      </c>
      <c r="B6" s="17"/>
      <c r="C6" s="1"/>
      <c r="D6" s="1"/>
      <c r="E6" s="25">
        <f>B6*C6*D6</f>
        <v>0</v>
      </c>
      <c r="F6" s="25">
        <f>E6*0.27</f>
        <v>0</v>
      </c>
      <c r="G6" s="3">
        <f>SUM(E6:F6)</f>
        <v>0</v>
      </c>
      <c r="H6" s="17">
        <v>37</v>
      </c>
      <c r="I6" s="1">
        <v>220</v>
      </c>
      <c r="J6" s="1">
        <v>550</v>
      </c>
      <c r="K6" s="25">
        <f>H6*I6*J6</f>
        <v>4477000</v>
      </c>
      <c r="L6" s="25">
        <f>K6*0.27</f>
        <v>1208790</v>
      </c>
      <c r="M6" s="3">
        <f>SUM(K6:L6)</f>
        <v>5685790</v>
      </c>
    </row>
    <row r="7" spans="1:13" ht="15.75" x14ac:dyDescent="0.25">
      <c r="A7" s="18" t="s">
        <v>30</v>
      </c>
      <c r="B7" s="10">
        <f>SUM(B4:B6)</f>
        <v>0</v>
      </c>
      <c r="C7" s="18"/>
      <c r="D7" s="18"/>
      <c r="E7" s="26">
        <f>SUM(E4:E6)</f>
        <v>0</v>
      </c>
      <c r="F7" s="26">
        <f>SUM(F4:F6)</f>
        <v>0</v>
      </c>
      <c r="G7" s="2">
        <f>SUM(G4:G6)</f>
        <v>0</v>
      </c>
      <c r="H7" s="10">
        <f>SUM(H4:H6)</f>
        <v>54</v>
      </c>
      <c r="I7" s="18"/>
      <c r="J7" s="18"/>
      <c r="K7" s="26">
        <f>SUM(K4:K6)</f>
        <v>6532503</v>
      </c>
      <c r="L7" s="26">
        <v>1763776</v>
      </c>
      <c r="M7" s="2">
        <f>SUM(M4:M6)</f>
        <v>8296279</v>
      </c>
    </row>
    <row r="8" spans="1:13" ht="15.75" x14ac:dyDescent="0.25">
      <c r="A8" s="1"/>
      <c r="B8" s="17"/>
      <c r="C8" s="1"/>
      <c r="D8" s="1"/>
      <c r="E8" s="1"/>
      <c r="F8" s="1"/>
      <c r="G8" s="3"/>
      <c r="H8" s="17"/>
      <c r="I8" s="1"/>
      <c r="J8" s="1"/>
      <c r="K8" s="1"/>
      <c r="L8" s="1"/>
      <c r="M8" s="3"/>
    </row>
    <row r="9" spans="1:13" ht="15.75" x14ac:dyDescent="0.25">
      <c r="A9" s="1" t="s">
        <v>461</v>
      </c>
      <c r="B9" s="17"/>
      <c r="C9" s="1"/>
      <c r="D9" s="1"/>
      <c r="E9" s="25">
        <f>B9*C9*D9</f>
        <v>0</v>
      </c>
      <c r="F9" s="25">
        <f>E9*0.27</f>
        <v>0</v>
      </c>
      <c r="G9" s="3">
        <f>SUM(E9:F9)</f>
        <v>0</v>
      </c>
      <c r="H9" s="17">
        <v>38</v>
      </c>
      <c r="I9" s="1">
        <v>185</v>
      </c>
      <c r="J9" s="1">
        <v>567</v>
      </c>
      <c r="K9" s="25">
        <v>3985663</v>
      </c>
      <c r="L9" s="25">
        <f>K9*0.27</f>
        <v>1076129.01</v>
      </c>
      <c r="M9" s="3">
        <f>SUM(K9:L9)</f>
        <v>5061792.01</v>
      </c>
    </row>
    <row r="10" spans="1:13" ht="15.75" x14ac:dyDescent="0.25">
      <c r="A10" s="1" t="s">
        <v>462</v>
      </c>
      <c r="B10" s="17"/>
      <c r="C10" s="1"/>
      <c r="D10" s="1"/>
      <c r="E10" s="25">
        <f>B10*C10*D10</f>
        <v>0</v>
      </c>
      <c r="F10" s="25">
        <f>E10*0.27</f>
        <v>0</v>
      </c>
      <c r="G10" s="3">
        <f>SUM(E10:F10)</f>
        <v>0</v>
      </c>
      <c r="H10" s="17">
        <v>50</v>
      </c>
      <c r="I10" s="1">
        <v>185</v>
      </c>
      <c r="J10" s="1">
        <v>470</v>
      </c>
      <c r="K10" s="25">
        <f>H10*I10*J10</f>
        <v>4347500</v>
      </c>
      <c r="L10" s="25">
        <f>K10*0.27</f>
        <v>1173825</v>
      </c>
      <c r="M10" s="3">
        <f>SUM(K10:L10)</f>
        <v>5521325</v>
      </c>
    </row>
    <row r="11" spans="1:13" ht="15.75" x14ac:dyDescent="0.25">
      <c r="A11" s="1" t="s">
        <v>31</v>
      </c>
      <c r="B11" s="17"/>
      <c r="C11" s="1"/>
      <c r="D11" s="1"/>
      <c r="E11" s="25">
        <f>B11*C11*D11</f>
        <v>0</v>
      </c>
      <c r="F11" s="25">
        <f>E11*0.27</f>
        <v>0</v>
      </c>
      <c r="G11" s="3">
        <f>SUM(E11:F11)</f>
        <v>0</v>
      </c>
      <c r="H11" s="17"/>
      <c r="I11" s="1"/>
      <c r="J11" s="1"/>
      <c r="K11" s="25">
        <f>H11*I11*J11</f>
        <v>0</v>
      </c>
      <c r="L11" s="25">
        <f>K11*0.27</f>
        <v>0</v>
      </c>
      <c r="M11" s="3">
        <f>SUM(K11:L11)</f>
        <v>0</v>
      </c>
    </row>
    <row r="12" spans="1:13" ht="15.75" x14ac:dyDescent="0.25">
      <c r="A12" s="1" t="s">
        <v>32</v>
      </c>
      <c r="B12" s="17"/>
      <c r="C12" s="1"/>
      <c r="D12" s="1"/>
      <c r="E12" s="25">
        <f>B12*C12*D12</f>
        <v>0</v>
      </c>
      <c r="F12" s="25">
        <f>E12*0.27</f>
        <v>0</v>
      </c>
      <c r="G12" s="3">
        <f>SUM(E12:F12)</f>
        <v>0</v>
      </c>
      <c r="H12" s="17"/>
      <c r="I12" s="1"/>
      <c r="J12" s="1"/>
      <c r="K12" s="25">
        <f>H12*I12*J12</f>
        <v>0</v>
      </c>
      <c r="L12" s="25">
        <f>K12*0.27</f>
        <v>0</v>
      </c>
      <c r="M12" s="3">
        <f>SUM(K12:L12)</f>
        <v>0</v>
      </c>
    </row>
    <row r="13" spans="1:13" ht="15.75" x14ac:dyDescent="0.25">
      <c r="A13" s="18" t="s">
        <v>33</v>
      </c>
      <c r="B13" s="10">
        <f>SUM(B9:B12)</f>
        <v>0</v>
      </c>
      <c r="C13" s="18"/>
      <c r="D13" s="18"/>
      <c r="E13" s="26">
        <f>SUM(E9:E12)</f>
        <v>0</v>
      </c>
      <c r="F13" s="26">
        <f>SUM(F9:F12)</f>
        <v>0</v>
      </c>
      <c r="G13" s="2">
        <f>SUM(G9:G12)</f>
        <v>0</v>
      </c>
      <c r="H13" s="10">
        <f>SUM(H9:H12)</f>
        <v>88</v>
      </c>
      <c r="I13" s="18"/>
      <c r="J13" s="18"/>
      <c r="K13" s="26">
        <f>SUM(K9:K12)</f>
        <v>8333163</v>
      </c>
      <c r="L13" s="26">
        <f>SUM(L9:L12)</f>
        <v>2249954.0099999998</v>
      </c>
      <c r="M13" s="2">
        <f>SUM(M9:M12)</f>
        <v>10583117.01</v>
      </c>
    </row>
    <row r="14" spans="1:13" ht="15.75" x14ac:dyDescent="0.25">
      <c r="A14" s="1"/>
      <c r="B14" s="17"/>
      <c r="C14" s="1"/>
      <c r="D14" s="1"/>
      <c r="E14" s="1"/>
      <c r="F14" s="1"/>
      <c r="G14" s="3"/>
      <c r="H14" s="17"/>
      <c r="I14" s="1"/>
      <c r="J14" s="1"/>
      <c r="K14" s="1"/>
      <c r="L14" s="1"/>
      <c r="M14" s="3"/>
    </row>
    <row r="15" spans="1:13" ht="15.75" hidden="1" x14ac:dyDescent="0.25">
      <c r="A15" s="1" t="s">
        <v>51</v>
      </c>
      <c r="B15" s="17"/>
      <c r="C15" s="1"/>
      <c r="D15" s="1"/>
      <c r="E15" s="25">
        <f>B15*C15*D15</f>
        <v>0</v>
      </c>
      <c r="F15" s="25">
        <f>E15*0.27</f>
        <v>0</v>
      </c>
      <c r="G15" s="3">
        <f>SUM(E15:F15)</f>
        <v>0</v>
      </c>
      <c r="H15" s="17"/>
      <c r="I15" s="1"/>
      <c r="J15" s="1"/>
      <c r="K15" s="25">
        <f>H15*I15*J15</f>
        <v>0</v>
      </c>
      <c r="L15" s="25">
        <f>K15*0.27</f>
        <v>0</v>
      </c>
      <c r="M15" s="3">
        <f>SUM(K15:L15)</f>
        <v>0</v>
      </c>
    </row>
    <row r="16" spans="1:13" ht="15.75" hidden="1" x14ac:dyDescent="0.25">
      <c r="A16" s="18" t="s">
        <v>52</v>
      </c>
      <c r="B16" s="10">
        <f>SUM(B15)</f>
        <v>0</v>
      </c>
      <c r="C16" s="10">
        <f>SUM(C15)</f>
        <v>0</v>
      </c>
      <c r="D16" s="10">
        <f>SUM(D15)</f>
        <v>0</v>
      </c>
      <c r="E16" s="8">
        <f>SUM(E15)</f>
        <v>0</v>
      </c>
      <c r="F16" s="8">
        <f>SUM(F15)</f>
        <v>0</v>
      </c>
      <c r="G16" s="2">
        <f>SUM(E16:F16)</f>
        <v>0</v>
      </c>
      <c r="H16" s="10">
        <f>SUM(H15)</f>
        <v>0</v>
      </c>
      <c r="I16" s="10">
        <f>SUM(I15)</f>
        <v>0</v>
      </c>
      <c r="J16" s="10">
        <f>SUM(J15)</f>
        <v>0</v>
      </c>
      <c r="K16" s="4">
        <f>SUM(K15)</f>
        <v>0</v>
      </c>
      <c r="L16" s="8">
        <f>SUM(L15)</f>
        <v>0</v>
      </c>
      <c r="M16" s="2">
        <f>SUM(K16:L16)</f>
        <v>0</v>
      </c>
    </row>
    <row r="17" spans="1:13" ht="15.75" hidden="1" x14ac:dyDescent="0.25">
      <c r="A17" s="1"/>
      <c r="B17" s="17"/>
      <c r="C17" s="1"/>
      <c r="D17" s="1"/>
      <c r="E17" s="1"/>
      <c r="F17" s="1"/>
      <c r="G17" s="3"/>
      <c r="H17" s="17"/>
      <c r="I17" s="1"/>
      <c r="J17" s="1"/>
      <c r="K17" s="1"/>
      <c r="L17" s="1"/>
      <c r="M17" s="3"/>
    </row>
    <row r="18" spans="1:13" ht="15.75" hidden="1" x14ac:dyDescent="0.25">
      <c r="A18" s="19" t="s">
        <v>34</v>
      </c>
      <c r="B18" s="17"/>
      <c r="C18" s="1"/>
      <c r="D18" s="1"/>
      <c r="E18" s="1"/>
      <c r="F18" s="1"/>
      <c r="G18" s="3"/>
      <c r="H18" s="17"/>
      <c r="I18" s="1"/>
      <c r="J18" s="1"/>
      <c r="K18" s="1"/>
      <c r="L18" s="1"/>
      <c r="M18" s="3"/>
    </row>
    <row r="19" spans="1:13" ht="15.75" hidden="1" x14ac:dyDescent="0.25">
      <c r="A19" s="1" t="s">
        <v>35</v>
      </c>
      <c r="B19" s="17"/>
      <c r="C19" s="33"/>
      <c r="D19" s="1"/>
      <c r="E19" s="25">
        <f>B19*C19*D19</f>
        <v>0</v>
      </c>
      <c r="F19" s="25">
        <f>E19*0.27</f>
        <v>0</v>
      </c>
      <c r="G19" s="3">
        <f>SUM(E19:F19)</f>
        <v>0</v>
      </c>
      <c r="H19" s="17"/>
      <c r="I19" s="33"/>
      <c r="J19" s="1"/>
      <c r="K19" s="25">
        <f>H19*I19*J19</f>
        <v>0</v>
      </c>
      <c r="L19" s="25">
        <f>K19*0.27</f>
        <v>0</v>
      </c>
      <c r="M19" s="3">
        <f>SUM(K19:L19)</f>
        <v>0</v>
      </c>
    </row>
    <row r="20" spans="1:13" ht="15.75" hidden="1" x14ac:dyDescent="0.25">
      <c r="A20" s="1" t="s">
        <v>36</v>
      </c>
      <c r="B20" s="17"/>
      <c r="C20" s="1"/>
      <c r="D20" s="1"/>
      <c r="E20" s="25">
        <f>B20*C20*D20</f>
        <v>0</v>
      </c>
      <c r="F20" s="25">
        <f>E20*0.27</f>
        <v>0</v>
      </c>
      <c r="G20" s="3">
        <f>SUM(E20:F20)</f>
        <v>0</v>
      </c>
      <c r="H20" s="17"/>
      <c r="I20" s="1"/>
      <c r="J20" s="1"/>
      <c r="K20" s="25">
        <f>H20*I20*J20</f>
        <v>0</v>
      </c>
      <c r="L20" s="25">
        <f>K20*0.27</f>
        <v>0</v>
      </c>
      <c r="M20" s="3">
        <f>SUM(K20:L20)</f>
        <v>0</v>
      </c>
    </row>
    <row r="21" spans="1:13" ht="15.75" hidden="1" x14ac:dyDescent="0.25">
      <c r="A21" s="18" t="s">
        <v>37</v>
      </c>
      <c r="B21" s="10">
        <f>SUM(B19:B20)</f>
        <v>0</v>
      </c>
      <c r="C21" s="18"/>
      <c r="D21" s="18"/>
      <c r="E21" s="26">
        <f>SUM(E19:E20)</f>
        <v>0</v>
      </c>
      <c r="F21" s="26">
        <f>SUM(F19:F20)</f>
        <v>0</v>
      </c>
      <c r="G21" s="2">
        <f>SUM(E21:F21)</f>
        <v>0</v>
      </c>
      <c r="H21" s="10">
        <f>SUM(H19:H20)</f>
        <v>0</v>
      </c>
      <c r="I21" s="18"/>
      <c r="J21" s="18"/>
      <c r="K21" s="26">
        <f>SUM(K19:K20)</f>
        <v>0</v>
      </c>
      <c r="L21" s="26">
        <f>SUM(L19:L20)</f>
        <v>0</v>
      </c>
      <c r="M21" s="2">
        <f>SUM(K21:L21)</f>
        <v>0</v>
      </c>
    </row>
    <row r="22" spans="1:13" ht="15.75" hidden="1" x14ac:dyDescent="0.25">
      <c r="A22" s="20"/>
      <c r="B22" s="21"/>
      <c r="C22" s="20"/>
      <c r="D22" s="20"/>
      <c r="E22" s="27"/>
      <c r="F22" s="27"/>
      <c r="G22" s="22"/>
      <c r="H22" s="21"/>
      <c r="I22" s="20"/>
      <c r="J22" s="20"/>
      <c r="K22" s="27"/>
      <c r="L22" s="27"/>
      <c r="M22" s="22"/>
    </row>
    <row r="23" spans="1:13" ht="15.75" hidden="1" x14ac:dyDescent="0.25">
      <c r="A23" s="18" t="s">
        <v>5</v>
      </c>
      <c r="B23" s="10">
        <v>0</v>
      </c>
      <c r="C23" s="18">
        <v>0</v>
      </c>
      <c r="D23" s="18">
        <v>0</v>
      </c>
      <c r="E23" s="26">
        <f>B23*C23*D23</f>
        <v>0</v>
      </c>
      <c r="F23" s="26">
        <f>E23*0.2</f>
        <v>0</v>
      </c>
      <c r="G23" s="2">
        <f>SUM(E23:F23)</f>
        <v>0</v>
      </c>
      <c r="H23" s="10"/>
      <c r="I23" s="18"/>
      <c r="J23" s="18"/>
      <c r="K23" s="26">
        <f>H23*I23*J23</f>
        <v>0</v>
      </c>
      <c r="L23" s="26">
        <f>K23*0.2</f>
        <v>0</v>
      </c>
      <c r="M23" s="2">
        <f>SUM(K23:L23)</f>
        <v>0</v>
      </c>
    </row>
    <row r="24" spans="1:13" ht="15.75" x14ac:dyDescent="0.25">
      <c r="A24" s="89" t="s">
        <v>38</v>
      </c>
      <c r="B24" s="2">
        <f>SUM(B7,B13,B21,B23,B16)</f>
        <v>0</v>
      </c>
      <c r="C24" s="2"/>
      <c r="D24" s="2"/>
      <c r="E24" s="2">
        <f>SUM(E7,E13,E21,E23,E16)</f>
        <v>0</v>
      </c>
      <c r="F24" s="2">
        <f>SUM(F7,F13,F21,F23,F16)</f>
        <v>0</v>
      </c>
      <c r="G24" s="2">
        <f>SUM(G7,G13,G21,G23,G16)</f>
        <v>0</v>
      </c>
      <c r="H24" s="2">
        <f>SUM(H7,H13,H21,H23,H16)</f>
        <v>142</v>
      </c>
      <c r="I24" s="2"/>
      <c r="J24" s="2"/>
      <c r="K24" s="2">
        <f>SUM(K7,K13,K21,K23,K16)</f>
        <v>14865666</v>
      </c>
      <c r="L24" s="2">
        <f>SUM(L7,L13,L21,L23,L16)</f>
        <v>4013730.01</v>
      </c>
      <c r="M24" s="2">
        <f>SUM(M7,M13,M21,M23,M16)</f>
        <v>18879396.009999998</v>
      </c>
    </row>
    <row r="25" spans="1:13" ht="15.75" x14ac:dyDescent="0.25">
      <c r="A25" s="1"/>
      <c r="B25" s="17"/>
      <c r="C25" s="1"/>
      <c r="D25" s="1"/>
      <c r="E25" s="1"/>
      <c r="F25" s="1"/>
      <c r="G25" s="3"/>
      <c r="H25" s="85" t="s">
        <v>70</v>
      </c>
      <c r="I25" s="86" t="s">
        <v>464</v>
      </c>
      <c r="J25" s="86" t="s">
        <v>9</v>
      </c>
      <c r="K25" s="86" t="s">
        <v>71</v>
      </c>
      <c r="L25" s="86"/>
      <c r="M25" s="87"/>
    </row>
    <row r="26" spans="1:13" ht="15.75" x14ac:dyDescent="0.25">
      <c r="A26" s="19" t="s">
        <v>519</v>
      </c>
      <c r="B26" s="17"/>
      <c r="C26" s="1"/>
      <c r="D26" s="1"/>
      <c r="E26" s="1"/>
      <c r="F26" s="1"/>
      <c r="G26" s="3"/>
      <c r="H26" s="17"/>
      <c r="I26" s="1"/>
      <c r="J26" s="1"/>
      <c r="K26" s="1"/>
      <c r="L26" s="1"/>
      <c r="M26" s="3"/>
    </row>
    <row r="27" spans="1:13" ht="15.75" x14ac:dyDescent="0.25">
      <c r="A27" s="1" t="s">
        <v>463</v>
      </c>
      <c r="B27" s="17"/>
      <c r="C27" s="1"/>
      <c r="D27" s="1"/>
      <c r="E27" s="25">
        <f>B27*C27*D27</f>
        <v>0</v>
      </c>
      <c r="F27" s="25">
        <f t="shared" ref="F27:F32" si="0">E27*0.27</f>
        <v>0</v>
      </c>
      <c r="G27" s="3">
        <f t="shared" ref="G27:G33" si="1">SUM(E27:F27)</f>
        <v>0</v>
      </c>
      <c r="H27" s="17">
        <v>17</v>
      </c>
      <c r="I27" s="1">
        <v>220</v>
      </c>
      <c r="J27" s="1">
        <v>390</v>
      </c>
      <c r="K27" s="25">
        <v>1462938</v>
      </c>
      <c r="L27" s="25"/>
      <c r="M27" s="3">
        <v>1462938</v>
      </c>
    </row>
    <row r="28" spans="1:13" ht="15.75" x14ac:dyDescent="0.25">
      <c r="A28" s="23" t="s">
        <v>511</v>
      </c>
      <c r="B28" s="17"/>
      <c r="C28" s="1"/>
      <c r="D28" s="1"/>
      <c r="E28" s="25">
        <f>B28*C28*D28</f>
        <v>0</v>
      </c>
      <c r="F28" s="25">
        <f t="shared" si="0"/>
        <v>0</v>
      </c>
      <c r="G28" s="3">
        <f t="shared" si="1"/>
        <v>0</v>
      </c>
      <c r="H28" s="17">
        <v>37</v>
      </c>
      <c r="I28" s="1">
        <v>220</v>
      </c>
      <c r="J28" s="1">
        <v>0</v>
      </c>
      <c r="K28" s="25">
        <f>H28*I28*J28</f>
        <v>0</v>
      </c>
      <c r="L28" s="25"/>
      <c r="M28" s="3">
        <f>K28*0.8</f>
        <v>0</v>
      </c>
    </row>
    <row r="29" spans="1:13" ht="15.75" hidden="1" x14ac:dyDescent="0.25">
      <c r="A29" s="23" t="s">
        <v>43</v>
      </c>
      <c r="B29" s="17"/>
      <c r="C29" s="1"/>
      <c r="D29" s="1"/>
      <c r="E29" s="25">
        <f>B29*C29*D29</f>
        <v>0</v>
      </c>
      <c r="F29" s="25">
        <f t="shared" si="0"/>
        <v>0</v>
      </c>
      <c r="G29" s="3">
        <f t="shared" si="1"/>
        <v>0</v>
      </c>
      <c r="H29" s="17"/>
      <c r="I29" s="1"/>
      <c r="J29" s="1"/>
      <c r="K29" s="25"/>
      <c r="L29" s="25"/>
      <c r="M29" s="3"/>
    </row>
    <row r="30" spans="1:13" ht="15.75" hidden="1" x14ac:dyDescent="0.25">
      <c r="A30" s="23" t="s">
        <v>44</v>
      </c>
      <c r="B30" s="17"/>
      <c r="C30" s="1"/>
      <c r="D30" s="1"/>
      <c r="E30" s="25">
        <f>B30*C30*D30</f>
        <v>0</v>
      </c>
      <c r="F30" s="25">
        <f t="shared" si="0"/>
        <v>0</v>
      </c>
      <c r="G30" s="3">
        <f t="shared" si="1"/>
        <v>0</v>
      </c>
      <c r="H30" s="17"/>
      <c r="I30" s="1"/>
      <c r="J30" s="1"/>
      <c r="K30" s="25"/>
      <c r="L30" s="25"/>
      <c r="M30" s="3"/>
    </row>
    <row r="31" spans="1:13" ht="15.75" hidden="1" x14ac:dyDescent="0.25">
      <c r="A31" s="23"/>
      <c r="B31" s="17"/>
      <c r="C31" s="1"/>
      <c r="D31" s="1"/>
      <c r="E31" s="25">
        <f>B31*C31*D31</f>
        <v>0</v>
      </c>
      <c r="F31" s="25">
        <f t="shared" si="0"/>
        <v>0</v>
      </c>
      <c r="G31" s="3">
        <f t="shared" si="1"/>
        <v>0</v>
      </c>
      <c r="H31" s="17"/>
      <c r="I31" s="1"/>
      <c r="J31" s="1"/>
      <c r="K31" s="25"/>
      <c r="L31" s="25"/>
      <c r="M31" s="3"/>
    </row>
    <row r="32" spans="1:13" ht="15.75" hidden="1" x14ac:dyDescent="0.25">
      <c r="A32" s="1" t="s">
        <v>46</v>
      </c>
      <c r="B32" s="17"/>
      <c r="C32" s="1"/>
      <c r="D32" s="1"/>
      <c r="E32" s="25"/>
      <c r="F32" s="25">
        <f t="shared" si="0"/>
        <v>0</v>
      </c>
      <c r="G32" s="3">
        <f t="shared" si="1"/>
        <v>0</v>
      </c>
      <c r="H32" s="17"/>
      <c r="I32" s="1"/>
      <c r="J32" s="1"/>
      <c r="K32" s="25"/>
      <c r="L32" s="25"/>
      <c r="M32" s="3"/>
    </row>
    <row r="33" spans="1:13" ht="15.75" hidden="1" x14ac:dyDescent="0.25">
      <c r="A33" s="1" t="s">
        <v>45</v>
      </c>
      <c r="B33" s="17"/>
      <c r="C33" s="1"/>
      <c r="D33" s="1"/>
      <c r="E33" s="25"/>
      <c r="F33" s="25">
        <f>B33*C33*D33*0.25</f>
        <v>0</v>
      </c>
      <c r="G33" s="3">
        <f t="shared" si="1"/>
        <v>0</v>
      </c>
      <c r="H33" s="17"/>
      <c r="I33" s="1"/>
      <c r="J33" s="1"/>
      <c r="K33" s="25"/>
      <c r="L33" s="25"/>
      <c r="M33" s="3"/>
    </row>
    <row r="34" spans="1:13" ht="15.75" x14ac:dyDescent="0.25">
      <c r="A34" s="1" t="s">
        <v>39</v>
      </c>
      <c r="B34" s="10">
        <f>SUM(B27:B33)</f>
        <v>0</v>
      </c>
      <c r="C34" s="18"/>
      <c r="D34" s="18"/>
      <c r="E34" s="28">
        <f>SUM(E27:E33)</f>
        <v>0</v>
      </c>
      <c r="F34" s="28">
        <f>SUM(F27:F33)</f>
        <v>0</v>
      </c>
      <c r="G34" s="2">
        <f>SUM(G27:G33)</f>
        <v>0</v>
      </c>
      <c r="H34" s="10">
        <f>SUM(H27:H33)</f>
        <v>54</v>
      </c>
      <c r="I34" s="18"/>
      <c r="J34" s="18"/>
      <c r="K34" s="28">
        <f>SUM(K27:K33)</f>
        <v>1462938</v>
      </c>
      <c r="L34" s="28"/>
      <c r="M34" s="2">
        <f>SUM(M27:M33)</f>
        <v>1462938</v>
      </c>
    </row>
    <row r="35" spans="1:13" ht="15.75" x14ac:dyDescent="0.25">
      <c r="A35" s="19" t="s">
        <v>520</v>
      </c>
      <c r="B35" s="17"/>
      <c r="C35" s="1"/>
      <c r="D35" s="1"/>
      <c r="E35" s="25"/>
      <c r="F35" s="25"/>
      <c r="G35" s="3"/>
      <c r="H35" s="17"/>
      <c r="I35" s="1"/>
      <c r="J35" s="1"/>
      <c r="K35" s="25"/>
      <c r="L35" s="25"/>
      <c r="M35" s="3"/>
    </row>
    <row r="36" spans="1:13" ht="15.75" x14ac:dyDescent="0.25">
      <c r="A36" s="1" t="s">
        <v>465</v>
      </c>
      <c r="B36" s="17"/>
      <c r="C36" s="1"/>
      <c r="D36" s="1"/>
      <c r="E36" s="25">
        <f t="shared" ref="E36:E43" si="2">B36*C36*D36</f>
        <v>0</v>
      </c>
      <c r="F36" s="25">
        <f t="shared" ref="F36:F43" si="3">E36*0.27</f>
        <v>0</v>
      </c>
      <c r="G36" s="3">
        <f t="shared" ref="G36:G44" si="4">SUM(E36:F36)</f>
        <v>0</v>
      </c>
      <c r="H36" s="17"/>
      <c r="I36" s="1"/>
      <c r="J36" s="1"/>
      <c r="K36" s="25"/>
      <c r="L36" s="25"/>
      <c r="M36" s="3">
        <f t="shared" ref="M36:M44" si="5">SUM(K36:L36)</f>
        <v>0</v>
      </c>
    </row>
    <row r="37" spans="1:13" ht="15.75" x14ac:dyDescent="0.25">
      <c r="A37" s="1" t="s">
        <v>466</v>
      </c>
      <c r="B37" s="17"/>
      <c r="C37" s="1"/>
      <c r="D37" s="1"/>
      <c r="E37" s="25">
        <f t="shared" si="2"/>
        <v>0</v>
      </c>
      <c r="F37" s="25">
        <f t="shared" si="3"/>
        <v>0</v>
      </c>
      <c r="G37" s="3">
        <f t="shared" si="4"/>
        <v>0</v>
      </c>
      <c r="H37" s="17">
        <v>29</v>
      </c>
      <c r="I37" s="1">
        <v>185</v>
      </c>
      <c r="J37" s="1">
        <v>337</v>
      </c>
      <c r="K37" s="25">
        <v>1810423</v>
      </c>
      <c r="L37" s="25">
        <v>488814</v>
      </c>
      <c r="M37" s="3">
        <v>2299237</v>
      </c>
    </row>
    <row r="38" spans="1:13" ht="15.75" x14ac:dyDescent="0.25">
      <c r="A38" s="1" t="s">
        <v>467</v>
      </c>
      <c r="B38" s="17"/>
      <c r="C38" s="1"/>
      <c r="D38" s="1"/>
      <c r="E38" s="25">
        <f t="shared" si="2"/>
        <v>0</v>
      </c>
      <c r="F38" s="25">
        <f t="shared" si="3"/>
        <v>0</v>
      </c>
      <c r="G38" s="3">
        <f t="shared" si="4"/>
        <v>0</v>
      </c>
      <c r="H38" s="17">
        <v>4</v>
      </c>
      <c r="I38" s="1">
        <v>185</v>
      </c>
      <c r="J38" s="1">
        <v>169</v>
      </c>
      <c r="K38" s="25">
        <v>124693</v>
      </c>
      <c r="L38" s="25">
        <v>33667</v>
      </c>
      <c r="M38" s="3">
        <v>158360</v>
      </c>
    </row>
    <row r="39" spans="1:13" ht="15.75" x14ac:dyDescent="0.25">
      <c r="A39" s="1" t="s">
        <v>468</v>
      </c>
      <c r="B39" s="17"/>
      <c r="C39" s="1"/>
      <c r="D39" s="1"/>
      <c r="E39" s="25">
        <f t="shared" si="2"/>
        <v>0</v>
      </c>
      <c r="F39" s="25">
        <f t="shared" si="3"/>
        <v>0</v>
      </c>
      <c r="G39" s="3">
        <f t="shared" si="4"/>
        <v>0</v>
      </c>
      <c r="H39" s="17">
        <v>5</v>
      </c>
      <c r="I39" s="1">
        <v>185</v>
      </c>
      <c r="J39" s="1">
        <v>0</v>
      </c>
      <c r="K39" s="25">
        <f>H39*I39*J39</f>
        <v>0</v>
      </c>
      <c r="L39" s="25"/>
      <c r="M39" s="3">
        <f t="shared" si="5"/>
        <v>0</v>
      </c>
    </row>
    <row r="40" spans="1:13" ht="15.75" x14ac:dyDescent="0.25">
      <c r="A40" s="1"/>
      <c r="B40" s="17"/>
      <c r="C40" s="1"/>
      <c r="D40" s="1"/>
      <c r="E40" s="25">
        <f t="shared" si="2"/>
        <v>0</v>
      </c>
      <c r="F40" s="25">
        <f t="shared" si="3"/>
        <v>0</v>
      </c>
      <c r="G40" s="3">
        <f t="shared" si="4"/>
        <v>0</v>
      </c>
      <c r="H40" s="17"/>
      <c r="I40" s="1"/>
      <c r="J40" s="1"/>
      <c r="K40" s="25"/>
      <c r="L40" s="25"/>
      <c r="M40" s="3"/>
    </row>
    <row r="41" spans="1:13" ht="15.75" x14ac:dyDescent="0.25">
      <c r="A41" s="1" t="s">
        <v>469</v>
      </c>
      <c r="B41" s="17"/>
      <c r="C41" s="1"/>
      <c r="D41" s="1"/>
      <c r="E41" s="25">
        <f t="shared" si="2"/>
        <v>0</v>
      </c>
      <c r="F41" s="25">
        <f t="shared" si="3"/>
        <v>0</v>
      </c>
      <c r="G41" s="3">
        <f t="shared" si="4"/>
        <v>0</v>
      </c>
      <c r="H41" s="17"/>
      <c r="I41" s="1"/>
      <c r="J41" s="1"/>
      <c r="K41" s="25"/>
      <c r="L41" s="25"/>
      <c r="M41" s="3">
        <f t="shared" si="5"/>
        <v>0</v>
      </c>
    </row>
    <row r="42" spans="1:13" ht="15.75" x14ac:dyDescent="0.25">
      <c r="A42" s="1" t="s">
        <v>470</v>
      </c>
      <c r="B42" s="17"/>
      <c r="C42" s="1"/>
      <c r="D42" s="1"/>
      <c r="E42" s="25">
        <f t="shared" si="2"/>
        <v>0</v>
      </c>
      <c r="F42" s="25">
        <f t="shared" si="3"/>
        <v>0</v>
      </c>
      <c r="G42" s="3">
        <f t="shared" si="4"/>
        <v>0</v>
      </c>
      <c r="H42" s="17">
        <v>36</v>
      </c>
      <c r="I42" s="1">
        <v>185</v>
      </c>
      <c r="J42" s="1">
        <v>255</v>
      </c>
      <c r="K42" s="25">
        <v>1701505</v>
      </c>
      <c r="L42" s="25">
        <v>459406</v>
      </c>
      <c r="M42" s="3">
        <v>2160911</v>
      </c>
    </row>
    <row r="43" spans="1:13" ht="15.75" x14ac:dyDescent="0.25">
      <c r="A43" s="88" t="s">
        <v>471</v>
      </c>
      <c r="B43" s="17"/>
      <c r="C43" s="1"/>
      <c r="D43" s="1"/>
      <c r="E43" s="25">
        <f t="shared" si="2"/>
        <v>0</v>
      </c>
      <c r="F43" s="25">
        <f t="shared" si="3"/>
        <v>0</v>
      </c>
      <c r="G43" s="3">
        <f t="shared" si="4"/>
        <v>0</v>
      </c>
      <c r="H43" s="17">
        <v>10</v>
      </c>
      <c r="I43" s="1">
        <v>185</v>
      </c>
      <c r="J43" s="1">
        <v>128</v>
      </c>
      <c r="K43" s="25">
        <v>235984</v>
      </c>
      <c r="L43" s="25">
        <v>63716</v>
      </c>
      <c r="M43" s="3">
        <v>299700</v>
      </c>
    </row>
    <row r="44" spans="1:13" ht="15.75" x14ac:dyDescent="0.25">
      <c r="A44" s="1" t="s">
        <v>472</v>
      </c>
      <c r="B44" s="17"/>
      <c r="C44" s="1"/>
      <c r="D44" s="1"/>
      <c r="E44" s="25"/>
      <c r="F44" s="25"/>
      <c r="G44" s="3">
        <f t="shared" si="4"/>
        <v>0</v>
      </c>
      <c r="H44" s="17">
        <v>4</v>
      </c>
      <c r="I44" s="1">
        <v>185</v>
      </c>
      <c r="J44" s="1">
        <v>0</v>
      </c>
      <c r="K44" s="25"/>
      <c r="L44" s="25"/>
      <c r="M44" s="3">
        <f t="shared" si="5"/>
        <v>0</v>
      </c>
    </row>
    <row r="45" spans="1:13" ht="15.75" x14ac:dyDescent="0.25">
      <c r="A45" s="18" t="s">
        <v>40</v>
      </c>
      <c r="B45" s="10">
        <f>SUM(B36:B44)</f>
        <v>0</v>
      </c>
      <c r="C45" s="18"/>
      <c r="D45" s="18"/>
      <c r="E45" s="26">
        <f>SUM(E36:E44)</f>
        <v>0</v>
      </c>
      <c r="F45" s="26">
        <f>SUM(F36:F44)</f>
        <v>0</v>
      </c>
      <c r="G45" s="2">
        <f>SUM(G36:G44)</f>
        <v>0</v>
      </c>
      <c r="H45" s="10">
        <f>SUM(H36:H44)</f>
        <v>88</v>
      </c>
      <c r="I45" s="18"/>
      <c r="J45" s="18"/>
      <c r="K45" s="26">
        <f>SUM(K36:K44)</f>
        <v>3872605</v>
      </c>
      <c r="L45" s="26">
        <f>SUM(L36:L44)</f>
        <v>1045603</v>
      </c>
      <c r="M45" s="2">
        <f>SUM(M36:M44)</f>
        <v>4918208</v>
      </c>
    </row>
    <row r="46" spans="1:13" ht="15.75" x14ac:dyDescent="0.25">
      <c r="A46" s="1"/>
      <c r="B46" s="17"/>
      <c r="C46" s="1"/>
      <c r="D46" s="1"/>
      <c r="E46" s="1"/>
      <c r="F46" s="1"/>
      <c r="G46" s="3"/>
      <c r="H46" s="17"/>
      <c r="I46" s="1"/>
      <c r="J46" s="1"/>
      <c r="K46" s="1"/>
      <c r="L46" s="1"/>
      <c r="M46" s="3"/>
    </row>
    <row r="47" spans="1:13" ht="15.75" hidden="1" x14ac:dyDescent="0.25">
      <c r="A47" s="1" t="s">
        <v>51</v>
      </c>
      <c r="B47" s="17"/>
      <c r="C47" s="1"/>
      <c r="D47" s="1"/>
      <c r="E47" s="25">
        <f>B47*C47*D47</f>
        <v>0</v>
      </c>
      <c r="F47" s="25">
        <f>E47*0.27</f>
        <v>0</v>
      </c>
      <c r="G47" s="3">
        <f t="shared" ref="G47:G52" si="6">SUM(E47:F47)</f>
        <v>0</v>
      </c>
      <c r="H47" s="17"/>
      <c r="I47" s="1"/>
      <c r="J47" s="1"/>
      <c r="K47" s="25">
        <f>H47*I47*J47</f>
        <v>0</v>
      </c>
      <c r="L47" s="25">
        <f>K47*0.27</f>
        <v>0</v>
      </c>
      <c r="M47" s="3">
        <f t="shared" ref="M47:M52" si="7">SUM(K47:L47)</f>
        <v>0</v>
      </c>
    </row>
    <row r="48" spans="1:13" ht="15.75" hidden="1" x14ac:dyDescent="0.25">
      <c r="A48" s="18" t="s">
        <v>49</v>
      </c>
      <c r="B48" s="10">
        <f>SUM(B47)</f>
        <v>0</v>
      </c>
      <c r="C48" s="10">
        <f>SUM(C47)</f>
        <v>0</v>
      </c>
      <c r="D48" s="10">
        <f>SUM(D47)</f>
        <v>0</v>
      </c>
      <c r="E48" s="8">
        <f>SUM(E47)</f>
        <v>0</v>
      </c>
      <c r="F48" s="8">
        <f>SUM(F47)</f>
        <v>0</v>
      </c>
      <c r="G48" s="2">
        <f t="shared" si="6"/>
        <v>0</v>
      </c>
      <c r="H48" s="10"/>
      <c r="I48" s="10">
        <f>SUM(I47)</f>
        <v>0</v>
      </c>
      <c r="J48" s="10">
        <f>SUM(J47)</f>
        <v>0</v>
      </c>
      <c r="K48" s="4">
        <f>SUM(K47)</f>
        <v>0</v>
      </c>
      <c r="L48" s="4">
        <f>SUM(L47)</f>
        <v>0</v>
      </c>
      <c r="M48" s="2">
        <f t="shared" si="7"/>
        <v>0</v>
      </c>
    </row>
    <row r="49" spans="1:13" ht="15.75" hidden="1" x14ac:dyDescent="0.25">
      <c r="A49" s="1"/>
      <c r="B49" s="17"/>
      <c r="C49" s="1"/>
      <c r="D49" s="1"/>
      <c r="E49" s="1"/>
      <c r="F49" s="1"/>
      <c r="G49" s="3">
        <f t="shared" si="6"/>
        <v>0</v>
      </c>
      <c r="H49" s="17"/>
      <c r="I49" s="1"/>
      <c r="J49" s="1"/>
      <c r="K49" s="1"/>
      <c r="L49" s="1"/>
      <c r="M49" s="3">
        <f t="shared" si="7"/>
        <v>0</v>
      </c>
    </row>
    <row r="50" spans="1:13" ht="15.75" hidden="1" x14ac:dyDescent="0.25">
      <c r="A50" s="19" t="s">
        <v>34</v>
      </c>
      <c r="B50" s="17"/>
      <c r="C50" s="1"/>
      <c r="D50" s="1"/>
      <c r="E50" s="1"/>
      <c r="F50" s="1"/>
      <c r="G50" s="3">
        <f t="shared" si="6"/>
        <v>0</v>
      </c>
      <c r="H50" s="17"/>
      <c r="I50" s="1"/>
      <c r="J50" s="1"/>
      <c r="K50" s="25">
        <f>H50*I50*J50</f>
        <v>0</v>
      </c>
      <c r="L50" s="25">
        <f>K50*0.27</f>
        <v>0</v>
      </c>
      <c r="M50" s="3">
        <f t="shared" si="7"/>
        <v>0</v>
      </c>
    </row>
    <row r="51" spans="1:13" ht="15.75" hidden="1" x14ac:dyDescent="0.25">
      <c r="A51" s="1" t="s">
        <v>35</v>
      </c>
      <c r="B51" s="17"/>
      <c r="C51" s="33"/>
      <c r="D51" s="1"/>
      <c r="E51" s="25">
        <f>B51*C51*D51</f>
        <v>0</v>
      </c>
      <c r="F51" s="25">
        <f>E51*0.27</f>
        <v>0</v>
      </c>
      <c r="G51" s="3">
        <f t="shared" si="6"/>
        <v>0</v>
      </c>
      <c r="H51" s="17"/>
      <c r="I51" s="29"/>
      <c r="J51" s="1"/>
      <c r="K51" s="25">
        <f>H51*I51*J51</f>
        <v>0</v>
      </c>
      <c r="L51" s="25">
        <f>K51*0.27</f>
        <v>0</v>
      </c>
      <c r="M51" s="3">
        <f t="shared" si="7"/>
        <v>0</v>
      </c>
    </row>
    <row r="52" spans="1:13" ht="15.75" hidden="1" x14ac:dyDescent="0.25">
      <c r="A52" s="1" t="s">
        <v>36</v>
      </c>
      <c r="B52" s="17"/>
      <c r="C52" s="1"/>
      <c r="D52" s="1"/>
      <c r="E52" s="25">
        <f>B52*C52*D52</f>
        <v>0</v>
      </c>
      <c r="F52" s="25">
        <f>E52*0.27</f>
        <v>0</v>
      </c>
      <c r="G52" s="3">
        <f t="shared" si="6"/>
        <v>0</v>
      </c>
      <c r="H52" s="17"/>
      <c r="I52" s="1"/>
      <c r="J52" s="1"/>
      <c r="K52" s="25">
        <f>H52*I52*J52</f>
        <v>0</v>
      </c>
      <c r="L52" s="25">
        <f>K52*0.27</f>
        <v>0</v>
      </c>
      <c r="M52" s="3">
        <f t="shared" si="7"/>
        <v>0</v>
      </c>
    </row>
    <row r="53" spans="1:13" ht="15.75" hidden="1" x14ac:dyDescent="0.25">
      <c r="A53" s="24" t="s">
        <v>41</v>
      </c>
      <c r="B53" s="10">
        <f>SUM(B51:B52)</f>
        <v>0</v>
      </c>
      <c r="C53" s="18"/>
      <c r="D53" s="18"/>
      <c r="E53" s="26">
        <f>SUM(E51:E52)</f>
        <v>0</v>
      </c>
      <c r="F53" s="26">
        <f>SUM(F51:F52)</f>
        <v>0</v>
      </c>
      <c r="G53" s="2">
        <f>SUM(G51:G52)</f>
        <v>0</v>
      </c>
      <c r="H53" s="10">
        <f>SUM(H51:H52)</f>
        <v>0</v>
      </c>
      <c r="I53" s="18"/>
      <c r="J53" s="18"/>
      <c r="K53" s="26">
        <f>SUM(K50:K52)</f>
        <v>0</v>
      </c>
      <c r="L53" s="26">
        <f>SUM(L50:L52)</f>
        <v>0</v>
      </c>
      <c r="M53" s="2">
        <f>SUM(M51:M52)</f>
        <v>0</v>
      </c>
    </row>
    <row r="54" spans="1:13" ht="15.75" hidden="1" x14ac:dyDescent="0.25">
      <c r="A54" s="24"/>
      <c r="B54" s="10"/>
      <c r="C54" s="18"/>
      <c r="D54" s="18"/>
      <c r="E54" s="26"/>
      <c r="F54" s="26"/>
      <c r="G54" s="2"/>
      <c r="H54" s="10"/>
      <c r="I54" s="18"/>
      <c r="J54" s="18"/>
      <c r="K54" s="26"/>
      <c r="L54" s="26"/>
      <c r="M54" s="2"/>
    </row>
    <row r="55" spans="1:13" ht="15.75" hidden="1" x14ac:dyDescent="0.25">
      <c r="A55" s="1"/>
      <c r="B55" s="17"/>
      <c r="C55" s="1"/>
      <c r="D55" s="1"/>
      <c r="E55" s="25">
        <f>B55*C55*D55</f>
        <v>0</v>
      </c>
      <c r="F55" s="25">
        <f>E55*0.27</f>
        <v>0</v>
      </c>
      <c r="G55" s="2">
        <f>SUM(E55+F55)</f>
        <v>0</v>
      </c>
      <c r="H55" s="17"/>
      <c r="I55" s="1"/>
      <c r="J55" s="1"/>
      <c r="K55" s="25">
        <f>H55*I55*J55</f>
        <v>0</v>
      </c>
      <c r="L55" s="25">
        <f>K55*0.27</f>
        <v>0</v>
      </c>
      <c r="M55" s="2">
        <f>SUM(K55+L55)</f>
        <v>0</v>
      </c>
    </row>
    <row r="56" spans="1:13" ht="15.75" hidden="1" x14ac:dyDescent="0.25">
      <c r="A56" s="18"/>
      <c r="B56" s="10"/>
      <c r="C56" s="18"/>
      <c r="D56" s="18"/>
      <c r="E56" s="26">
        <f>B56*C56*D56</f>
        <v>0</v>
      </c>
      <c r="F56" s="26">
        <f>E56*0.27</f>
        <v>0</v>
      </c>
      <c r="G56" s="2">
        <f>SUM(E56+F56)</f>
        <v>0</v>
      </c>
      <c r="H56" s="10"/>
      <c r="I56" s="18"/>
      <c r="J56" s="18"/>
      <c r="K56" s="26">
        <f>H56*I56*J56</f>
        <v>0</v>
      </c>
      <c r="L56" s="26">
        <f>K56*0.27</f>
        <v>0</v>
      </c>
      <c r="M56" s="2">
        <f>SUM(K56+L56)</f>
        <v>0</v>
      </c>
    </row>
    <row r="57" spans="1:13" ht="15.75" hidden="1" x14ac:dyDescent="0.25">
      <c r="A57" s="18"/>
      <c r="B57" s="10"/>
      <c r="C57" s="18"/>
      <c r="D57" s="18"/>
      <c r="E57" s="26"/>
      <c r="F57" s="26"/>
      <c r="G57" s="2"/>
      <c r="H57" s="10"/>
      <c r="I57" s="18"/>
      <c r="J57" s="18"/>
      <c r="K57" s="26"/>
      <c r="L57" s="26"/>
      <c r="M57" s="2"/>
    </row>
    <row r="58" spans="1:13" ht="15.75" x14ac:dyDescent="0.25">
      <c r="A58" s="89" t="s">
        <v>42</v>
      </c>
      <c r="B58" s="89">
        <f>SUM(B34,B45,B53,B56,B48,B55)</f>
        <v>0</v>
      </c>
      <c r="C58" s="89"/>
      <c r="D58" s="89"/>
      <c r="E58" s="89">
        <f>SUM(E34,E45,E53,E56,E48,E55)</f>
        <v>0</v>
      </c>
      <c r="F58" s="90">
        <f>SUM(F34,F45,F53,F56,F48,F55)</f>
        <v>0</v>
      </c>
      <c r="G58" s="91">
        <f>SUM(G34,G45,G53,G56,G48,G55)</f>
        <v>0</v>
      </c>
      <c r="H58" s="89">
        <f>SUM(H34,H45,H53,H56,H48,H55)</f>
        <v>142</v>
      </c>
      <c r="I58" s="89"/>
      <c r="J58" s="89"/>
      <c r="K58" s="2">
        <f>SUM(K34,K45,K53,K56,K48,K55)</f>
        <v>5335543</v>
      </c>
      <c r="L58" s="2">
        <f>SUM(L34,L45,L53,L56,L48,L55)</f>
        <v>1045603</v>
      </c>
      <c r="M58" s="2">
        <f>SUM(M34,M45,M53,M56,M48,M55)</f>
        <v>6381146</v>
      </c>
    </row>
  </sheetData>
  <mergeCells count="3">
    <mergeCell ref="B1:G1"/>
    <mergeCell ref="H1:M1"/>
    <mergeCell ref="H2:M2"/>
  </mergeCells>
  <phoneticPr fontId="2" type="noConversion"/>
  <pageMargins left="0.74803149606299213" right="0.74803149606299213" top="1.4566929133858268" bottom="0.98425196850393704" header="0.51181102362204722" footer="0.51181102362204722"/>
  <pageSetup paperSize="9" scale="80" orientation="portrait" r:id="rId1"/>
  <headerFooter alignWithMargins="0">
    <oddHeader>&amp;L&amp;"Times,Félkövér"Levél Község  Önkormányzat&amp;C&amp;"Times,Félkövér"&amp;14Élelmezési kiadások
és bevételek
2019. évi terv&amp;R&amp;"Times,Normál" 11. sz.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2"/>
  <sheetViews>
    <sheetView workbookViewId="0">
      <selection sqref="A1:D1"/>
    </sheetView>
  </sheetViews>
  <sheetFormatPr defaultRowHeight="12.75" x14ac:dyDescent="0.2"/>
  <cols>
    <col min="1" max="1" width="33.28515625" customWidth="1"/>
    <col min="2" max="2" width="13" customWidth="1"/>
    <col min="3" max="3" width="12.28515625" customWidth="1"/>
  </cols>
  <sheetData>
    <row r="1" spans="1:5" x14ac:dyDescent="0.2">
      <c r="A1" s="841" t="s">
        <v>531</v>
      </c>
      <c r="B1" s="841"/>
      <c r="C1" s="841"/>
      <c r="D1" s="841"/>
      <c r="E1" s="47"/>
    </row>
    <row r="2" spans="1:5" ht="13.5" thickBot="1" x14ac:dyDescent="0.25">
      <c r="A2" s="46"/>
      <c r="B2" s="47"/>
      <c r="C2" s="48"/>
      <c r="D2" s="47"/>
      <c r="E2" s="47"/>
    </row>
    <row r="3" spans="1:5" ht="13.5" thickBot="1" x14ac:dyDescent="0.25">
      <c r="A3" s="836"/>
      <c r="B3" s="838" t="s">
        <v>246</v>
      </c>
      <c r="C3" s="838"/>
      <c r="D3" s="838"/>
      <c r="E3" s="49"/>
    </row>
    <row r="4" spans="1:5" ht="13.5" thickBot="1" x14ac:dyDescent="0.25">
      <c r="A4" s="837"/>
      <c r="B4" s="839" t="s">
        <v>54</v>
      </c>
      <c r="C4" s="840"/>
      <c r="D4" s="50" t="s">
        <v>400</v>
      </c>
      <c r="E4" s="51"/>
    </row>
    <row r="5" spans="1:5" ht="39" x14ac:dyDescent="0.25">
      <c r="A5" s="52"/>
      <c r="B5" s="53" t="s">
        <v>532</v>
      </c>
      <c r="C5" s="116" t="s">
        <v>533</v>
      </c>
      <c r="D5" s="54"/>
      <c r="E5" s="51"/>
    </row>
    <row r="6" spans="1:5" ht="15.75" x14ac:dyDescent="0.25">
      <c r="A6" s="62" t="s">
        <v>473</v>
      </c>
      <c r="B6" s="62">
        <v>9</v>
      </c>
      <c r="C6" s="60"/>
      <c r="D6" s="61">
        <v>9</v>
      </c>
      <c r="E6" s="58"/>
    </row>
    <row r="7" spans="1:5" ht="15.75" x14ac:dyDescent="0.25">
      <c r="A7" s="55" t="s">
        <v>476</v>
      </c>
      <c r="B7" s="55">
        <v>1</v>
      </c>
      <c r="C7" s="56"/>
      <c r="D7" s="57">
        <v>1</v>
      </c>
      <c r="E7" s="58"/>
    </row>
    <row r="8" spans="1:5" ht="15.75" x14ac:dyDescent="0.25">
      <c r="A8" s="55" t="s">
        <v>474</v>
      </c>
      <c r="B8" s="56">
        <v>1.5</v>
      </c>
      <c r="C8" s="56"/>
      <c r="D8" s="57">
        <v>1.5</v>
      </c>
      <c r="E8" s="58"/>
    </row>
    <row r="9" spans="1:5" ht="15.75" x14ac:dyDescent="0.25">
      <c r="A9" s="55" t="s">
        <v>475</v>
      </c>
      <c r="B9" s="56">
        <v>3</v>
      </c>
      <c r="C9" s="56"/>
      <c r="D9" s="57">
        <v>3</v>
      </c>
      <c r="E9" s="58"/>
    </row>
    <row r="10" spans="1:5" ht="15.75" x14ac:dyDescent="0.25">
      <c r="A10" s="55" t="s">
        <v>477</v>
      </c>
      <c r="B10" s="56">
        <v>2</v>
      </c>
      <c r="C10" s="56"/>
      <c r="D10" s="57">
        <v>2</v>
      </c>
      <c r="E10" s="58"/>
    </row>
    <row r="11" spans="1:5" ht="15.75" x14ac:dyDescent="0.25">
      <c r="A11" s="55" t="s">
        <v>478</v>
      </c>
      <c r="B11" s="56">
        <v>1</v>
      </c>
      <c r="C11" s="56"/>
      <c r="D11" s="57">
        <v>1</v>
      </c>
      <c r="E11" s="58"/>
    </row>
    <row r="12" spans="1:5" ht="15.75" x14ac:dyDescent="0.25">
      <c r="A12" s="55"/>
      <c r="B12" s="56"/>
      <c r="C12" s="56"/>
      <c r="D12" s="57"/>
      <c r="E12" s="58"/>
    </row>
    <row r="13" spans="1:5" ht="34.5" customHeight="1" thickBot="1" x14ac:dyDescent="0.3">
      <c r="A13" s="59" t="s">
        <v>479</v>
      </c>
      <c r="B13" s="60">
        <v>11</v>
      </c>
      <c r="C13" s="60"/>
      <c r="D13" s="61">
        <v>11</v>
      </c>
      <c r="E13" s="58"/>
    </row>
    <row r="14" spans="1:5" ht="16.5" hidden="1" thickBot="1" x14ac:dyDescent="0.3">
      <c r="A14" s="55"/>
      <c r="B14" s="55"/>
      <c r="C14" s="56"/>
      <c r="D14" s="57"/>
      <c r="E14" s="58"/>
    </row>
    <row r="15" spans="1:5" ht="16.5" hidden="1" thickBot="1" x14ac:dyDescent="0.3">
      <c r="A15" s="55"/>
      <c r="B15" s="56"/>
      <c r="C15" s="56"/>
      <c r="D15" s="57"/>
      <c r="E15" s="58"/>
    </row>
    <row r="16" spans="1:5" ht="16.5" hidden="1" thickBot="1" x14ac:dyDescent="0.3">
      <c r="A16" s="55"/>
      <c r="B16" s="55"/>
      <c r="C16" s="56"/>
      <c r="D16" s="57"/>
      <c r="E16" s="58"/>
    </row>
    <row r="17" spans="1:5" ht="16.5" hidden="1" thickBot="1" x14ac:dyDescent="0.3">
      <c r="A17" s="55"/>
      <c r="B17" s="55"/>
      <c r="C17" s="56"/>
      <c r="D17" s="57"/>
      <c r="E17" s="58"/>
    </row>
    <row r="18" spans="1:5" ht="16.5" hidden="1" thickBot="1" x14ac:dyDescent="0.3">
      <c r="A18" s="55"/>
      <c r="B18" s="56"/>
      <c r="C18" s="56"/>
      <c r="D18" s="57"/>
      <c r="E18" s="58"/>
    </row>
    <row r="19" spans="1:5" ht="16.5" hidden="1" thickBot="1" x14ac:dyDescent="0.3">
      <c r="A19" s="55"/>
      <c r="B19" s="56"/>
      <c r="C19" s="56"/>
      <c r="D19" s="57"/>
      <c r="E19" s="58"/>
    </row>
    <row r="20" spans="1:5" ht="16.5" hidden="1" thickBot="1" x14ac:dyDescent="0.3">
      <c r="A20" s="55"/>
      <c r="B20" s="55"/>
      <c r="C20" s="56"/>
      <c r="D20" s="57"/>
      <c r="E20" s="58"/>
    </row>
    <row r="21" spans="1:5" ht="16.5" hidden="1" thickBot="1" x14ac:dyDescent="0.3">
      <c r="A21" s="55"/>
      <c r="B21" s="56"/>
      <c r="C21" s="56"/>
      <c r="D21" s="57"/>
      <c r="E21" s="58"/>
    </row>
    <row r="22" spans="1:5" ht="16.5" hidden="1" thickBot="1" x14ac:dyDescent="0.3">
      <c r="A22" s="55"/>
      <c r="B22" s="55"/>
      <c r="C22" s="56"/>
      <c r="D22" s="57"/>
      <c r="E22" s="58"/>
    </row>
    <row r="23" spans="1:5" ht="16.5" hidden="1" thickBot="1" x14ac:dyDescent="0.3">
      <c r="A23" s="55"/>
      <c r="B23" s="56"/>
      <c r="C23" s="56"/>
      <c r="D23" s="57"/>
      <c r="E23" s="58"/>
    </row>
    <row r="24" spans="1:5" ht="16.5" hidden="1" thickBot="1" x14ac:dyDescent="0.3">
      <c r="A24" s="55"/>
      <c r="B24" s="56"/>
      <c r="C24" s="56"/>
      <c r="D24" s="57"/>
      <c r="E24" s="58"/>
    </row>
    <row r="25" spans="1:5" ht="16.5" hidden="1" thickBot="1" x14ac:dyDescent="0.3">
      <c r="A25" s="55"/>
      <c r="B25" s="56"/>
      <c r="C25" s="56"/>
      <c r="D25" s="57"/>
      <c r="E25" s="58"/>
    </row>
    <row r="26" spans="1:5" ht="16.5" hidden="1" thickBot="1" x14ac:dyDescent="0.3">
      <c r="A26" s="55"/>
      <c r="B26" s="56"/>
      <c r="C26" s="56"/>
      <c r="D26" s="57"/>
      <c r="E26" s="58"/>
    </row>
    <row r="27" spans="1:5" ht="16.5" hidden="1" thickBot="1" x14ac:dyDescent="0.3">
      <c r="A27" s="59"/>
      <c r="B27" s="60"/>
      <c r="C27" s="56"/>
      <c r="D27" s="61"/>
      <c r="E27" s="58"/>
    </row>
    <row r="28" spans="1:5" ht="16.5" hidden="1" thickBot="1" x14ac:dyDescent="0.3">
      <c r="A28" s="62"/>
      <c r="B28" s="56"/>
      <c r="C28" s="56"/>
      <c r="D28" s="57"/>
      <c r="E28" s="58"/>
    </row>
    <row r="29" spans="1:5" ht="16.5" hidden="1" thickBot="1" x14ac:dyDescent="0.3">
      <c r="A29" s="55"/>
      <c r="B29" s="56"/>
      <c r="C29" s="56"/>
      <c r="D29" s="57"/>
      <c r="E29" s="58"/>
    </row>
    <row r="30" spans="1:5" ht="16.5" hidden="1" thickBot="1" x14ac:dyDescent="0.3">
      <c r="A30" s="55"/>
      <c r="B30" s="55"/>
      <c r="C30" s="55"/>
      <c r="D30" s="57"/>
      <c r="E30" s="58"/>
    </row>
    <row r="31" spans="1:5" ht="16.5" hidden="1" thickBot="1" x14ac:dyDescent="0.3">
      <c r="A31" s="63"/>
      <c r="B31" s="63"/>
      <c r="C31" s="63"/>
      <c r="D31" s="57"/>
      <c r="E31" s="58"/>
    </row>
    <row r="32" spans="1:5" ht="16.5" hidden="1" thickBot="1" x14ac:dyDescent="0.3">
      <c r="A32" s="63"/>
      <c r="B32" s="63"/>
      <c r="C32" s="63"/>
      <c r="D32" s="57"/>
      <c r="E32" s="58"/>
    </row>
    <row r="33" spans="1:5" ht="16.5" hidden="1" thickBot="1" x14ac:dyDescent="0.3">
      <c r="A33" s="55"/>
      <c r="B33" s="56"/>
      <c r="C33" s="56"/>
      <c r="D33" s="57"/>
      <c r="E33" s="58"/>
    </row>
    <row r="34" spans="1:5" ht="16.5" hidden="1" thickBot="1" x14ac:dyDescent="0.3">
      <c r="A34" s="55"/>
      <c r="B34" s="55"/>
      <c r="C34" s="55"/>
      <c r="D34" s="57"/>
      <c r="E34" s="58"/>
    </row>
    <row r="35" spans="1:5" ht="16.5" hidden="1" thickBot="1" x14ac:dyDescent="0.3">
      <c r="A35" s="63"/>
      <c r="B35" s="63"/>
      <c r="C35" s="63"/>
      <c r="D35" s="57"/>
      <c r="E35" s="58"/>
    </row>
    <row r="36" spans="1:5" ht="22.5" hidden="1" customHeight="1" thickBot="1" x14ac:dyDescent="0.3">
      <c r="A36" s="64"/>
      <c r="B36" s="64"/>
      <c r="C36" s="64"/>
      <c r="D36" s="57"/>
      <c r="E36" s="58"/>
    </row>
    <row r="37" spans="1:5" ht="13.5" thickBot="1" x14ac:dyDescent="0.25">
      <c r="A37" s="65" t="s">
        <v>83</v>
      </c>
      <c r="B37" s="50">
        <v>20</v>
      </c>
      <c r="C37" s="50">
        <v>0</v>
      </c>
      <c r="D37" s="50">
        <v>20</v>
      </c>
      <c r="E37" s="51"/>
    </row>
    <row r="38" spans="1:5" x14ac:dyDescent="0.2">
      <c r="A38" s="46"/>
      <c r="B38" s="47"/>
      <c r="C38" s="47"/>
      <c r="D38" s="47"/>
      <c r="E38" s="47"/>
    </row>
    <row r="39" spans="1:5" x14ac:dyDescent="0.2">
      <c r="A39" s="47"/>
      <c r="B39" s="47"/>
      <c r="C39" s="47"/>
      <c r="D39" s="47"/>
      <c r="E39" s="47"/>
    </row>
    <row r="40" spans="1:5" x14ac:dyDescent="0.2">
      <c r="A40" s="47"/>
      <c r="B40" s="47"/>
      <c r="C40" s="47"/>
      <c r="D40" s="47"/>
      <c r="E40" s="47"/>
    </row>
    <row r="41" spans="1:5" x14ac:dyDescent="0.2">
      <c r="A41" s="47"/>
      <c r="B41" s="47"/>
      <c r="C41" s="47"/>
      <c r="D41" s="47"/>
      <c r="E41" s="47"/>
    </row>
    <row r="42" spans="1:5" x14ac:dyDescent="0.2">
      <c r="A42" s="102"/>
      <c r="B42" s="102"/>
      <c r="C42" s="102"/>
      <c r="D42" s="102"/>
      <c r="E42" s="102"/>
    </row>
  </sheetData>
  <mergeCells count="4">
    <mergeCell ref="A3:A4"/>
    <mergeCell ref="B3:D3"/>
    <mergeCell ref="B4:C4"/>
    <mergeCell ref="A1:D1"/>
  </mergeCells>
  <phoneticPr fontId="2" type="noConversion"/>
  <printOptions horizontalCentered="1"/>
  <pageMargins left="0.70866141732283472" right="0.70866141732283472" top="1.03" bottom="0.74803149606299213" header="0.42" footer="0.31496062992125984"/>
  <pageSetup paperSize="9" orientation="portrait" horizontalDpi="120" verticalDpi="72" r:id="rId1"/>
  <headerFooter>
    <oddHeader>&amp;LLevél Községi Önkormányzat&amp;R&amp;8 12. sz.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D677B-EDBA-4859-B392-A9CE74B494CA}">
  <sheetPr>
    <pageSetUpPr fitToPage="1"/>
  </sheetPr>
  <dimension ref="A1:O3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42.28515625" bestFit="1" customWidth="1"/>
    <col min="2" max="5" width="11.85546875" style="721" bestFit="1" customWidth="1"/>
    <col min="6" max="6" width="13" style="721" bestFit="1" customWidth="1"/>
    <col min="7" max="12" width="11.85546875" style="721" bestFit="1" customWidth="1"/>
    <col min="13" max="14" width="13" style="721" bestFit="1" customWidth="1"/>
    <col min="15" max="15" width="11.140625" style="721" bestFit="1" customWidth="1"/>
  </cols>
  <sheetData>
    <row r="1" spans="1:15" ht="15" thickBot="1" x14ac:dyDescent="0.25">
      <c r="A1" s="708" t="s">
        <v>79</v>
      </c>
      <c r="B1" s="720" t="s">
        <v>84</v>
      </c>
      <c r="C1" s="720" t="s">
        <v>85</v>
      </c>
      <c r="D1" s="720" t="s">
        <v>86</v>
      </c>
      <c r="E1" s="720" t="s">
        <v>87</v>
      </c>
      <c r="F1" s="720" t="s">
        <v>88</v>
      </c>
      <c r="G1" s="720" t="s">
        <v>89</v>
      </c>
      <c r="H1" s="720" t="s">
        <v>90</v>
      </c>
      <c r="I1" s="720" t="s">
        <v>91</v>
      </c>
      <c r="J1" s="720" t="s">
        <v>92</v>
      </c>
      <c r="K1" s="720" t="s">
        <v>93</v>
      </c>
      <c r="L1" s="720" t="s">
        <v>94</v>
      </c>
      <c r="M1" s="720" t="s">
        <v>95</v>
      </c>
      <c r="N1" s="720" t="s">
        <v>57</v>
      </c>
    </row>
    <row r="2" spans="1:15" ht="15.75" thickBot="1" x14ac:dyDescent="0.25">
      <c r="A2" s="842" t="s">
        <v>82</v>
      </c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843"/>
      <c r="M2" s="843"/>
      <c r="N2" s="844"/>
    </row>
    <row r="3" spans="1:15" x14ac:dyDescent="0.2">
      <c r="A3" s="727" t="s">
        <v>480</v>
      </c>
      <c r="B3" s="724">
        <v>6468810</v>
      </c>
      <c r="C3" s="724">
        <v>6468810</v>
      </c>
      <c r="D3" s="724">
        <v>6468810</v>
      </c>
      <c r="E3" s="724">
        <v>6468810</v>
      </c>
      <c r="F3" s="724">
        <v>6468810</v>
      </c>
      <c r="G3" s="724">
        <v>6468810</v>
      </c>
      <c r="H3" s="724">
        <v>6468810</v>
      </c>
      <c r="I3" s="724">
        <v>6468810</v>
      </c>
      <c r="J3" s="724">
        <v>6468810</v>
      </c>
      <c r="K3" s="724">
        <v>6468810</v>
      </c>
      <c r="L3" s="724">
        <v>6468810</v>
      </c>
      <c r="M3" s="724">
        <v>6468819</v>
      </c>
      <c r="N3" s="724">
        <v>77625729</v>
      </c>
      <c r="O3" s="721">
        <v>77625729</v>
      </c>
    </row>
    <row r="4" spans="1:15" x14ac:dyDescent="0.2">
      <c r="A4" s="728" t="s">
        <v>481</v>
      </c>
      <c r="B4" s="725"/>
      <c r="C4" s="725"/>
      <c r="D4" s="725"/>
      <c r="E4" s="725"/>
      <c r="F4" s="725"/>
      <c r="G4" s="725"/>
      <c r="H4" s="725"/>
      <c r="I4" s="725"/>
      <c r="J4" s="725"/>
      <c r="K4" s="725"/>
      <c r="L4" s="725"/>
      <c r="M4" s="725"/>
      <c r="N4" s="725"/>
      <c r="O4" s="721">
        <v>0</v>
      </c>
    </row>
    <row r="5" spans="1:15" x14ac:dyDescent="0.2">
      <c r="A5" s="728" t="s">
        <v>482</v>
      </c>
      <c r="B5" s="725"/>
      <c r="C5" s="725"/>
      <c r="D5" s="725">
        <v>833333</v>
      </c>
      <c r="E5" s="725">
        <v>200000</v>
      </c>
      <c r="F5" s="725">
        <v>100000</v>
      </c>
      <c r="G5" s="725"/>
      <c r="H5" s="725"/>
      <c r="I5" s="725"/>
      <c r="J5" s="725">
        <v>833333</v>
      </c>
      <c r="K5" s="725">
        <v>233334</v>
      </c>
      <c r="L5" s="725">
        <v>150000</v>
      </c>
      <c r="M5" s="725">
        <v>150000</v>
      </c>
      <c r="N5" s="725">
        <v>2500000</v>
      </c>
      <c r="O5" s="721">
        <v>2500000</v>
      </c>
    </row>
    <row r="6" spans="1:15" x14ac:dyDescent="0.2">
      <c r="A6" s="728" t="s">
        <v>483</v>
      </c>
      <c r="B6" s="725"/>
      <c r="C6" s="725"/>
      <c r="D6" s="725">
        <v>3500000</v>
      </c>
      <c r="E6" s="725"/>
      <c r="F6" s="725"/>
      <c r="G6" s="725"/>
      <c r="H6" s="725"/>
      <c r="I6" s="725"/>
      <c r="J6" s="725">
        <v>3000000</v>
      </c>
      <c r="K6" s="725"/>
      <c r="L6" s="725"/>
      <c r="M6" s="725"/>
      <c r="N6" s="725">
        <v>6500000</v>
      </c>
      <c r="O6" s="721">
        <v>6500000</v>
      </c>
    </row>
    <row r="7" spans="1:15" x14ac:dyDescent="0.2">
      <c r="A7" s="728" t="s">
        <v>76</v>
      </c>
      <c r="B7" s="725"/>
      <c r="C7" s="725"/>
      <c r="D7" s="725"/>
      <c r="E7" s="725"/>
      <c r="F7" s="725">
        <v>75000000</v>
      </c>
      <c r="G7" s="725"/>
      <c r="H7" s="725"/>
      <c r="I7" s="725"/>
      <c r="J7" s="725"/>
      <c r="K7" s="725"/>
      <c r="L7" s="725"/>
      <c r="M7" s="725">
        <v>75000000</v>
      </c>
      <c r="N7" s="725">
        <v>150000000</v>
      </c>
      <c r="O7" s="721">
        <v>150000000</v>
      </c>
    </row>
    <row r="8" spans="1:15" x14ac:dyDescent="0.2">
      <c r="A8" s="728" t="s">
        <v>454</v>
      </c>
      <c r="B8" s="725"/>
      <c r="C8" s="725"/>
      <c r="D8" s="725">
        <v>2100000</v>
      </c>
      <c r="E8" s="725"/>
      <c r="F8" s="725"/>
      <c r="G8" s="725"/>
      <c r="H8" s="725"/>
      <c r="I8" s="725"/>
      <c r="J8" s="725">
        <v>2100000</v>
      </c>
      <c r="K8" s="725"/>
      <c r="L8" s="725"/>
      <c r="M8" s="725"/>
      <c r="N8" s="725">
        <v>4200000</v>
      </c>
      <c r="O8" s="721">
        <v>4200000</v>
      </c>
    </row>
    <row r="9" spans="1:15" x14ac:dyDescent="0.2">
      <c r="A9" s="728" t="s">
        <v>453</v>
      </c>
      <c r="B9" s="725">
        <v>166666</v>
      </c>
      <c r="C9" s="725">
        <v>166666</v>
      </c>
      <c r="D9" s="725">
        <v>166666</v>
      </c>
      <c r="E9" s="725">
        <v>166666</v>
      </c>
      <c r="F9" s="725">
        <v>166666</v>
      </c>
      <c r="G9" s="725">
        <v>166666</v>
      </c>
      <c r="H9" s="725">
        <v>166666</v>
      </c>
      <c r="I9" s="725">
        <v>166666</v>
      </c>
      <c r="J9" s="725">
        <v>166666</v>
      </c>
      <c r="K9" s="725">
        <v>166666</v>
      </c>
      <c r="L9" s="725">
        <v>166670</v>
      </c>
      <c r="M9" s="725">
        <v>166670</v>
      </c>
      <c r="N9" s="725">
        <v>2000000</v>
      </c>
      <c r="O9" s="721">
        <v>2000000</v>
      </c>
    </row>
    <row r="10" spans="1:15" x14ac:dyDescent="0.2">
      <c r="A10" s="728" t="s">
        <v>484</v>
      </c>
      <c r="B10" s="725"/>
      <c r="C10" s="725"/>
      <c r="D10" s="725">
        <v>3000000</v>
      </c>
      <c r="E10" s="725"/>
      <c r="F10" s="725"/>
      <c r="G10" s="725"/>
      <c r="H10" s="725"/>
      <c r="I10" s="725"/>
      <c r="J10" s="725">
        <v>3000000</v>
      </c>
      <c r="K10" s="725"/>
      <c r="L10" s="725"/>
      <c r="M10" s="725"/>
      <c r="N10" s="725">
        <v>6000000</v>
      </c>
      <c r="O10" s="721">
        <v>6000000</v>
      </c>
    </row>
    <row r="11" spans="1:15" x14ac:dyDescent="0.2">
      <c r="A11" s="728" t="s">
        <v>410</v>
      </c>
      <c r="B11" s="725"/>
      <c r="C11" s="725"/>
      <c r="D11" s="725">
        <v>25000</v>
      </c>
      <c r="E11" s="725"/>
      <c r="F11" s="725"/>
      <c r="G11" s="725"/>
      <c r="H11" s="725"/>
      <c r="I11" s="725"/>
      <c r="J11" s="725">
        <v>25000</v>
      </c>
      <c r="K11" s="725"/>
      <c r="L11" s="725"/>
      <c r="M11" s="725"/>
      <c r="N11" s="725">
        <v>50000</v>
      </c>
      <c r="O11" s="721">
        <v>50000</v>
      </c>
    </row>
    <row r="12" spans="1:15" x14ac:dyDescent="0.2">
      <c r="A12" s="728" t="s">
        <v>516</v>
      </c>
      <c r="B12" s="725">
        <v>1000</v>
      </c>
      <c r="C12" s="725">
        <v>1000</v>
      </c>
      <c r="D12" s="725">
        <v>1000</v>
      </c>
      <c r="E12" s="725">
        <v>2000</v>
      </c>
      <c r="F12" s="725">
        <v>1000</v>
      </c>
      <c r="G12" s="725">
        <v>2000</v>
      </c>
      <c r="H12" s="725">
        <v>1000</v>
      </c>
      <c r="I12" s="725">
        <v>1000</v>
      </c>
      <c r="J12" s="725">
        <v>1000</v>
      </c>
      <c r="K12" s="725">
        <v>1000</v>
      </c>
      <c r="L12" s="725">
        <v>1000</v>
      </c>
      <c r="M12" s="725">
        <v>2000</v>
      </c>
      <c r="N12" s="725">
        <v>15000</v>
      </c>
      <c r="O12" s="721">
        <v>15000</v>
      </c>
    </row>
    <row r="13" spans="1:15" x14ac:dyDescent="0.2">
      <c r="A13" s="728" t="s">
        <v>96</v>
      </c>
      <c r="B13" s="725">
        <v>1154317</v>
      </c>
      <c r="C13" s="725">
        <v>1154317</v>
      </c>
      <c r="D13" s="725">
        <v>1154317</v>
      </c>
      <c r="E13" s="725">
        <v>1154317</v>
      </c>
      <c r="F13" s="725">
        <v>1154317</v>
      </c>
      <c r="G13" s="725">
        <v>1154317</v>
      </c>
      <c r="H13" s="725">
        <v>1154317</v>
      </c>
      <c r="I13" s="725">
        <v>1154317</v>
      </c>
      <c r="J13" s="725">
        <v>1154317</v>
      </c>
      <c r="K13" s="725">
        <v>1154317</v>
      </c>
      <c r="L13" s="725">
        <v>1154317</v>
      </c>
      <c r="M13" s="725">
        <v>1154320</v>
      </c>
      <c r="N13" s="725">
        <v>13851807</v>
      </c>
      <c r="O13" s="721">
        <v>13851807</v>
      </c>
    </row>
    <row r="14" spans="1:15" x14ac:dyDescent="0.2">
      <c r="A14" s="728" t="s">
        <v>345</v>
      </c>
      <c r="B14" s="725"/>
      <c r="C14" s="725"/>
      <c r="D14" s="725"/>
      <c r="E14" s="725"/>
      <c r="F14" s="725"/>
      <c r="G14" s="725"/>
      <c r="H14" s="725"/>
      <c r="I14" s="725"/>
      <c r="J14" s="725"/>
      <c r="K14" s="725"/>
      <c r="L14" s="725"/>
      <c r="M14" s="725"/>
      <c r="N14" s="725">
        <v>0</v>
      </c>
      <c r="O14" s="721">
        <v>0</v>
      </c>
    </row>
    <row r="15" spans="1:15" x14ac:dyDescent="0.2">
      <c r="A15" s="728" t="s">
        <v>314</v>
      </c>
      <c r="B15" s="725">
        <v>0</v>
      </c>
      <c r="C15" s="725"/>
      <c r="D15" s="725"/>
      <c r="E15" s="725"/>
      <c r="F15" s="725"/>
      <c r="G15" s="725"/>
      <c r="H15" s="725"/>
      <c r="I15" s="725"/>
      <c r="J15" s="725"/>
      <c r="K15" s="725"/>
      <c r="L15" s="725"/>
      <c r="M15" s="725"/>
      <c r="N15" s="725">
        <v>0</v>
      </c>
      <c r="O15" s="721">
        <v>0</v>
      </c>
    </row>
    <row r="16" spans="1:15" x14ac:dyDescent="0.2">
      <c r="A16" s="728" t="s">
        <v>485</v>
      </c>
      <c r="B16" s="725"/>
      <c r="C16" s="725"/>
      <c r="D16" s="725"/>
      <c r="E16" s="725"/>
      <c r="F16" s="725"/>
      <c r="G16" s="725">
        <v>1443300</v>
      </c>
      <c r="H16" s="725"/>
      <c r="I16" s="725"/>
      <c r="J16" s="725"/>
      <c r="K16" s="725">
        <v>1443300</v>
      </c>
      <c r="L16" s="725"/>
      <c r="M16" s="725"/>
      <c r="N16" s="725">
        <v>2886600</v>
      </c>
      <c r="O16" s="721">
        <v>2886600</v>
      </c>
    </row>
    <row r="17" spans="1:15" x14ac:dyDescent="0.2">
      <c r="A17" s="728" t="s">
        <v>68</v>
      </c>
      <c r="B17" s="725">
        <v>5765269</v>
      </c>
      <c r="C17" s="725">
        <v>5765269</v>
      </c>
      <c r="D17" s="725">
        <v>5765269</v>
      </c>
      <c r="E17" s="725">
        <v>5765269</v>
      </c>
      <c r="F17" s="725">
        <v>5765269</v>
      </c>
      <c r="G17" s="725">
        <v>5765269</v>
      </c>
      <c r="H17" s="725">
        <v>5765269</v>
      </c>
      <c r="I17" s="725">
        <v>5765269</v>
      </c>
      <c r="J17" s="725">
        <v>5765269</v>
      </c>
      <c r="K17" s="725">
        <v>5765269</v>
      </c>
      <c r="L17" s="725">
        <v>5765269</v>
      </c>
      <c r="M17" s="725">
        <v>5765274</v>
      </c>
      <c r="N17" s="725">
        <v>69183233</v>
      </c>
      <c r="O17" s="721">
        <v>69183233</v>
      </c>
    </row>
    <row r="18" spans="1:15" x14ac:dyDescent="0.2">
      <c r="A18" s="728" t="s">
        <v>741</v>
      </c>
      <c r="B18" s="725"/>
      <c r="C18" s="725"/>
      <c r="D18" s="725"/>
      <c r="E18" s="725"/>
      <c r="F18" s="725"/>
      <c r="G18" s="725"/>
      <c r="H18" s="725"/>
      <c r="I18" s="725"/>
      <c r="J18" s="725"/>
      <c r="K18" s="725"/>
      <c r="L18" s="725">
        <v>5000000</v>
      </c>
      <c r="M18" s="725"/>
      <c r="N18" s="725">
        <v>5000000</v>
      </c>
      <c r="O18" s="721">
        <v>5000000</v>
      </c>
    </row>
    <row r="19" spans="1:15" x14ac:dyDescent="0.2">
      <c r="A19" s="728" t="s">
        <v>526</v>
      </c>
      <c r="B19" s="725">
        <v>13678941</v>
      </c>
      <c r="C19" s="725">
        <v>13678941</v>
      </c>
      <c r="D19" s="725">
        <v>13678941</v>
      </c>
      <c r="E19" s="725">
        <v>13678941</v>
      </c>
      <c r="F19" s="725">
        <v>13678941</v>
      </c>
      <c r="G19" s="725">
        <v>13678941</v>
      </c>
      <c r="H19" s="725">
        <v>13678941</v>
      </c>
      <c r="I19" s="725">
        <v>13678941</v>
      </c>
      <c r="J19" s="725">
        <v>13678941</v>
      </c>
      <c r="K19" s="725">
        <v>13678941</v>
      </c>
      <c r="L19" s="725">
        <v>13678941</v>
      </c>
      <c r="M19" s="725">
        <v>13678941</v>
      </c>
      <c r="N19" s="725">
        <v>164147292</v>
      </c>
      <c r="O19" s="721">
        <v>164147292</v>
      </c>
    </row>
    <row r="20" spans="1:15" ht="13.5" thickBot="1" x14ac:dyDescent="0.25">
      <c r="A20" s="729" t="s">
        <v>742</v>
      </c>
      <c r="B20" s="726"/>
      <c r="C20" s="726"/>
      <c r="D20" s="726"/>
      <c r="E20" s="726">
        <v>460000</v>
      </c>
      <c r="F20" s="726"/>
      <c r="G20" s="726"/>
      <c r="H20" s="726"/>
      <c r="I20" s="726"/>
      <c r="J20" s="726"/>
      <c r="K20" s="726"/>
      <c r="L20" s="726"/>
      <c r="M20" s="726"/>
      <c r="N20" s="726">
        <v>460000</v>
      </c>
      <c r="O20" s="721">
        <v>460000</v>
      </c>
    </row>
    <row r="21" spans="1:15" ht="15.75" thickBot="1" x14ac:dyDescent="0.25">
      <c r="A21" s="719" t="s">
        <v>97</v>
      </c>
      <c r="B21" s="722">
        <v>27235003</v>
      </c>
      <c r="C21" s="722">
        <v>27235003</v>
      </c>
      <c r="D21" s="722">
        <v>36693336</v>
      </c>
      <c r="E21" s="722">
        <v>27896003</v>
      </c>
      <c r="F21" s="722">
        <v>102335003</v>
      </c>
      <c r="G21" s="722">
        <v>28679303</v>
      </c>
      <c r="H21" s="722">
        <v>27235003</v>
      </c>
      <c r="I21" s="722">
        <v>27235003</v>
      </c>
      <c r="J21" s="722">
        <v>36193336</v>
      </c>
      <c r="K21" s="722">
        <v>28911637</v>
      </c>
      <c r="L21" s="722">
        <v>32385007</v>
      </c>
      <c r="M21" s="722">
        <v>102386024</v>
      </c>
      <c r="N21" s="722">
        <v>504419661</v>
      </c>
      <c r="O21" s="721">
        <v>504419661</v>
      </c>
    </row>
    <row r="22" spans="1:15" ht="15.75" thickBot="1" x14ac:dyDescent="0.25">
      <c r="A22" s="842" t="s">
        <v>82</v>
      </c>
      <c r="B22" s="843"/>
      <c r="C22" s="843"/>
      <c r="D22" s="843"/>
      <c r="E22" s="843"/>
      <c r="F22" s="843"/>
      <c r="G22" s="843"/>
      <c r="H22" s="843"/>
      <c r="I22" s="843"/>
      <c r="J22" s="843"/>
      <c r="K22" s="843"/>
      <c r="L22" s="843"/>
      <c r="M22" s="843"/>
      <c r="N22" s="844"/>
    </row>
    <row r="23" spans="1:15" x14ac:dyDescent="0.2">
      <c r="A23" s="727" t="s">
        <v>0</v>
      </c>
      <c r="B23" s="724">
        <v>7248637</v>
      </c>
      <c r="C23" s="724">
        <v>7248637</v>
      </c>
      <c r="D23" s="724">
        <v>7248637</v>
      </c>
      <c r="E23" s="724">
        <v>7248637</v>
      </c>
      <c r="F23" s="724">
        <v>7248637</v>
      </c>
      <c r="G23" s="724">
        <v>7248637</v>
      </c>
      <c r="H23" s="724">
        <v>7248637</v>
      </c>
      <c r="I23" s="724">
        <v>7248637</v>
      </c>
      <c r="J23" s="724">
        <v>7248637</v>
      </c>
      <c r="K23" s="724">
        <v>7248637</v>
      </c>
      <c r="L23" s="724">
        <v>7248637</v>
      </c>
      <c r="M23" s="724">
        <v>7248637</v>
      </c>
      <c r="N23" s="724">
        <v>86983644</v>
      </c>
      <c r="O23" s="721">
        <v>86983644</v>
      </c>
    </row>
    <row r="24" spans="1:15" x14ac:dyDescent="0.2">
      <c r="A24" s="728" t="s">
        <v>98</v>
      </c>
      <c r="B24" s="725">
        <v>1448634</v>
      </c>
      <c r="C24" s="725">
        <v>1448634</v>
      </c>
      <c r="D24" s="725">
        <v>1448634</v>
      </c>
      <c r="E24" s="725">
        <v>1448634</v>
      </c>
      <c r="F24" s="725">
        <v>1448634</v>
      </c>
      <c r="G24" s="725">
        <v>1448634</v>
      </c>
      <c r="H24" s="725">
        <v>1448634</v>
      </c>
      <c r="I24" s="725">
        <v>1448634</v>
      </c>
      <c r="J24" s="725">
        <v>1448634</v>
      </c>
      <c r="K24" s="725">
        <v>1448634</v>
      </c>
      <c r="L24" s="725">
        <v>1448634</v>
      </c>
      <c r="M24" s="725">
        <v>1448634</v>
      </c>
      <c r="N24" s="725">
        <v>17383608</v>
      </c>
      <c r="O24" s="721">
        <v>17383608</v>
      </c>
    </row>
    <row r="25" spans="1:15" x14ac:dyDescent="0.2">
      <c r="A25" s="728" t="s">
        <v>99</v>
      </c>
      <c r="B25" s="725">
        <v>6645546</v>
      </c>
      <c r="C25" s="725">
        <v>6645546</v>
      </c>
      <c r="D25" s="725">
        <v>6645546</v>
      </c>
      <c r="E25" s="725">
        <v>6645546</v>
      </c>
      <c r="F25" s="725">
        <v>6645546</v>
      </c>
      <c r="G25" s="725">
        <v>6645546</v>
      </c>
      <c r="H25" s="725">
        <v>1645546</v>
      </c>
      <c r="I25" s="725">
        <v>2000000</v>
      </c>
      <c r="J25" s="725">
        <v>6645546</v>
      </c>
      <c r="K25" s="725">
        <v>6645546</v>
      </c>
      <c r="L25" s="725">
        <v>6645546</v>
      </c>
      <c r="M25" s="725">
        <v>16290017</v>
      </c>
      <c r="N25" s="725">
        <v>79745477</v>
      </c>
      <c r="O25" s="721">
        <v>79745477</v>
      </c>
    </row>
    <row r="26" spans="1:15" x14ac:dyDescent="0.2">
      <c r="A26" s="728" t="s">
        <v>100</v>
      </c>
      <c r="B26" s="725">
        <v>0</v>
      </c>
      <c r="C26" s="725">
        <v>0</v>
      </c>
      <c r="D26" s="725">
        <v>4596105</v>
      </c>
      <c r="E26" s="725">
        <v>0</v>
      </c>
      <c r="F26" s="725">
        <v>55000000</v>
      </c>
      <c r="G26" s="725">
        <v>3000000</v>
      </c>
      <c r="H26" s="725">
        <v>3000000</v>
      </c>
      <c r="I26" s="725"/>
      <c r="J26" s="725">
        <v>2500000</v>
      </c>
      <c r="K26" s="725"/>
      <c r="L26" s="725">
        <v>2200000</v>
      </c>
      <c r="M26" s="725">
        <v>29427240</v>
      </c>
      <c r="N26" s="725">
        <v>99077799</v>
      </c>
      <c r="O26" s="721">
        <v>99723345</v>
      </c>
    </row>
    <row r="27" spans="1:15" x14ac:dyDescent="0.2">
      <c r="A27" s="728" t="s">
        <v>101</v>
      </c>
      <c r="B27" s="725">
        <v>0</v>
      </c>
      <c r="C27" s="725">
        <v>0</v>
      </c>
      <c r="D27" s="725">
        <v>5000000</v>
      </c>
      <c r="E27" s="725">
        <v>4000000</v>
      </c>
      <c r="F27" s="725">
        <v>12000000</v>
      </c>
      <c r="G27" s="725">
        <v>6000000</v>
      </c>
      <c r="H27" s="725"/>
      <c r="I27" s="725"/>
      <c r="J27" s="725"/>
      <c r="K27" s="725"/>
      <c r="L27" s="725"/>
      <c r="M27" s="725">
        <v>10310978</v>
      </c>
      <c r="N27" s="725">
        <v>37310978</v>
      </c>
      <c r="O27" s="721">
        <v>37310978</v>
      </c>
    </row>
    <row r="28" spans="1:15" x14ac:dyDescent="0.2">
      <c r="A28" s="728" t="s">
        <v>102</v>
      </c>
      <c r="B28" s="725">
        <v>3033283</v>
      </c>
      <c r="C28" s="725">
        <v>3033283</v>
      </c>
      <c r="D28" s="725">
        <v>3033283</v>
      </c>
      <c r="E28" s="725">
        <v>3033283</v>
      </c>
      <c r="F28" s="725">
        <v>3033283</v>
      </c>
      <c r="G28" s="725">
        <v>3033283</v>
      </c>
      <c r="H28" s="725">
        <v>3033283</v>
      </c>
      <c r="I28" s="725"/>
      <c r="J28" s="725">
        <v>3033283</v>
      </c>
      <c r="K28" s="725">
        <v>3033283</v>
      </c>
      <c r="L28" s="725">
        <v>3033283</v>
      </c>
      <c r="M28" s="725">
        <v>6066572</v>
      </c>
      <c r="N28" s="725">
        <v>36399402</v>
      </c>
      <c r="O28" s="721">
        <v>36399402</v>
      </c>
    </row>
    <row r="29" spans="1:15" x14ac:dyDescent="0.2">
      <c r="A29" s="728" t="s">
        <v>80</v>
      </c>
      <c r="B29" s="725">
        <v>583400</v>
      </c>
      <c r="C29" s="725">
        <v>583400</v>
      </c>
      <c r="D29" s="725">
        <v>583400</v>
      </c>
      <c r="E29" s="725">
        <v>583400</v>
      </c>
      <c r="F29" s="725">
        <v>583400</v>
      </c>
      <c r="G29" s="725">
        <v>583400</v>
      </c>
      <c r="H29" s="725">
        <v>583400</v>
      </c>
      <c r="I29" s="725">
        <v>583400</v>
      </c>
      <c r="J29" s="725">
        <v>583400</v>
      </c>
      <c r="K29" s="725">
        <v>583400</v>
      </c>
      <c r="L29" s="725">
        <v>583400</v>
      </c>
      <c r="M29" s="725">
        <v>583400</v>
      </c>
      <c r="N29" s="725">
        <v>7000800</v>
      </c>
      <c r="O29" s="721">
        <v>7000800</v>
      </c>
    </row>
    <row r="30" spans="1:15" x14ac:dyDescent="0.2">
      <c r="A30" s="728" t="s">
        <v>517</v>
      </c>
      <c r="B30" s="725">
        <v>2601000</v>
      </c>
      <c r="C30" s="725">
        <v>1414768</v>
      </c>
      <c r="D30" s="725">
        <v>1414768</v>
      </c>
      <c r="E30" s="725">
        <v>1414768</v>
      </c>
      <c r="F30" s="725">
        <v>1414768</v>
      </c>
      <c r="G30" s="725">
        <v>1414768</v>
      </c>
      <c r="H30" s="725">
        <v>1414768</v>
      </c>
      <c r="I30" s="725">
        <v>1414768</v>
      </c>
      <c r="J30" s="725">
        <v>1414768</v>
      </c>
      <c r="K30" s="725">
        <v>1414768</v>
      </c>
      <c r="L30" s="725">
        <v>1414768</v>
      </c>
      <c r="M30" s="725">
        <v>1414773</v>
      </c>
      <c r="N30" s="725">
        <v>18163453</v>
      </c>
      <c r="O30" s="721">
        <v>18163453</v>
      </c>
    </row>
    <row r="31" spans="1:15" x14ac:dyDescent="0.2">
      <c r="A31" s="728" t="s">
        <v>508</v>
      </c>
      <c r="B31" s="725">
        <v>27702</v>
      </c>
      <c r="C31" s="725">
        <v>27703</v>
      </c>
      <c r="D31" s="725">
        <v>27702</v>
      </c>
      <c r="E31" s="725">
        <v>27703</v>
      </c>
      <c r="F31" s="725">
        <v>27703</v>
      </c>
      <c r="G31" s="725">
        <v>27703</v>
      </c>
      <c r="H31" s="725">
        <v>27703</v>
      </c>
      <c r="I31" s="725">
        <v>27703</v>
      </c>
      <c r="J31" s="725">
        <v>27703</v>
      </c>
      <c r="K31" s="725">
        <v>27703</v>
      </c>
      <c r="L31" s="725">
        <v>27703</v>
      </c>
      <c r="M31" s="725">
        <v>27703</v>
      </c>
      <c r="N31" s="725">
        <v>332434</v>
      </c>
      <c r="O31" s="721">
        <v>332434</v>
      </c>
    </row>
    <row r="32" spans="1:15" x14ac:dyDescent="0.2">
      <c r="A32" s="728" t="s">
        <v>510</v>
      </c>
      <c r="B32" s="725">
        <v>524833</v>
      </c>
      <c r="C32" s="725"/>
      <c r="D32" s="725"/>
      <c r="E32" s="725"/>
      <c r="F32" s="725"/>
      <c r="G32" s="725"/>
      <c r="H32" s="725"/>
      <c r="I32" s="725"/>
      <c r="J32" s="725"/>
      <c r="K32" s="725"/>
      <c r="L32" s="725"/>
      <c r="M32" s="725"/>
      <c r="N32" s="725">
        <v>524833</v>
      </c>
      <c r="O32" s="721">
        <v>524833</v>
      </c>
    </row>
    <row r="33" spans="1:15" x14ac:dyDescent="0.2">
      <c r="A33" s="728" t="s">
        <v>68</v>
      </c>
      <c r="B33" s="725">
        <v>3765269</v>
      </c>
      <c r="C33" s="725">
        <v>5765269</v>
      </c>
      <c r="D33" s="725">
        <v>5765269</v>
      </c>
      <c r="E33" s="725">
        <v>5765269</v>
      </c>
      <c r="F33" s="725">
        <v>5765269</v>
      </c>
      <c r="G33" s="725">
        <v>5765269</v>
      </c>
      <c r="H33" s="725">
        <v>5765269</v>
      </c>
      <c r="I33" s="725">
        <v>5765269</v>
      </c>
      <c r="J33" s="725">
        <v>5765269</v>
      </c>
      <c r="K33" s="725">
        <v>5765269</v>
      </c>
      <c r="L33" s="725">
        <v>5765269</v>
      </c>
      <c r="M33" s="725">
        <v>7765269</v>
      </c>
      <c r="N33" s="725">
        <v>69183233</v>
      </c>
      <c r="O33" s="721">
        <v>69183228</v>
      </c>
    </row>
    <row r="34" spans="1:15" ht="13.5" thickBot="1" x14ac:dyDescent="0.25">
      <c r="A34" s="729" t="s">
        <v>53</v>
      </c>
      <c r="B34" s="726">
        <v>1356699</v>
      </c>
      <c r="C34" s="726"/>
      <c r="D34" s="726"/>
      <c r="E34" s="726"/>
      <c r="F34" s="726"/>
      <c r="G34" s="726"/>
      <c r="H34" s="726">
        <v>3426911</v>
      </c>
      <c r="I34" s="726">
        <v>7530390</v>
      </c>
      <c r="J34" s="726"/>
      <c r="K34" s="726"/>
      <c r="L34" s="726"/>
      <c r="M34" s="726">
        <v>40000000</v>
      </c>
      <c r="N34" s="726">
        <v>52314000</v>
      </c>
      <c r="O34" s="721">
        <v>52314000</v>
      </c>
    </row>
    <row r="35" spans="1:15" ht="15.75" thickBot="1" x14ac:dyDescent="0.25">
      <c r="A35" s="719" t="s">
        <v>103</v>
      </c>
      <c r="B35" s="722">
        <v>27235003</v>
      </c>
      <c r="C35" s="722">
        <v>26167240</v>
      </c>
      <c r="D35" s="722">
        <v>35763344</v>
      </c>
      <c r="E35" s="722">
        <v>30167240</v>
      </c>
      <c r="F35" s="722">
        <v>93167240</v>
      </c>
      <c r="G35" s="722">
        <v>35167240</v>
      </c>
      <c r="H35" s="722">
        <v>27594151</v>
      </c>
      <c r="I35" s="722">
        <v>26018801</v>
      </c>
      <c r="J35" s="722">
        <v>28667240</v>
      </c>
      <c r="K35" s="722">
        <v>26167240</v>
      </c>
      <c r="L35" s="722">
        <v>28367240</v>
      </c>
      <c r="M35" s="722">
        <v>120583223</v>
      </c>
      <c r="N35" s="722">
        <v>504419661</v>
      </c>
      <c r="O35" s="721">
        <v>505065202</v>
      </c>
    </row>
    <row r="36" spans="1:15" ht="15" thickBot="1" x14ac:dyDescent="0.25">
      <c r="A36" s="709" t="s">
        <v>104</v>
      </c>
      <c r="B36" s="723">
        <v>0</v>
      </c>
      <c r="C36" s="723">
        <v>1067763</v>
      </c>
      <c r="D36" s="723">
        <v>1997755</v>
      </c>
      <c r="E36" s="723">
        <v>-273482</v>
      </c>
      <c r="F36" s="723">
        <v>8894281</v>
      </c>
      <c r="G36" s="723">
        <v>2406344</v>
      </c>
      <c r="H36" s="723">
        <v>2047196</v>
      </c>
      <c r="I36" s="723">
        <v>3263398</v>
      </c>
      <c r="J36" s="723">
        <v>10789494</v>
      </c>
      <c r="K36" s="723">
        <v>13533891</v>
      </c>
      <c r="L36" s="723">
        <v>17551658</v>
      </c>
      <c r="M36" s="723">
        <v>-645541</v>
      </c>
      <c r="N36" s="723">
        <v>-645541</v>
      </c>
    </row>
  </sheetData>
  <mergeCells count="2">
    <mergeCell ref="A2:N2"/>
    <mergeCell ref="A22:N22"/>
  </mergeCells>
  <pageMargins left="0.70866141732283472" right="0.70866141732283472" top="1.1811023622047245" bottom="0.74803149606299213" header="0.35433070866141736" footer="0.31496062992125984"/>
  <pageSetup paperSize="9" scale="66" orientation="landscape" verticalDpi="0" r:id="rId1"/>
  <headerFooter>
    <oddHeader>&amp;L&amp;12Levél Községi Önkormányzat&amp;C&amp;"Arial CE,Félkövér"&amp;14&amp;A
2019. 01-09. hó&amp;R&amp;8 13. sz.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5"/>
  <sheetViews>
    <sheetView workbookViewId="0">
      <selection sqref="A1:C3"/>
    </sheetView>
  </sheetViews>
  <sheetFormatPr defaultRowHeight="12.75" x14ac:dyDescent="0.2"/>
  <cols>
    <col min="1" max="1" width="20.85546875" customWidth="1"/>
    <col min="2" max="2" width="39" customWidth="1"/>
    <col min="3" max="3" width="23.85546875" customWidth="1"/>
  </cols>
  <sheetData>
    <row r="1" spans="1:3" x14ac:dyDescent="0.2">
      <c r="A1" s="847" t="s">
        <v>530</v>
      </c>
      <c r="B1" s="848"/>
      <c r="C1" s="849"/>
    </row>
    <row r="2" spans="1:3" x14ac:dyDescent="0.2">
      <c r="A2" s="850"/>
      <c r="B2" s="851"/>
      <c r="C2" s="852"/>
    </row>
    <row r="3" spans="1:3" ht="13.5" thickBot="1" x14ac:dyDescent="0.25">
      <c r="A3" s="853"/>
      <c r="B3" s="854"/>
      <c r="C3" s="855"/>
    </row>
    <row r="4" spans="1:3" ht="15.75" thickBot="1" x14ac:dyDescent="0.3">
      <c r="A4" s="103" t="s">
        <v>491</v>
      </c>
      <c r="B4" s="103" t="s">
        <v>492</v>
      </c>
      <c r="C4" s="103" t="s">
        <v>743</v>
      </c>
    </row>
    <row r="5" spans="1:3" ht="15" x14ac:dyDescent="0.25">
      <c r="A5" s="104" t="s">
        <v>493</v>
      </c>
      <c r="B5" s="105" t="s">
        <v>473</v>
      </c>
      <c r="C5" s="106">
        <f>SUM(C6:C7)</f>
        <v>504419661</v>
      </c>
    </row>
    <row r="6" spans="1:3" ht="14.25" x14ac:dyDescent="0.2">
      <c r="A6" s="107" t="s">
        <v>494</v>
      </c>
      <c r="B6" s="108" t="s">
        <v>473</v>
      </c>
      <c r="C6" s="109">
        <f>'Bevétel össz. - 3. mell.'!C56</f>
        <v>433793228</v>
      </c>
    </row>
    <row r="7" spans="1:3" ht="15" thickBot="1" x14ac:dyDescent="0.25">
      <c r="A7" s="110" t="s">
        <v>495</v>
      </c>
      <c r="B7" s="111" t="s">
        <v>479</v>
      </c>
      <c r="C7" s="112">
        <f>'Bevétel össz. - 3. mell.'!G56</f>
        <v>70626433</v>
      </c>
    </row>
    <row r="8" spans="1:3" ht="16.5" thickBot="1" x14ac:dyDescent="0.3">
      <c r="A8" s="845" t="s">
        <v>496</v>
      </c>
      <c r="B8" s="846"/>
      <c r="C8" s="113">
        <f>SUM(C6:C7)</f>
        <v>504419661</v>
      </c>
    </row>
    <row r="9" spans="1:3" ht="15.75" x14ac:dyDescent="0.25">
      <c r="A9" s="94"/>
      <c r="B9" s="95"/>
      <c r="C9" s="96"/>
    </row>
    <row r="10" spans="1:3" ht="15.75" x14ac:dyDescent="0.25">
      <c r="A10" s="94"/>
      <c r="B10" s="95"/>
      <c r="C10" s="96"/>
    </row>
    <row r="11" spans="1:3" ht="15.75" x14ac:dyDescent="0.25">
      <c r="A11" s="94"/>
      <c r="B11" s="97"/>
      <c r="C11" s="96"/>
    </row>
    <row r="12" spans="1:3" ht="15" x14ac:dyDescent="0.25">
      <c r="A12" s="94"/>
      <c r="B12" s="92"/>
      <c r="C12" s="93"/>
    </row>
    <row r="13" spans="1:3" ht="15" x14ac:dyDescent="0.25">
      <c r="A13" s="92"/>
      <c r="B13" s="98"/>
      <c r="C13" s="96"/>
    </row>
    <row r="14" spans="1:3" ht="14.25" x14ac:dyDescent="0.2">
      <c r="A14" s="94"/>
      <c r="B14" s="94"/>
      <c r="C14" s="96"/>
    </row>
    <row r="15" spans="1:3" ht="14.25" x14ac:dyDescent="0.2">
      <c r="A15" s="94"/>
      <c r="B15" s="94"/>
      <c r="C15" s="96"/>
    </row>
    <row r="16" spans="1:3" ht="14.25" x14ac:dyDescent="0.2">
      <c r="A16" s="94"/>
      <c r="B16" s="94"/>
      <c r="C16" s="96"/>
    </row>
    <row r="17" spans="1:3" ht="14.25" x14ac:dyDescent="0.2">
      <c r="A17" s="94"/>
      <c r="B17" s="94"/>
      <c r="C17" s="96"/>
    </row>
    <row r="18" spans="1:3" ht="14.25" x14ac:dyDescent="0.2">
      <c r="A18" s="94"/>
      <c r="B18" s="94"/>
      <c r="C18" s="96"/>
    </row>
    <row r="19" spans="1:3" ht="14.25" x14ac:dyDescent="0.2">
      <c r="A19" s="94"/>
      <c r="B19" s="94"/>
      <c r="C19" s="96"/>
    </row>
    <row r="20" spans="1:3" ht="14.25" x14ac:dyDescent="0.2">
      <c r="A20" s="94"/>
      <c r="B20" s="94"/>
      <c r="C20" s="96"/>
    </row>
    <row r="21" spans="1:3" ht="14.25" x14ac:dyDescent="0.2">
      <c r="A21" s="94"/>
      <c r="B21" s="94"/>
      <c r="C21" s="96"/>
    </row>
    <row r="22" spans="1:3" ht="14.25" x14ac:dyDescent="0.2">
      <c r="A22" s="94"/>
      <c r="B22" s="94"/>
      <c r="C22" s="96"/>
    </row>
    <row r="23" spans="1:3" ht="14.25" x14ac:dyDescent="0.2">
      <c r="A23" s="94"/>
      <c r="B23" s="94"/>
      <c r="C23" s="96"/>
    </row>
    <row r="24" spans="1:3" ht="14.25" x14ac:dyDescent="0.2">
      <c r="A24" s="94"/>
      <c r="B24" s="94"/>
      <c r="C24" s="96"/>
    </row>
    <row r="25" spans="1:3" ht="14.25" x14ac:dyDescent="0.2">
      <c r="A25" s="94"/>
      <c r="B25" s="94"/>
      <c r="C25" s="96"/>
    </row>
    <row r="26" spans="1:3" ht="14.25" x14ac:dyDescent="0.2">
      <c r="A26" s="94"/>
      <c r="B26" s="94"/>
      <c r="C26" s="96"/>
    </row>
    <row r="27" spans="1:3" ht="15" x14ac:dyDescent="0.25">
      <c r="A27" s="94"/>
      <c r="B27" s="92"/>
      <c r="C27" s="93"/>
    </row>
    <row r="28" spans="1:3" ht="14.25" x14ac:dyDescent="0.2">
      <c r="A28" s="94"/>
      <c r="B28" s="94"/>
      <c r="C28" s="96"/>
    </row>
    <row r="29" spans="1:3" ht="14.25" x14ac:dyDescent="0.2">
      <c r="A29" s="94"/>
      <c r="B29" s="94"/>
      <c r="C29" s="96"/>
    </row>
    <row r="30" spans="1:3" ht="14.25" x14ac:dyDescent="0.2">
      <c r="A30" s="94"/>
      <c r="B30" s="94"/>
      <c r="C30" s="96"/>
    </row>
    <row r="31" spans="1:3" ht="15" x14ac:dyDescent="0.25">
      <c r="A31" s="94"/>
      <c r="B31" s="92"/>
      <c r="C31" s="93"/>
    </row>
    <row r="32" spans="1:3" ht="15" x14ac:dyDescent="0.25">
      <c r="A32" s="94"/>
      <c r="B32" s="94"/>
      <c r="C32" s="93"/>
    </row>
    <row r="33" spans="1:3" ht="15" x14ac:dyDescent="0.25">
      <c r="A33" s="92"/>
      <c r="B33" s="94"/>
      <c r="C33" s="93"/>
    </row>
    <row r="34" spans="1:3" ht="15" x14ac:dyDescent="0.25">
      <c r="A34" s="92"/>
      <c r="B34" s="94"/>
      <c r="C34" s="93"/>
    </row>
    <row r="35" spans="1:3" ht="15.75" x14ac:dyDescent="0.25">
      <c r="A35" s="99"/>
      <c r="B35" s="100"/>
      <c r="C35" s="101"/>
    </row>
  </sheetData>
  <mergeCells count="2">
    <mergeCell ref="A8:B8"/>
    <mergeCell ref="A1:C3"/>
  </mergeCells>
  <phoneticPr fontId="2" type="noConversion"/>
  <printOptions horizontalCentered="1"/>
  <pageMargins left="0.70866141732283472" right="0.70866141732283472" top="1.4173228346456694" bottom="0.74803149606299213" header="0.55118110236220474" footer="0.31496062992125984"/>
  <pageSetup paperSize="9" orientation="portrait" horizontalDpi="120" verticalDpi="72" r:id="rId1"/>
  <headerFooter>
    <oddHeader>&amp;LLevél Községi Önkormányzat&amp;R&amp;8 14. sz.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1"/>
  <sheetViews>
    <sheetView workbookViewId="0">
      <selection sqref="A1:E1"/>
    </sheetView>
  </sheetViews>
  <sheetFormatPr defaultRowHeight="12.75" x14ac:dyDescent="0.2"/>
  <cols>
    <col min="1" max="1" width="39.85546875" customWidth="1"/>
    <col min="2" max="2" width="11.85546875" customWidth="1"/>
    <col min="3" max="3" width="12.7109375" customWidth="1"/>
    <col min="4" max="4" width="11.85546875" customWidth="1"/>
    <col min="5" max="5" width="13" customWidth="1"/>
  </cols>
  <sheetData>
    <row r="1" spans="1:6" x14ac:dyDescent="0.2">
      <c r="A1" s="856" t="s">
        <v>744</v>
      </c>
      <c r="B1" s="856"/>
      <c r="C1" s="856"/>
      <c r="D1" s="856"/>
      <c r="E1" s="856"/>
      <c r="F1" s="730"/>
    </row>
    <row r="2" spans="1:6" x14ac:dyDescent="0.2">
      <c r="A2" s="856" t="s">
        <v>401</v>
      </c>
      <c r="B2" s="856"/>
      <c r="C2" s="856"/>
      <c r="D2" s="856"/>
      <c r="E2" s="856"/>
      <c r="F2" s="730"/>
    </row>
    <row r="3" spans="1:6" x14ac:dyDescent="0.2">
      <c r="E3" s="66"/>
      <c r="F3" s="66"/>
    </row>
    <row r="4" spans="1:6" ht="13.5" thickBot="1" x14ac:dyDescent="0.25">
      <c r="F4" s="66"/>
    </row>
    <row r="5" spans="1:6" ht="13.5" thickBot="1" x14ac:dyDescent="0.25">
      <c r="A5" s="712"/>
      <c r="B5" s="713">
        <v>2019</v>
      </c>
      <c r="C5" s="713">
        <v>2020</v>
      </c>
      <c r="D5" s="713">
        <v>2021</v>
      </c>
      <c r="E5" s="713">
        <v>2022</v>
      </c>
    </row>
    <row r="6" spans="1:6" x14ac:dyDescent="0.2">
      <c r="A6" s="67" t="s">
        <v>489</v>
      </c>
      <c r="B6" s="68">
        <v>77625729</v>
      </c>
      <c r="C6" s="68">
        <v>78000000</v>
      </c>
      <c r="D6" s="68">
        <v>79000000</v>
      </c>
      <c r="E6" s="68">
        <v>78500000</v>
      </c>
    </row>
    <row r="7" spans="1:6" x14ac:dyDescent="0.2">
      <c r="A7" s="69" t="s">
        <v>96</v>
      </c>
      <c r="B7" s="70">
        <v>13851807</v>
      </c>
      <c r="C7" s="70">
        <v>15000000</v>
      </c>
      <c r="D7" s="70">
        <v>16000000</v>
      </c>
      <c r="E7" s="70">
        <v>17000000</v>
      </c>
    </row>
    <row r="8" spans="1:6" ht="13.5" thickBot="1" x14ac:dyDescent="0.25">
      <c r="A8" s="69" t="s">
        <v>490</v>
      </c>
      <c r="B8" s="70">
        <v>0</v>
      </c>
      <c r="C8" s="70">
        <v>0</v>
      </c>
      <c r="D8" s="70">
        <v>0</v>
      </c>
      <c r="E8" s="70">
        <v>0</v>
      </c>
    </row>
    <row r="9" spans="1:6" ht="13.5" thickBot="1" x14ac:dyDescent="0.25">
      <c r="A9" s="714" t="s">
        <v>402</v>
      </c>
      <c r="B9" s="715">
        <v>91477536</v>
      </c>
      <c r="C9" s="715">
        <v>93000000</v>
      </c>
      <c r="D9" s="715">
        <v>95000000</v>
      </c>
      <c r="E9" s="715">
        <v>95500000</v>
      </c>
    </row>
    <row r="10" spans="1:6" x14ac:dyDescent="0.2">
      <c r="A10" s="69" t="s">
        <v>481</v>
      </c>
      <c r="B10" s="70">
        <v>0</v>
      </c>
      <c r="C10" s="70"/>
      <c r="D10" s="70"/>
      <c r="E10" s="70"/>
    </row>
    <row r="11" spans="1:6" x14ac:dyDescent="0.2">
      <c r="A11" s="69" t="s">
        <v>403</v>
      </c>
      <c r="B11" s="70">
        <v>2886600</v>
      </c>
      <c r="C11" s="70">
        <v>2886600</v>
      </c>
      <c r="D11" s="70">
        <v>2886600</v>
      </c>
      <c r="E11" s="70">
        <v>2886600</v>
      </c>
    </row>
    <row r="12" spans="1:6" ht="13.5" thickBot="1" x14ac:dyDescent="0.25">
      <c r="A12" s="72" t="s">
        <v>404</v>
      </c>
      <c r="B12" s="73">
        <v>460000</v>
      </c>
      <c r="C12" s="73"/>
      <c r="D12" s="73"/>
      <c r="E12" s="73"/>
    </row>
    <row r="13" spans="1:6" ht="13.5" thickBot="1" x14ac:dyDescent="0.25">
      <c r="A13" s="714" t="s">
        <v>405</v>
      </c>
      <c r="B13" s="715">
        <v>3346600</v>
      </c>
      <c r="C13" s="715">
        <v>2886600</v>
      </c>
      <c r="D13" s="715">
        <v>2886600</v>
      </c>
      <c r="E13" s="715">
        <v>2886600</v>
      </c>
    </row>
    <row r="14" spans="1:6" x14ac:dyDescent="0.2">
      <c r="A14" s="67" t="s">
        <v>406</v>
      </c>
      <c r="B14" s="68">
        <v>171265000</v>
      </c>
      <c r="C14" s="68">
        <v>195535000</v>
      </c>
      <c r="D14" s="68">
        <v>201715000</v>
      </c>
      <c r="E14" s="68">
        <v>208480000</v>
      </c>
    </row>
    <row r="15" spans="1:6" x14ac:dyDescent="0.2">
      <c r="A15" s="69" t="s">
        <v>488</v>
      </c>
      <c r="B15" s="70">
        <v>2500000</v>
      </c>
      <c r="C15" s="70">
        <v>2600000</v>
      </c>
      <c r="D15" s="70">
        <v>3000000</v>
      </c>
      <c r="E15" s="70">
        <v>3500000</v>
      </c>
    </row>
    <row r="16" spans="1:6" x14ac:dyDescent="0.2">
      <c r="A16" s="69" t="s">
        <v>409</v>
      </c>
      <c r="B16" s="70">
        <v>6500000</v>
      </c>
      <c r="C16" s="70">
        <v>8000000</v>
      </c>
      <c r="D16" s="70">
        <v>8000000</v>
      </c>
      <c r="E16" s="70">
        <v>9000000</v>
      </c>
    </row>
    <row r="17" spans="1:5" x14ac:dyDescent="0.2">
      <c r="A17" s="69" t="s">
        <v>407</v>
      </c>
      <c r="B17" s="70">
        <v>150000000</v>
      </c>
      <c r="C17" s="70">
        <v>170000000</v>
      </c>
      <c r="D17" s="70">
        <v>175000000</v>
      </c>
      <c r="E17" s="70">
        <v>180000000</v>
      </c>
    </row>
    <row r="18" spans="1:5" x14ac:dyDescent="0.2">
      <c r="A18" s="72" t="s">
        <v>486</v>
      </c>
      <c r="B18" s="70">
        <v>4200000</v>
      </c>
      <c r="C18" s="73">
        <v>4200000</v>
      </c>
      <c r="D18" s="73">
        <v>4500000</v>
      </c>
      <c r="E18" s="73">
        <v>4500000</v>
      </c>
    </row>
    <row r="19" spans="1:5" x14ac:dyDescent="0.2">
      <c r="A19" s="72" t="s">
        <v>408</v>
      </c>
      <c r="B19" s="70">
        <v>2000000</v>
      </c>
      <c r="C19" s="73">
        <v>2200000</v>
      </c>
      <c r="D19" s="73">
        <v>2500000</v>
      </c>
      <c r="E19" s="73">
        <v>2200000</v>
      </c>
    </row>
    <row r="20" spans="1:5" x14ac:dyDescent="0.2">
      <c r="A20" s="69" t="s">
        <v>77</v>
      </c>
      <c r="B20" s="70">
        <v>6000000</v>
      </c>
      <c r="C20" s="70">
        <v>8500000</v>
      </c>
      <c r="D20" s="70">
        <v>8500000</v>
      </c>
      <c r="E20" s="70">
        <v>9000000</v>
      </c>
    </row>
    <row r="21" spans="1:5" x14ac:dyDescent="0.2">
      <c r="A21" s="69" t="s">
        <v>410</v>
      </c>
      <c r="B21" s="70">
        <v>50000</v>
      </c>
      <c r="C21" s="70">
        <v>20000</v>
      </c>
      <c r="D21" s="70">
        <v>200000</v>
      </c>
      <c r="E21" s="70">
        <v>200000</v>
      </c>
    </row>
    <row r="22" spans="1:5" ht="13.5" thickBot="1" x14ac:dyDescent="0.25">
      <c r="A22" s="696" t="s">
        <v>514</v>
      </c>
      <c r="B22" s="71">
        <v>15000</v>
      </c>
      <c r="C22" s="71">
        <v>15000</v>
      </c>
      <c r="D22" s="71">
        <v>15000</v>
      </c>
      <c r="E22" s="71">
        <v>80000</v>
      </c>
    </row>
    <row r="23" spans="1:5" ht="13.5" thickBot="1" x14ac:dyDescent="0.25">
      <c r="A23" s="714" t="s">
        <v>411</v>
      </c>
      <c r="B23" s="715">
        <v>171265000</v>
      </c>
      <c r="C23" s="715">
        <v>195535000</v>
      </c>
      <c r="D23" s="715">
        <v>201715000</v>
      </c>
      <c r="E23" s="715">
        <v>208480000</v>
      </c>
    </row>
    <row r="24" spans="1:5" ht="13.5" thickBot="1" x14ac:dyDescent="0.25">
      <c r="A24" s="714" t="s">
        <v>68</v>
      </c>
      <c r="B24" s="715">
        <v>69183233</v>
      </c>
      <c r="C24" s="715">
        <v>70000000</v>
      </c>
      <c r="D24" s="715">
        <v>72000000</v>
      </c>
      <c r="E24" s="715">
        <v>74000000</v>
      </c>
    </row>
    <row r="25" spans="1:5" ht="13.5" thickBot="1" x14ac:dyDescent="0.25">
      <c r="A25" s="714" t="s">
        <v>527</v>
      </c>
      <c r="B25" s="715">
        <v>164147292</v>
      </c>
      <c r="C25" s="715"/>
      <c r="D25" s="715"/>
      <c r="E25" s="715"/>
    </row>
    <row r="26" spans="1:5" ht="13.5" thickBot="1" x14ac:dyDescent="0.25">
      <c r="A26" s="714" t="s">
        <v>741</v>
      </c>
      <c r="B26" s="715">
        <v>5000000</v>
      </c>
      <c r="C26" s="715"/>
      <c r="D26" s="715"/>
      <c r="E26" s="715"/>
    </row>
    <row r="27" spans="1:5" ht="16.5" customHeight="1" thickBot="1" x14ac:dyDescent="0.25">
      <c r="A27" s="716" t="s">
        <v>412</v>
      </c>
      <c r="B27" s="717">
        <v>504419661</v>
      </c>
      <c r="C27" s="717">
        <v>361421600</v>
      </c>
      <c r="D27" s="717">
        <v>371601600</v>
      </c>
      <c r="E27" s="717">
        <v>380866600</v>
      </c>
    </row>
    <row r="28" spans="1:5" ht="13.5" thickBot="1" x14ac:dyDescent="0.25">
      <c r="A28" s="74"/>
      <c r="B28" s="75"/>
      <c r="C28" s="75"/>
      <c r="D28" s="75"/>
      <c r="E28" s="75"/>
    </row>
    <row r="29" spans="1:5" ht="13.5" thickBot="1" x14ac:dyDescent="0.25">
      <c r="A29" s="712" t="s">
        <v>58</v>
      </c>
      <c r="B29" s="713">
        <v>2019</v>
      </c>
      <c r="C29" s="713">
        <v>2020</v>
      </c>
      <c r="D29" s="713">
        <v>2021</v>
      </c>
      <c r="E29" s="713">
        <v>2022</v>
      </c>
    </row>
    <row r="30" spans="1:5" x14ac:dyDescent="0.2">
      <c r="A30" s="76" t="s">
        <v>0</v>
      </c>
      <c r="B30" s="77">
        <v>86983644</v>
      </c>
      <c r="C30" s="77">
        <v>87000000</v>
      </c>
      <c r="D30" s="77">
        <v>89000000</v>
      </c>
      <c r="E30" s="77">
        <v>91000000</v>
      </c>
    </row>
    <row r="31" spans="1:5" x14ac:dyDescent="0.2">
      <c r="A31" s="78" t="s">
        <v>98</v>
      </c>
      <c r="B31" s="79">
        <v>17383608</v>
      </c>
      <c r="C31" s="79">
        <v>18500000</v>
      </c>
      <c r="D31" s="79">
        <v>18500000</v>
      </c>
      <c r="E31" s="79">
        <v>19000000</v>
      </c>
    </row>
    <row r="32" spans="1:5" x14ac:dyDescent="0.2">
      <c r="A32" s="78" t="s">
        <v>413</v>
      </c>
      <c r="B32" s="79">
        <v>79745477</v>
      </c>
      <c r="C32" s="79">
        <v>55000000</v>
      </c>
      <c r="D32" s="79">
        <v>87500000</v>
      </c>
      <c r="E32" s="79">
        <v>83000000</v>
      </c>
    </row>
    <row r="33" spans="1:5" x14ac:dyDescent="0.2">
      <c r="A33" s="80" t="s">
        <v>414</v>
      </c>
      <c r="B33" s="79">
        <v>7000800</v>
      </c>
      <c r="C33" s="79">
        <v>7500000</v>
      </c>
      <c r="D33" s="79">
        <v>7500000</v>
      </c>
      <c r="E33" s="79">
        <v>7650000</v>
      </c>
    </row>
    <row r="34" spans="1:5" x14ac:dyDescent="0.2">
      <c r="A34" s="80" t="s">
        <v>349</v>
      </c>
      <c r="B34" s="79">
        <v>54562855</v>
      </c>
      <c r="C34" s="79">
        <v>55000000</v>
      </c>
      <c r="D34" s="79">
        <v>55000000</v>
      </c>
      <c r="E34" s="79">
        <v>57000000</v>
      </c>
    </row>
    <row r="35" spans="1:5" x14ac:dyDescent="0.2">
      <c r="A35" s="80" t="s">
        <v>53</v>
      </c>
      <c r="B35" s="79">
        <v>52314000</v>
      </c>
      <c r="C35" s="79">
        <v>15421600</v>
      </c>
      <c r="D35" s="79">
        <v>10101600</v>
      </c>
      <c r="E35" s="79">
        <v>3000000</v>
      </c>
    </row>
    <row r="36" spans="1:5" x14ac:dyDescent="0.2">
      <c r="A36" s="80" t="s">
        <v>100</v>
      </c>
      <c r="B36" s="79">
        <v>99077799</v>
      </c>
      <c r="C36" s="79">
        <v>40000000</v>
      </c>
      <c r="D36" s="79">
        <v>20000000</v>
      </c>
      <c r="E36" s="79">
        <v>34716600</v>
      </c>
    </row>
    <row r="37" spans="1:5" x14ac:dyDescent="0.2">
      <c r="A37" s="80" t="s">
        <v>487</v>
      </c>
      <c r="B37" s="79">
        <v>37310978</v>
      </c>
      <c r="C37" s="79">
        <v>20000000</v>
      </c>
      <c r="D37" s="79">
        <v>20000000</v>
      </c>
      <c r="E37" s="79">
        <v>21000000</v>
      </c>
    </row>
    <row r="38" spans="1:5" x14ac:dyDescent="0.2">
      <c r="A38" s="80" t="s">
        <v>508</v>
      </c>
      <c r="B38" s="79">
        <v>332434</v>
      </c>
      <c r="C38" s="79"/>
      <c r="D38" s="79"/>
      <c r="E38" s="79"/>
    </row>
    <row r="39" spans="1:5" x14ac:dyDescent="0.2">
      <c r="A39" s="80" t="s">
        <v>510</v>
      </c>
      <c r="B39" s="79">
        <v>524833</v>
      </c>
      <c r="C39" s="79"/>
      <c r="D39" s="79"/>
      <c r="E39" s="79"/>
    </row>
    <row r="40" spans="1:5" ht="13.5" thickBot="1" x14ac:dyDescent="0.25">
      <c r="A40" s="710" t="s">
        <v>515</v>
      </c>
      <c r="B40" s="711">
        <v>69183233</v>
      </c>
      <c r="C40" s="711">
        <v>63000000</v>
      </c>
      <c r="D40" s="711">
        <v>64000000</v>
      </c>
      <c r="E40" s="711">
        <v>64500000</v>
      </c>
    </row>
    <row r="41" spans="1:5" ht="16.5" customHeight="1" thickBot="1" x14ac:dyDescent="0.25">
      <c r="A41" s="718" t="s">
        <v>415</v>
      </c>
      <c r="B41" s="718">
        <v>504419661</v>
      </c>
      <c r="C41" s="718">
        <v>361421600</v>
      </c>
      <c r="D41" s="718">
        <v>371601600</v>
      </c>
      <c r="E41" s="718">
        <v>380866600</v>
      </c>
    </row>
  </sheetData>
  <mergeCells count="2">
    <mergeCell ref="A2:E2"/>
    <mergeCell ref="A1:E1"/>
  </mergeCells>
  <phoneticPr fontId="2" type="noConversion"/>
  <pageMargins left="0.7" right="0.7" top="0.75" bottom="0.75" header="0.3" footer="0.3"/>
  <pageSetup paperSize="9" orientation="portrait" horizontalDpi="120" verticalDpi="72" r:id="rId1"/>
  <headerFooter>
    <oddHeader>&amp;LLevél Községi Önkormányzat&amp;CGördülő&amp;R15.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88C3F-8148-4F40-BA06-D2903CC81CF7}">
  <sheetPr>
    <pageSetUpPr fitToPage="1"/>
  </sheetPr>
  <dimension ref="A1:J16"/>
  <sheetViews>
    <sheetView zoomScaleNormal="100" workbookViewId="0">
      <selection sqref="A1:J1"/>
    </sheetView>
  </sheetViews>
  <sheetFormatPr defaultRowHeight="12.75" x14ac:dyDescent="0.2"/>
  <cols>
    <col min="1" max="1" width="39.28515625" bestFit="1" customWidth="1"/>
    <col min="2" max="10" width="12.42578125" bestFit="1" customWidth="1"/>
  </cols>
  <sheetData>
    <row r="1" spans="1:10" x14ac:dyDescent="0.2">
      <c r="A1" s="856" t="s">
        <v>416</v>
      </c>
      <c r="B1" s="856"/>
      <c r="C1" s="856"/>
      <c r="D1" s="856"/>
      <c r="E1" s="856"/>
      <c r="F1" s="856"/>
      <c r="G1" s="856"/>
      <c r="H1" s="856"/>
      <c r="I1" s="856"/>
      <c r="J1" s="856"/>
    </row>
    <row r="2" spans="1:10" x14ac:dyDescent="0.2">
      <c r="A2" s="856" t="s">
        <v>521</v>
      </c>
      <c r="B2" s="856"/>
      <c r="C2" s="856"/>
      <c r="D2" s="856"/>
      <c r="E2" s="856"/>
      <c r="F2" s="856"/>
      <c r="G2" s="856"/>
      <c r="H2" s="856"/>
      <c r="I2" s="856"/>
      <c r="J2" s="856"/>
    </row>
    <row r="3" spans="1:10" x14ac:dyDescent="0.2">
      <c r="A3" s="856" t="s">
        <v>417</v>
      </c>
      <c r="B3" s="856"/>
      <c r="C3" s="856"/>
      <c r="D3" s="856"/>
      <c r="E3" s="856"/>
      <c r="F3" s="856"/>
      <c r="G3" s="856"/>
      <c r="H3" s="856"/>
      <c r="I3" s="856"/>
      <c r="J3" s="856"/>
    </row>
    <row r="4" spans="1:10" x14ac:dyDescent="0.2">
      <c r="A4" s="81"/>
    </row>
    <row r="5" spans="1:10" ht="13.5" thickBot="1" x14ac:dyDescent="0.25">
      <c r="B5" s="66"/>
      <c r="I5" s="857"/>
      <c r="J5" s="857"/>
    </row>
    <row r="6" spans="1:10" ht="16.5" thickBot="1" x14ac:dyDescent="0.3">
      <c r="A6" s="858" t="s">
        <v>79</v>
      </c>
      <c r="B6" s="704">
        <v>2018</v>
      </c>
      <c r="C6" s="705">
        <v>2019</v>
      </c>
      <c r="D6" s="705">
        <v>2020</v>
      </c>
      <c r="E6" s="705">
        <v>2021</v>
      </c>
      <c r="F6" s="705">
        <v>2022</v>
      </c>
      <c r="G6" s="705">
        <v>2023</v>
      </c>
      <c r="H6" s="705">
        <v>2024</v>
      </c>
      <c r="I6" s="705">
        <v>2025</v>
      </c>
      <c r="J6" s="705" t="s">
        <v>522</v>
      </c>
    </row>
    <row r="7" spans="1:10" ht="16.5" thickBot="1" x14ac:dyDescent="0.3">
      <c r="A7" s="858"/>
      <c r="B7" s="704" t="s">
        <v>418</v>
      </c>
      <c r="C7" s="704" t="s">
        <v>418</v>
      </c>
      <c r="D7" s="704" t="s">
        <v>418</v>
      </c>
      <c r="E7" s="704" t="s">
        <v>418</v>
      </c>
      <c r="F7" s="704" t="s">
        <v>418</v>
      </c>
      <c r="G7" s="704" t="s">
        <v>418</v>
      </c>
      <c r="H7" s="704" t="s">
        <v>418</v>
      </c>
      <c r="I7" s="704" t="s">
        <v>418</v>
      </c>
      <c r="J7" s="704" t="s">
        <v>418</v>
      </c>
    </row>
    <row r="8" spans="1:10" ht="15.75" x14ac:dyDescent="0.25">
      <c r="A8" s="702" t="s">
        <v>406</v>
      </c>
      <c r="B8" s="703">
        <f>[1]Önkormányzat!F116</f>
        <v>171265000</v>
      </c>
      <c r="C8" s="703">
        <v>161415000</v>
      </c>
      <c r="D8" s="703">
        <v>164565000</v>
      </c>
      <c r="E8" s="703">
        <v>174200000</v>
      </c>
      <c r="F8" s="703">
        <v>175000000</v>
      </c>
      <c r="G8" s="703">
        <v>176000000</v>
      </c>
      <c r="H8" s="703">
        <v>177500000</v>
      </c>
      <c r="I8" s="703">
        <v>178000000</v>
      </c>
      <c r="J8" s="703">
        <v>179000000</v>
      </c>
    </row>
    <row r="9" spans="1:10" ht="15.75" x14ac:dyDescent="0.25">
      <c r="A9" s="697" t="s">
        <v>419</v>
      </c>
      <c r="B9" s="698"/>
      <c r="C9" s="698"/>
      <c r="D9" s="698"/>
      <c r="E9" s="698"/>
      <c r="F9" s="698"/>
      <c r="G9" s="698"/>
      <c r="H9" s="698"/>
      <c r="I9" s="698"/>
      <c r="J9" s="698"/>
    </row>
    <row r="10" spans="1:10" ht="15.75" x14ac:dyDescent="0.25">
      <c r="A10" s="697" t="s">
        <v>420</v>
      </c>
      <c r="B10" s="698"/>
      <c r="C10" s="698"/>
      <c r="D10" s="698"/>
      <c r="E10" s="698"/>
      <c r="F10" s="698"/>
      <c r="G10" s="698"/>
      <c r="H10" s="698"/>
      <c r="I10" s="698"/>
      <c r="J10" s="698"/>
    </row>
    <row r="11" spans="1:10" ht="47.25" x14ac:dyDescent="0.25">
      <c r="A11" s="699" t="s">
        <v>421</v>
      </c>
      <c r="B11" s="700">
        <f>[1]Önkormányzat!F127</f>
        <v>460000</v>
      </c>
      <c r="C11" s="700"/>
      <c r="D11" s="700"/>
      <c r="E11" s="700"/>
      <c r="F11" s="700"/>
      <c r="G11" s="700"/>
      <c r="H11" s="700"/>
      <c r="I11" s="700"/>
      <c r="J11" s="698"/>
    </row>
    <row r="12" spans="1:10" ht="37.5" customHeight="1" x14ac:dyDescent="0.25">
      <c r="A12" s="701" t="s">
        <v>422</v>
      </c>
      <c r="B12" s="700"/>
      <c r="C12" s="700"/>
      <c r="D12" s="700"/>
      <c r="E12" s="700"/>
      <c r="F12" s="700"/>
      <c r="G12" s="700"/>
      <c r="H12" s="700"/>
      <c r="I12" s="700"/>
      <c r="J12" s="698"/>
    </row>
    <row r="13" spans="1:10" ht="39" customHeight="1" x14ac:dyDescent="0.25">
      <c r="A13" s="701" t="s">
        <v>423</v>
      </c>
      <c r="B13" s="700"/>
      <c r="C13" s="700"/>
      <c r="D13" s="700"/>
      <c r="E13" s="700"/>
      <c r="F13" s="700"/>
      <c r="G13" s="700"/>
      <c r="H13" s="700"/>
      <c r="I13" s="700"/>
      <c r="J13" s="698"/>
    </row>
    <row r="14" spans="1:10" ht="16.5" thickBot="1" x14ac:dyDescent="0.3">
      <c r="A14" s="82" t="s">
        <v>424</v>
      </c>
      <c r="B14" s="83"/>
      <c r="C14" s="83"/>
      <c r="D14" s="83"/>
      <c r="E14" s="83"/>
      <c r="F14" s="83"/>
      <c r="G14" s="83"/>
      <c r="H14" s="83"/>
      <c r="I14" s="83"/>
      <c r="J14" s="83"/>
    </row>
    <row r="15" spans="1:10" ht="16.5" thickBot="1" x14ac:dyDescent="0.3">
      <c r="A15" s="706" t="s">
        <v>425</v>
      </c>
      <c r="B15" s="707">
        <f>SUM(B8:B14)</f>
        <v>171725000</v>
      </c>
      <c r="C15" s="707">
        <f t="shared" ref="C15:J15" si="0">SUM(C8:C14)</f>
        <v>161415000</v>
      </c>
      <c r="D15" s="707">
        <f t="shared" si="0"/>
        <v>164565000</v>
      </c>
      <c r="E15" s="707">
        <f t="shared" si="0"/>
        <v>174200000</v>
      </c>
      <c r="F15" s="707">
        <f t="shared" si="0"/>
        <v>175000000</v>
      </c>
      <c r="G15" s="707">
        <f t="shared" si="0"/>
        <v>176000000</v>
      </c>
      <c r="H15" s="707">
        <f t="shared" si="0"/>
        <v>177500000</v>
      </c>
      <c r="I15" s="707">
        <f t="shared" si="0"/>
        <v>178000000</v>
      </c>
      <c r="J15" s="707">
        <f t="shared" si="0"/>
        <v>179000000</v>
      </c>
    </row>
    <row r="16" spans="1:10" ht="16.5" thickBot="1" x14ac:dyDescent="0.3">
      <c r="A16" s="706" t="s">
        <v>426</v>
      </c>
      <c r="B16" s="707">
        <f>B15/2</f>
        <v>85862500</v>
      </c>
      <c r="C16" s="707">
        <f t="shared" ref="C16:J16" si="1">C15/2</f>
        <v>80707500</v>
      </c>
      <c r="D16" s="707">
        <f t="shared" si="1"/>
        <v>82282500</v>
      </c>
      <c r="E16" s="707">
        <f t="shared" si="1"/>
        <v>87100000</v>
      </c>
      <c r="F16" s="707">
        <f t="shared" si="1"/>
        <v>87500000</v>
      </c>
      <c r="G16" s="707">
        <f t="shared" si="1"/>
        <v>88000000</v>
      </c>
      <c r="H16" s="707">
        <f t="shared" si="1"/>
        <v>88750000</v>
      </c>
      <c r="I16" s="707">
        <f t="shared" si="1"/>
        <v>89000000</v>
      </c>
      <c r="J16" s="707">
        <f t="shared" si="1"/>
        <v>89500000</v>
      </c>
    </row>
  </sheetData>
  <mergeCells count="5">
    <mergeCell ref="A1:J1"/>
    <mergeCell ref="A2:J2"/>
    <mergeCell ref="A3:J3"/>
    <mergeCell ref="I5:J5"/>
    <mergeCell ref="A6:A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horizontalDpi="120" verticalDpi="72" r:id="rId1"/>
  <headerFooter>
    <oddHeader>&amp;LLevél Községi Önkormányzat&amp;R16.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00B0F0"/>
    <pageSetUpPr fitToPage="1"/>
  </sheetPr>
  <dimension ref="A1:J31"/>
  <sheetViews>
    <sheetView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6.7109375" bestFit="1" customWidth="1"/>
    <col min="2" max="2" width="60.85546875" bestFit="1" customWidth="1"/>
    <col min="3" max="3" width="21" bestFit="1" customWidth="1"/>
    <col min="4" max="4" width="22.5703125" bestFit="1" customWidth="1"/>
    <col min="5" max="5" width="8.42578125" bestFit="1" customWidth="1"/>
    <col min="6" max="6" width="7.42578125" bestFit="1" customWidth="1"/>
    <col min="7" max="7" width="56" bestFit="1" customWidth="1"/>
    <col min="8" max="8" width="21.28515625" bestFit="1" customWidth="1"/>
    <col min="9" max="9" width="21.140625" bestFit="1" customWidth="1"/>
    <col min="10" max="10" width="9.140625" bestFit="1" customWidth="1"/>
  </cols>
  <sheetData>
    <row r="1" spans="1:10" ht="20.100000000000001" customHeight="1" x14ac:dyDescent="0.2">
      <c r="A1" s="740"/>
      <c r="B1" s="747" t="s">
        <v>82</v>
      </c>
      <c r="C1" s="187"/>
      <c r="D1" s="242"/>
      <c r="E1" s="737" t="s">
        <v>674</v>
      </c>
      <c r="F1" s="742"/>
      <c r="G1" s="744" t="s">
        <v>58</v>
      </c>
      <c r="H1" s="187"/>
      <c r="I1" s="242"/>
      <c r="J1" s="737" t="s">
        <v>674</v>
      </c>
    </row>
    <row r="2" spans="1:10" ht="15" customHeight="1" x14ac:dyDescent="0.2">
      <c r="A2" s="740"/>
      <c r="B2" s="747"/>
      <c r="C2" s="188">
        <v>2019</v>
      </c>
      <c r="D2" s="243">
        <v>2019</v>
      </c>
      <c r="E2" s="738"/>
      <c r="F2" s="742"/>
      <c r="G2" s="745"/>
      <c r="H2" s="188">
        <v>2019</v>
      </c>
      <c r="I2" s="243">
        <v>2019</v>
      </c>
      <c r="J2" s="738"/>
    </row>
    <row r="3" spans="1:10" ht="40.5" customHeight="1" thickBot="1" x14ac:dyDescent="0.25">
      <c r="A3" s="741"/>
      <c r="B3" s="748"/>
      <c r="C3" s="513" t="s">
        <v>64</v>
      </c>
      <c r="D3" s="514" t="s">
        <v>684</v>
      </c>
      <c r="E3" s="749"/>
      <c r="F3" s="743"/>
      <c r="G3" s="746"/>
      <c r="H3" s="189" t="s">
        <v>64</v>
      </c>
      <c r="I3" s="241" t="s">
        <v>684</v>
      </c>
      <c r="J3" s="739"/>
    </row>
    <row r="4" spans="1:10" ht="20.100000000000001" customHeight="1" x14ac:dyDescent="0.3">
      <c r="A4" s="157" t="s">
        <v>269</v>
      </c>
      <c r="B4" s="190" t="s">
        <v>263</v>
      </c>
      <c r="C4" s="159">
        <f>'Ktvetési mérleg - 1. mell.'!C3</f>
        <v>56512929</v>
      </c>
      <c r="D4" s="244">
        <f>'Ktvetési mérleg - 1. mell.'!D3</f>
        <v>58302796</v>
      </c>
      <c r="E4" s="255">
        <f>D4/C4-1</f>
        <v>3.1671814426748268E-2</v>
      </c>
      <c r="F4" s="203" t="s">
        <v>141</v>
      </c>
      <c r="G4" s="185" t="s">
        <v>0</v>
      </c>
      <c r="H4" s="161">
        <f>'Kiadás össz. - 4. mell.'!K4</f>
        <v>86983644</v>
      </c>
      <c r="I4" s="245">
        <f>'Kiadás össz. - 4. mell.'!L4</f>
        <v>89460869</v>
      </c>
      <c r="J4" s="261">
        <f t="shared" ref="J4:J31" si="0">I4/H4-1</f>
        <v>2.8479204665189606E-2</v>
      </c>
    </row>
    <row r="5" spans="1:10" ht="20.100000000000001" customHeight="1" x14ac:dyDescent="0.3">
      <c r="A5" s="157" t="s">
        <v>270</v>
      </c>
      <c r="B5" s="190" t="s">
        <v>339</v>
      </c>
      <c r="C5" s="159">
        <f>'Ktvetési mérleg - 1. mell.'!C4</f>
        <v>21112800</v>
      </c>
      <c r="D5" s="244">
        <f>'Ktvetési mérleg - 1. mell.'!D4</f>
        <v>21112800</v>
      </c>
      <c r="E5" s="256">
        <f t="shared" ref="E5:E31" si="1">D5/C5-1</f>
        <v>0</v>
      </c>
      <c r="F5" s="203" t="s">
        <v>146</v>
      </c>
      <c r="G5" s="185" t="s">
        <v>50</v>
      </c>
      <c r="H5" s="161">
        <f>'Kiadás össz. - 4. mell.'!K5</f>
        <v>17383608</v>
      </c>
      <c r="I5" s="245">
        <f>'Kiadás össz. - 4. mell.'!L5</f>
        <v>16598883</v>
      </c>
      <c r="J5" s="261">
        <f t="shared" si="0"/>
        <v>-4.5141664492204359E-2</v>
      </c>
    </row>
    <row r="6" spans="1:10" ht="20.100000000000001" customHeight="1" x14ac:dyDescent="0.3">
      <c r="A6" s="160" t="s">
        <v>262</v>
      </c>
      <c r="B6" s="185" t="s">
        <v>354</v>
      </c>
      <c r="C6" s="161">
        <f>SUM(C4:C5)</f>
        <v>77625729</v>
      </c>
      <c r="D6" s="245">
        <f>SUM(D4:D5)</f>
        <v>79415596</v>
      </c>
      <c r="E6" s="257">
        <f t="shared" si="1"/>
        <v>2.3057651413489477E-2</v>
      </c>
      <c r="F6" s="203" t="s">
        <v>198</v>
      </c>
      <c r="G6" s="185" t="s">
        <v>1</v>
      </c>
      <c r="H6" s="161">
        <f>'Kiadás össz. - 4. mell.'!K6</f>
        <v>79745477</v>
      </c>
      <c r="I6" s="245">
        <f>'Kiadás össz. - 4. mell.'!L6</f>
        <v>93255905</v>
      </c>
      <c r="J6" s="261">
        <f t="shared" si="0"/>
        <v>0.16941936405998304</v>
      </c>
    </row>
    <row r="7" spans="1:10" ht="20.100000000000001" customHeight="1" x14ac:dyDescent="0.3">
      <c r="A7" s="157"/>
      <c r="B7" s="190"/>
      <c r="C7" s="159"/>
      <c r="D7" s="244"/>
      <c r="E7" s="252"/>
      <c r="F7" s="203" t="s">
        <v>215</v>
      </c>
      <c r="G7" s="185" t="s">
        <v>2</v>
      </c>
      <c r="H7" s="161">
        <f>'Kiadás össz. - 4. mell.'!K7</f>
        <v>7000800</v>
      </c>
      <c r="I7" s="245">
        <f>'Kiadás össz. - 4. mell.'!L7</f>
        <v>4696800</v>
      </c>
      <c r="J7" s="261">
        <f t="shared" si="0"/>
        <v>-0.32910524511484407</v>
      </c>
    </row>
    <row r="8" spans="1:10" ht="20.100000000000001" customHeight="1" x14ac:dyDescent="0.3">
      <c r="A8" s="160" t="s">
        <v>282</v>
      </c>
      <c r="B8" s="185" t="s">
        <v>342</v>
      </c>
      <c r="C8" s="161">
        <f>'Ktvetési mérleg - 1. mell.'!C18</f>
        <v>171265000</v>
      </c>
      <c r="D8" s="245">
        <f>'Ktvetési mérleg - 1. mell.'!D18</f>
        <v>171265000</v>
      </c>
      <c r="E8" s="257">
        <f t="shared" si="1"/>
        <v>0</v>
      </c>
      <c r="F8" s="204" t="s">
        <v>216</v>
      </c>
      <c r="G8" s="190" t="s">
        <v>217</v>
      </c>
      <c r="H8" s="159">
        <f>'Kiadás össz. - 4. mell.'!K8</f>
        <v>18163453</v>
      </c>
      <c r="I8" s="244">
        <f>'Kiadás össz. - 4. mell.'!L8</f>
        <v>18163453</v>
      </c>
      <c r="J8" s="260">
        <f t="shared" si="0"/>
        <v>0</v>
      </c>
    </row>
    <row r="9" spans="1:10" ht="20.100000000000001" customHeight="1" x14ac:dyDescent="0.3">
      <c r="A9" s="160" t="s">
        <v>284</v>
      </c>
      <c r="B9" s="185" t="s">
        <v>96</v>
      </c>
      <c r="C9" s="161">
        <f>'Ktvetési mérleg - 1. mell.'!C19</f>
        <v>13851807</v>
      </c>
      <c r="D9" s="245">
        <f>'Ktvetési mérleg - 1. mell.'!D19</f>
        <v>14951807</v>
      </c>
      <c r="E9" s="257">
        <f t="shared" si="1"/>
        <v>7.9412021839461167E-2</v>
      </c>
      <c r="F9" s="204" t="s">
        <v>218</v>
      </c>
      <c r="G9" s="190" t="s">
        <v>250</v>
      </c>
      <c r="H9" s="159">
        <f>'Kiadás össz. - 4. mell.'!K9</f>
        <v>21152748</v>
      </c>
      <c r="I9" s="244">
        <f>'Kiadás össz. - 4. mell.'!L9</f>
        <v>21152748</v>
      </c>
      <c r="J9" s="260">
        <f t="shared" si="0"/>
        <v>0</v>
      </c>
    </row>
    <row r="10" spans="1:10" ht="20.100000000000001" customHeight="1" x14ac:dyDescent="0.25">
      <c r="A10" s="157" t="s">
        <v>306</v>
      </c>
      <c r="B10" s="190" t="s">
        <v>355</v>
      </c>
      <c r="C10" s="159">
        <f>'Ktvetési mérleg - 1. mell.'!C21</f>
        <v>0</v>
      </c>
      <c r="D10" s="244">
        <f>'Ktvetési mérleg - 1. mell.'!D21</f>
        <v>0</v>
      </c>
      <c r="E10" s="252"/>
      <c r="F10" s="204" t="s">
        <v>220</v>
      </c>
      <c r="G10" s="190" t="s">
        <v>346</v>
      </c>
      <c r="H10" s="159">
        <f>'Kiadás össz. - 4. mell.'!K10</f>
        <v>0</v>
      </c>
      <c r="I10" s="244">
        <f>'Kiadás össz. - 4. mell.'!L10</f>
        <v>0</v>
      </c>
      <c r="J10" s="260"/>
    </row>
    <row r="11" spans="1:10" ht="20.100000000000001" customHeight="1" x14ac:dyDescent="0.25">
      <c r="A11" s="157" t="s">
        <v>630</v>
      </c>
      <c r="B11" s="190" t="s">
        <v>356</v>
      </c>
      <c r="C11" s="159">
        <f>'Ktvetési mérleg - 1. mell.'!C22</f>
        <v>0</v>
      </c>
      <c r="D11" s="244">
        <f>'Ktvetési mérleg - 1. mell.'!D22</f>
        <v>47560</v>
      </c>
      <c r="E11" s="252"/>
      <c r="F11" s="204" t="s">
        <v>223</v>
      </c>
      <c r="G11" s="190" t="s">
        <v>252</v>
      </c>
      <c r="H11" s="159">
        <f>'Kiadás össz. - 4. mell.'!K11</f>
        <v>15246654</v>
      </c>
      <c r="I11" s="244">
        <f>'Kiadás össz. - 4. mell.'!L11</f>
        <v>15083154</v>
      </c>
      <c r="J11" s="260">
        <f t="shared" si="0"/>
        <v>-1.0723664352847551E-2</v>
      </c>
    </row>
    <row r="12" spans="1:10" ht="20.100000000000001" customHeight="1" x14ac:dyDescent="0.3">
      <c r="A12" s="160" t="s">
        <v>309</v>
      </c>
      <c r="B12" s="185" t="s">
        <v>357</v>
      </c>
      <c r="C12" s="161">
        <f>SUM(C10:C11)</f>
        <v>0</v>
      </c>
      <c r="D12" s="245">
        <f>SUM(D10:D11)</f>
        <v>47560</v>
      </c>
      <c r="E12" s="257"/>
      <c r="F12" s="203" t="s">
        <v>225</v>
      </c>
      <c r="G12" s="185" t="s">
        <v>349</v>
      </c>
      <c r="H12" s="161">
        <f>SUM(H8:H11)</f>
        <v>54562855</v>
      </c>
      <c r="I12" s="245">
        <f>SUM(I8:I11)</f>
        <v>54399355</v>
      </c>
      <c r="J12" s="261">
        <f t="shared" si="0"/>
        <v>-2.9965440774680774E-3</v>
      </c>
    </row>
    <row r="13" spans="1:10" ht="20.100000000000001" customHeight="1" x14ac:dyDescent="0.25">
      <c r="A13" s="157"/>
      <c r="B13" s="190" t="s">
        <v>105</v>
      </c>
      <c r="C13" s="159"/>
      <c r="D13" s="244"/>
      <c r="E13" s="252"/>
      <c r="F13" s="204" t="s">
        <v>578</v>
      </c>
      <c r="G13" s="190" t="s">
        <v>53</v>
      </c>
      <c r="H13" s="159">
        <f>'Kiadás össz. - 4. mell.'!K19</f>
        <v>52314000</v>
      </c>
      <c r="I13" s="244">
        <f>'Kiadás össz. - 4. mell.'!L19</f>
        <v>40609201</v>
      </c>
      <c r="J13" s="260">
        <f t="shared" si="0"/>
        <v>-0.22374123561570514</v>
      </c>
    </row>
    <row r="14" spans="1:10" ht="20.100000000000001" customHeight="1" x14ac:dyDescent="0.25">
      <c r="A14" s="157"/>
      <c r="B14" s="190" t="s">
        <v>362</v>
      </c>
      <c r="C14" s="159"/>
      <c r="D14" s="244"/>
      <c r="E14" s="252"/>
      <c r="F14" s="204"/>
      <c r="G14" s="190" t="s">
        <v>55</v>
      </c>
      <c r="H14" s="159"/>
      <c r="I14" s="244"/>
      <c r="J14" s="260"/>
    </row>
    <row r="15" spans="1:10" ht="20.100000000000001" customHeight="1" x14ac:dyDescent="0.3">
      <c r="A15" s="160"/>
      <c r="B15" s="185" t="s">
        <v>647</v>
      </c>
      <c r="C15" s="161">
        <f>SUM(C13:C14)</f>
        <v>0</v>
      </c>
      <c r="D15" s="245">
        <f>SUM(D13:D14)</f>
        <v>0</v>
      </c>
      <c r="E15" s="257"/>
      <c r="F15" s="203"/>
      <c r="G15" s="185" t="s">
        <v>648</v>
      </c>
      <c r="H15" s="161">
        <f t="shared" ref="H15:I15" si="2">SUM(H13:H14)</f>
        <v>52314000</v>
      </c>
      <c r="I15" s="245">
        <f t="shared" si="2"/>
        <v>40609201</v>
      </c>
      <c r="J15" s="261">
        <f t="shared" si="0"/>
        <v>-0.22374123561570514</v>
      </c>
    </row>
    <row r="16" spans="1:10" ht="20.100000000000001" customHeight="1" thickBot="1" x14ac:dyDescent="0.35">
      <c r="A16" s="191"/>
      <c r="B16" s="192" t="s">
        <v>106</v>
      </c>
      <c r="C16" s="193">
        <f>SUM(C6:C9,C12,C15)</f>
        <v>262742536</v>
      </c>
      <c r="D16" s="246">
        <f>SUM(D6:D9,D12,D15)</f>
        <v>265679963</v>
      </c>
      <c r="E16" s="258">
        <f t="shared" si="1"/>
        <v>1.1179868493010225E-2</v>
      </c>
      <c r="F16" s="205"/>
      <c r="G16" s="192" t="s">
        <v>107</v>
      </c>
      <c r="H16" s="193">
        <f>SUM(H4:H7,H12,H15)</f>
        <v>297990384</v>
      </c>
      <c r="I16" s="246">
        <f>SUM(I4:I7,I12,I15)</f>
        <v>299021013</v>
      </c>
      <c r="J16" s="262">
        <f t="shared" si="0"/>
        <v>3.4585981808057387E-3</v>
      </c>
    </row>
    <row r="17" spans="1:10" ht="20.100000000000001" customHeight="1" thickBot="1" x14ac:dyDescent="0.25">
      <c r="A17" s="201"/>
      <c r="B17" s="202" t="s">
        <v>108</v>
      </c>
      <c r="C17" s="199"/>
      <c r="D17" s="247"/>
      <c r="E17" s="253"/>
      <c r="F17" s="206"/>
      <c r="G17" s="202" t="s">
        <v>109</v>
      </c>
      <c r="H17" s="200"/>
      <c r="I17" s="250"/>
      <c r="J17" s="254"/>
    </row>
    <row r="18" spans="1:10" ht="20.100000000000001" customHeight="1" x14ac:dyDescent="0.3">
      <c r="A18" s="194" t="s">
        <v>274</v>
      </c>
      <c r="B18" s="195" t="s">
        <v>430</v>
      </c>
      <c r="C18" s="196">
        <f>'Ktvetési mérleg - 1. mell.'!C6</f>
        <v>0</v>
      </c>
      <c r="D18" s="248">
        <f>'Ktvetési mérleg - 1. mell.'!D6</f>
        <v>0</v>
      </c>
      <c r="E18" s="252"/>
      <c r="F18" s="207" t="s">
        <v>206</v>
      </c>
      <c r="G18" s="197" t="s">
        <v>3</v>
      </c>
      <c r="H18" s="198">
        <f>'Kiadás össz. - 4. mell.'!K13</f>
        <v>99077799</v>
      </c>
      <c r="I18" s="251">
        <f>'Kiadás össz. - 4. mell.'!L13</f>
        <v>117092876</v>
      </c>
      <c r="J18" s="263">
        <f t="shared" si="0"/>
        <v>0.18182758581465874</v>
      </c>
    </row>
    <row r="19" spans="1:10" ht="20.100000000000001" customHeight="1" x14ac:dyDescent="0.3">
      <c r="A19" s="157" t="s">
        <v>272</v>
      </c>
      <c r="B19" s="190" t="s">
        <v>341</v>
      </c>
      <c r="C19" s="159">
        <f>'Ktvetési mérleg - 1. mell.'!C7</f>
        <v>0</v>
      </c>
      <c r="D19" s="244">
        <f>'Ktvetési mérleg - 1. mell.'!D7</f>
        <v>175076</v>
      </c>
      <c r="E19" s="252"/>
      <c r="F19" s="203" t="s">
        <v>209</v>
      </c>
      <c r="G19" s="185" t="s">
        <v>56</v>
      </c>
      <c r="H19" s="161">
        <f>'Kiadás össz. - 4. mell.'!K14</f>
        <v>37310978</v>
      </c>
      <c r="I19" s="245">
        <f>'Kiadás össz. - 4. mell.'!L14</f>
        <v>47105913</v>
      </c>
      <c r="J19" s="261">
        <f t="shared" si="0"/>
        <v>0.26252152918639649</v>
      </c>
    </row>
    <row r="20" spans="1:10" ht="20.100000000000001" customHeight="1" x14ac:dyDescent="0.3">
      <c r="A20" s="160" t="s">
        <v>273</v>
      </c>
      <c r="B20" s="185" t="s">
        <v>343</v>
      </c>
      <c r="C20" s="161">
        <f>SUM(C18:C19)</f>
        <v>0</v>
      </c>
      <c r="D20" s="245">
        <f>SUM(D18:D19)</f>
        <v>175076</v>
      </c>
      <c r="E20" s="257"/>
      <c r="F20" s="204"/>
      <c r="G20" s="190"/>
      <c r="H20" s="159"/>
      <c r="I20" s="244"/>
      <c r="J20" s="260"/>
    </row>
    <row r="21" spans="1:10" ht="20.100000000000001" customHeight="1" x14ac:dyDescent="0.3">
      <c r="A21" s="160" t="s">
        <v>344</v>
      </c>
      <c r="B21" s="185" t="s">
        <v>345</v>
      </c>
      <c r="C21" s="161">
        <f>'Ktvetési mérleg - 1. mell.'!C20</f>
        <v>460000</v>
      </c>
      <c r="D21" s="245">
        <f>'Ktvetési mérleg - 1. mell.'!D20</f>
        <v>460000</v>
      </c>
      <c r="E21" s="257">
        <f t="shared" si="1"/>
        <v>0</v>
      </c>
      <c r="F21" s="204" t="s">
        <v>210</v>
      </c>
      <c r="G21" s="190" t="s">
        <v>257</v>
      </c>
      <c r="H21" s="159">
        <f>'Kiadás össz. - 4. mell.'!K15</f>
        <v>0</v>
      </c>
      <c r="I21" s="244">
        <f>'Kiadás össz. - 4. mell.'!L15</f>
        <v>0</v>
      </c>
      <c r="J21" s="260"/>
    </row>
    <row r="22" spans="1:10" ht="20.100000000000001" customHeight="1" x14ac:dyDescent="0.25">
      <c r="A22" s="157" t="s">
        <v>313</v>
      </c>
      <c r="B22" s="190" t="s">
        <v>314</v>
      </c>
      <c r="C22" s="159">
        <f>'Ktvetési mérleg - 1. mell.'!C24</f>
        <v>0</v>
      </c>
      <c r="D22" s="244">
        <f>'Ktvetési mérleg - 1. mell.'!D24</f>
        <v>0</v>
      </c>
      <c r="E22" s="252"/>
      <c r="F22" s="204" t="s">
        <v>211</v>
      </c>
      <c r="G22" s="190" t="s">
        <v>258</v>
      </c>
      <c r="H22" s="159">
        <f>'Kiadás össz. - 4. mell.'!K16</f>
        <v>0</v>
      </c>
      <c r="I22" s="244">
        <f>'Kiadás össz. - 4. mell.'!L16</f>
        <v>0</v>
      </c>
      <c r="J22" s="260"/>
    </row>
    <row r="23" spans="1:10" ht="20.100000000000001" customHeight="1" x14ac:dyDescent="0.25">
      <c r="A23" s="157" t="s">
        <v>632</v>
      </c>
      <c r="B23" s="190" t="s">
        <v>359</v>
      </c>
      <c r="C23" s="159">
        <f>'Ktvetési mérleg - 1. mell.'!C25</f>
        <v>2886600</v>
      </c>
      <c r="D23" s="244">
        <f>'Ktvetési mérleg - 1. mell.'!D25</f>
        <v>2886600</v>
      </c>
      <c r="E23" s="256">
        <f t="shared" si="1"/>
        <v>0</v>
      </c>
      <c r="F23" s="204" t="s">
        <v>212</v>
      </c>
      <c r="G23" s="190" t="s">
        <v>259</v>
      </c>
      <c r="H23" s="159">
        <f>'Kiadás össz. - 4. mell.'!K17</f>
        <v>0</v>
      </c>
      <c r="I23" s="244">
        <f>'Kiadás össz. - 4. mell.'!L17</f>
        <v>0</v>
      </c>
      <c r="J23" s="260"/>
    </row>
    <row r="24" spans="1:10" ht="20.100000000000001" customHeight="1" x14ac:dyDescent="0.3">
      <c r="A24" s="160" t="s">
        <v>310</v>
      </c>
      <c r="B24" s="185" t="s">
        <v>358</v>
      </c>
      <c r="C24" s="161">
        <f>SUM(C22:C23)</f>
        <v>2886600</v>
      </c>
      <c r="D24" s="245">
        <f>SUM(D22:D23)</f>
        <v>2886600</v>
      </c>
      <c r="E24" s="257">
        <f t="shared" si="1"/>
        <v>0</v>
      </c>
      <c r="F24" s="203" t="s">
        <v>213</v>
      </c>
      <c r="G24" s="185" t="s">
        <v>350</v>
      </c>
      <c r="H24" s="161">
        <f>SUM(H20:H23)</f>
        <v>0</v>
      </c>
      <c r="I24" s="245">
        <f>SUM(I20:I23)</f>
        <v>0</v>
      </c>
      <c r="J24" s="261"/>
    </row>
    <row r="25" spans="1:10" ht="19.5" customHeight="1" x14ac:dyDescent="0.25">
      <c r="A25" s="157" t="s">
        <v>317</v>
      </c>
      <c r="B25" s="190" t="s">
        <v>105</v>
      </c>
      <c r="C25" s="159">
        <f>'Ktvetési mérleg - 1. mell.'!C28-C13</f>
        <v>5000000</v>
      </c>
      <c r="D25" s="244">
        <f>'Ktvetési mérleg - 1. mell.'!D28-D13</f>
        <v>5000000</v>
      </c>
      <c r="E25" s="256">
        <f t="shared" si="1"/>
        <v>0</v>
      </c>
      <c r="F25" s="204" t="s">
        <v>500</v>
      </c>
      <c r="G25" s="190" t="s">
        <v>509</v>
      </c>
      <c r="H25" s="159">
        <f>'Kiadás össz. - 4. mell.'!K21</f>
        <v>524833</v>
      </c>
      <c r="I25" s="244">
        <f>'Kiadás össz. - 4. mell.'!L21</f>
        <v>524833</v>
      </c>
      <c r="J25" s="260">
        <f t="shared" si="0"/>
        <v>0</v>
      </c>
    </row>
    <row r="26" spans="1:10" ht="20.100000000000001" customHeight="1" x14ac:dyDescent="0.25">
      <c r="A26" s="157" t="s">
        <v>318</v>
      </c>
      <c r="B26" s="190" t="s">
        <v>525</v>
      </c>
      <c r="C26" s="159">
        <f>'Ktvetési mérleg - 1. mell.'!C29-C14</f>
        <v>164147292</v>
      </c>
      <c r="D26" s="244">
        <f>'Ktvetési mérleg - 1. mell.'!D29-D14</f>
        <v>189628159</v>
      </c>
      <c r="E26" s="256">
        <f t="shared" si="1"/>
        <v>0.15523172322574785</v>
      </c>
      <c r="F26" s="204" t="s">
        <v>249</v>
      </c>
      <c r="G26" s="190" t="s">
        <v>68</v>
      </c>
      <c r="H26" s="159">
        <f>'Kiadás össz. - 4. mell.'!K22</f>
        <v>69183233</v>
      </c>
      <c r="I26" s="244">
        <f>'Kiadás össz. - 4. mell.'!L22</f>
        <v>69212153</v>
      </c>
      <c r="J26" s="260">
        <f t="shared" si="0"/>
        <v>4.1802036051130642E-4</v>
      </c>
    </row>
    <row r="27" spans="1:10" ht="20.100000000000001" customHeight="1" x14ac:dyDescent="0.25">
      <c r="A27" s="157" t="s">
        <v>320</v>
      </c>
      <c r="B27" s="190" t="s">
        <v>68</v>
      </c>
      <c r="C27" s="159">
        <f>'Ktvetési mérleg - 1. mell.'!C32</f>
        <v>69183233</v>
      </c>
      <c r="D27" s="244">
        <f>'Ktvetési mérleg - 1. mell.'!D32</f>
        <v>69212153</v>
      </c>
      <c r="E27" s="256">
        <f t="shared" si="1"/>
        <v>4.1802036051130642E-4</v>
      </c>
      <c r="F27" s="204" t="s">
        <v>498</v>
      </c>
      <c r="G27" s="190" t="s">
        <v>508</v>
      </c>
      <c r="H27" s="159">
        <f>'Kiadás össz. - 4. mell.'!K23</f>
        <v>332434</v>
      </c>
      <c r="I27" s="244">
        <f>'Kiadás össz. - 4. mell.'!L23</f>
        <v>85163</v>
      </c>
      <c r="J27" s="260">
        <f t="shared" si="0"/>
        <v>-0.74381982589025197</v>
      </c>
    </row>
    <row r="28" spans="1:10" ht="20.100000000000001" customHeight="1" x14ac:dyDescent="0.3">
      <c r="A28" s="160" t="s">
        <v>360</v>
      </c>
      <c r="B28" s="185" t="s">
        <v>647</v>
      </c>
      <c r="C28" s="161">
        <f>SUM(C25:C27)</f>
        <v>238330525</v>
      </c>
      <c r="D28" s="245">
        <f>SUM(D25:D27)</f>
        <v>263840312</v>
      </c>
      <c r="E28" s="257">
        <f t="shared" si="1"/>
        <v>0.10703533254919817</v>
      </c>
      <c r="F28" s="203" t="s">
        <v>361</v>
      </c>
      <c r="G28" s="185" t="s">
        <v>648</v>
      </c>
      <c r="H28" s="161">
        <f>SUM(H25:H27)</f>
        <v>70040500</v>
      </c>
      <c r="I28" s="245">
        <f>SUM(I25:I27)</f>
        <v>69822149</v>
      </c>
      <c r="J28" s="261">
        <f t="shared" si="0"/>
        <v>-3.117496305708789E-3</v>
      </c>
    </row>
    <row r="29" spans="1:10" ht="20.100000000000001" customHeight="1" thickBot="1" x14ac:dyDescent="0.35">
      <c r="A29" s="191"/>
      <c r="B29" s="192" t="s">
        <v>649</v>
      </c>
      <c r="C29" s="193">
        <f>SUM(C28,C24,C20,C21)</f>
        <v>241677125</v>
      </c>
      <c r="D29" s="246">
        <f>SUM(D28,D24,D20,D21)</f>
        <v>267361988</v>
      </c>
      <c r="E29" s="258">
        <f t="shared" si="1"/>
        <v>0.10627759246970525</v>
      </c>
      <c r="F29" s="205"/>
      <c r="G29" s="192" t="s">
        <v>110</v>
      </c>
      <c r="H29" s="193">
        <f>SUM(H18:H19,H24,H28)</f>
        <v>206429277</v>
      </c>
      <c r="I29" s="246">
        <f>SUM(I18:I19,I24,I28)</f>
        <v>234020938</v>
      </c>
      <c r="J29" s="262">
        <f t="shared" si="0"/>
        <v>0.13366156875121926</v>
      </c>
    </row>
    <row r="30" spans="1:10" ht="20.100000000000001" customHeight="1" thickBot="1" x14ac:dyDescent="0.25">
      <c r="A30" s="201"/>
      <c r="B30" s="202" t="s">
        <v>108</v>
      </c>
      <c r="C30" s="199"/>
      <c r="D30" s="247"/>
      <c r="E30" s="253"/>
      <c r="F30" s="206"/>
      <c r="G30" s="202" t="s">
        <v>109</v>
      </c>
      <c r="H30" s="200"/>
      <c r="I30" s="250"/>
      <c r="J30" s="254"/>
    </row>
    <row r="31" spans="1:10" ht="20.100000000000001" customHeight="1" thickBot="1" x14ac:dyDescent="0.35">
      <c r="A31" s="208"/>
      <c r="B31" s="209" t="s">
        <v>111</v>
      </c>
      <c r="C31" s="210">
        <f>SUM(C16,C29)</f>
        <v>504419661</v>
      </c>
      <c r="D31" s="249">
        <f>SUM(D16,D29)</f>
        <v>533041951</v>
      </c>
      <c r="E31" s="259">
        <f t="shared" si="1"/>
        <v>5.6743010261053328E-2</v>
      </c>
      <c r="F31" s="211"/>
      <c r="G31" s="209" t="s">
        <v>112</v>
      </c>
      <c r="H31" s="210">
        <f>SUM(H16,H29)</f>
        <v>504419661</v>
      </c>
      <c r="I31" s="249">
        <f>SUM(I16,I29)</f>
        <v>533041951</v>
      </c>
      <c r="J31" s="259">
        <f t="shared" si="0"/>
        <v>5.6743010261053328E-2</v>
      </c>
    </row>
  </sheetData>
  <mergeCells count="6">
    <mergeCell ref="J1:J3"/>
    <mergeCell ref="A1:A3"/>
    <mergeCell ref="F1:F3"/>
    <mergeCell ref="G1:G3"/>
    <mergeCell ref="B1:B3"/>
    <mergeCell ref="E1:E3"/>
  </mergeCells>
  <phoneticPr fontId="2" type="noConversion"/>
  <printOptions horizontalCentered="1"/>
  <pageMargins left="0.59055118110236227" right="0.59055118110236227" top="1.4173228346456694" bottom="0.98425196850393704" header="0.6692913385826772" footer="0.51181102362204722"/>
  <pageSetup paperSize="9" scale="58" orientation="landscape" r:id="rId1"/>
  <headerFooter>
    <oddHeader>&amp;LLevél Községi Önkormányzat&amp;C&amp;"Arial CE,Félkövér"&amp;12Működési - felhalmozási mérleg
2019. 01-09. hó&amp;R&amp;8 2. 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4">
    <tabColor rgb="FF00B0F0"/>
    <pageSetUpPr fitToPage="1"/>
  </sheetPr>
  <dimension ref="A1:N56"/>
  <sheetViews>
    <sheetView zoomScale="80" zoomScaleNormal="80" workbookViewId="0">
      <pane ySplit="3" topLeftCell="A25" activePane="bottomLeft" state="frozen"/>
      <selection pane="bottomLeft" activeCell="E56" sqref="E56"/>
    </sheetView>
  </sheetViews>
  <sheetFormatPr defaultRowHeight="12.75" x14ac:dyDescent="0.2"/>
  <cols>
    <col min="1" max="1" width="5.85546875" bestFit="1" customWidth="1"/>
    <col min="2" max="2" width="60.85546875" bestFit="1" customWidth="1"/>
    <col min="3" max="5" width="20.85546875" bestFit="1" customWidth="1"/>
    <col min="6" max="6" width="10.28515625" bestFit="1" customWidth="1"/>
    <col min="7" max="9" width="19.42578125" bestFit="1" customWidth="1"/>
    <col min="10" max="10" width="10.28515625" bestFit="1" customWidth="1"/>
    <col min="11" max="13" width="20.85546875" bestFit="1" customWidth="1"/>
    <col min="14" max="14" width="10.28515625" bestFit="1" customWidth="1"/>
  </cols>
  <sheetData>
    <row r="1" spans="1:14" ht="19.5" customHeight="1" thickBot="1" x14ac:dyDescent="0.25">
      <c r="A1" s="752" t="s">
        <v>235</v>
      </c>
      <c r="B1" s="753" t="s">
        <v>4</v>
      </c>
      <c r="C1" s="754" t="s">
        <v>247</v>
      </c>
      <c r="D1" s="755"/>
      <c r="E1" s="755"/>
      <c r="F1" s="756"/>
      <c r="G1" s="754" t="s">
        <v>48</v>
      </c>
      <c r="H1" s="755"/>
      <c r="I1" s="755"/>
      <c r="J1" s="756"/>
      <c r="K1" s="757" t="s">
        <v>666</v>
      </c>
      <c r="L1" s="758"/>
      <c r="M1" s="758"/>
      <c r="N1" s="759"/>
    </row>
    <row r="2" spans="1:14" ht="21" customHeight="1" thickTop="1" thickBot="1" x14ac:dyDescent="0.25">
      <c r="A2" s="752"/>
      <c r="B2" s="753"/>
      <c r="C2" s="278">
        <v>2019</v>
      </c>
      <c r="D2" s="278">
        <v>2019</v>
      </c>
      <c r="E2" s="515">
        <v>2019</v>
      </c>
      <c r="F2" s="760" t="s">
        <v>675</v>
      </c>
      <c r="G2" s="279">
        <v>2019</v>
      </c>
      <c r="H2" s="278">
        <v>2019</v>
      </c>
      <c r="I2" s="516">
        <v>2019</v>
      </c>
      <c r="J2" s="760" t="s">
        <v>675</v>
      </c>
      <c r="K2" s="278">
        <v>2019</v>
      </c>
      <c r="L2" s="278">
        <v>2019</v>
      </c>
      <c r="M2" s="516">
        <v>2019</v>
      </c>
      <c r="N2" s="760" t="s">
        <v>675</v>
      </c>
    </row>
    <row r="3" spans="1:14" ht="21" customHeight="1" thickBot="1" x14ac:dyDescent="0.25">
      <c r="A3" s="752"/>
      <c r="B3" s="753"/>
      <c r="C3" s="228" t="s">
        <v>64</v>
      </c>
      <c r="D3" s="228" t="s">
        <v>684</v>
      </c>
      <c r="E3" s="264" t="s">
        <v>685</v>
      </c>
      <c r="F3" s="761"/>
      <c r="G3" s="265" t="s">
        <v>64</v>
      </c>
      <c r="H3" s="228" t="s">
        <v>684</v>
      </c>
      <c r="I3" s="228" t="s">
        <v>685</v>
      </c>
      <c r="J3" s="761"/>
      <c r="K3" s="228" t="s">
        <v>64</v>
      </c>
      <c r="L3" s="228" t="s">
        <v>684</v>
      </c>
      <c r="M3" s="228" t="s">
        <v>685</v>
      </c>
      <c r="N3" s="761"/>
    </row>
    <row r="4" spans="1:14" ht="16.5" x14ac:dyDescent="0.25">
      <c r="A4" s="224" t="s">
        <v>325</v>
      </c>
      <c r="B4" s="222" t="s">
        <v>331</v>
      </c>
      <c r="C4" s="234">
        <f>'Önkormányzat - 9. mell.'!C81</f>
        <v>0</v>
      </c>
      <c r="D4" s="232">
        <f>'Önkormányzat - 9. mell.'!D81</f>
        <v>207745</v>
      </c>
      <c r="E4" s="226">
        <f>'Önkormányzat - 9. mell.'!E81</f>
        <v>207745</v>
      </c>
      <c r="F4" s="269">
        <f>E4/D4</f>
        <v>1</v>
      </c>
      <c r="G4" s="267">
        <f>'Óvoda - 10. mell.'!C81</f>
        <v>0</v>
      </c>
      <c r="H4" s="232">
        <f>'Óvoda - 10. mell.'!D81</f>
        <v>0</v>
      </c>
      <c r="I4" s="226">
        <f>'Óvoda - 10. mell.'!E81</f>
        <v>0</v>
      </c>
      <c r="J4" s="269"/>
      <c r="K4" s="236">
        <f>SUM(C4,G4)</f>
        <v>0</v>
      </c>
      <c r="L4" s="239">
        <f>SUM(D4,H4)</f>
        <v>207745</v>
      </c>
      <c r="M4" s="240">
        <f>SUM(E4,I4)</f>
        <v>207745</v>
      </c>
      <c r="N4" s="269">
        <f>M4/L4</f>
        <v>1</v>
      </c>
    </row>
    <row r="5" spans="1:14" ht="16.5" x14ac:dyDescent="0.25">
      <c r="A5" s="224" t="s">
        <v>326</v>
      </c>
      <c r="B5" s="222" t="s">
        <v>332</v>
      </c>
      <c r="C5" s="234">
        <f>'Önkormányzat - 9. mell.'!C82</f>
        <v>43679600</v>
      </c>
      <c r="D5" s="232">
        <f>'Önkormányzat - 9. mell.'!D82</f>
        <v>43679600</v>
      </c>
      <c r="E5" s="226">
        <f>'Önkormányzat - 9. mell.'!E82</f>
        <v>34623695</v>
      </c>
      <c r="F5" s="269">
        <f>E5/D5</f>
        <v>0.79267426899513727</v>
      </c>
      <c r="G5" s="267">
        <f>'Óvoda - 10. mell.'!C82</f>
        <v>0</v>
      </c>
      <c r="H5" s="232">
        <f>'Óvoda - 10. mell.'!D82</f>
        <v>0</v>
      </c>
      <c r="I5" s="226">
        <f>'Óvoda - 10. mell.'!E82</f>
        <v>0</v>
      </c>
      <c r="J5" s="269"/>
      <c r="K5" s="236">
        <f t="shared" ref="K5:K56" si="0">SUM(C5,G5)</f>
        <v>43679600</v>
      </c>
      <c r="L5" s="239">
        <f t="shared" ref="L5:L56" si="1">SUM(D5,H5)</f>
        <v>43679600</v>
      </c>
      <c r="M5" s="240">
        <f t="shared" ref="M5:M56" si="2">SUM(E5,I5)</f>
        <v>34623695</v>
      </c>
      <c r="N5" s="269">
        <f>M5/L5</f>
        <v>0.79267426899513727</v>
      </c>
    </row>
    <row r="6" spans="1:14" ht="16.5" x14ac:dyDescent="0.25">
      <c r="A6" s="224" t="s">
        <v>327</v>
      </c>
      <c r="B6" s="222" t="s">
        <v>333</v>
      </c>
      <c r="C6" s="234">
        <f>'Önkormányzat - 9. mell.'!C83</f>
        <v>10447209</v>
      </c>
      <c r="D6" s="232">
        <f>'Önkormányzat - 9. mell.'!D83</f>
        <v>10447209</v>
      </c>
      <c r="E6" s="226">
        <f>'Önkormányzat - 9. mell.'!E83</f>
        <v>8762025</v>
      </c>
      <c r="F6" s="269">
        <f>E6/D6</f>
        <v>0.83869529172815438</v>
      </c>
      <c r="G6" s="267">
        <f>'Óvoda - 10. mell.'!C83</f>
        <v>0</v>
      </c>
      <c r="H6" s="232">
        <f>'Óvoda - 10. mell.'!D83</f>
        <v>0</v>
      </c>
      <c r="I6" s="226">
        <f>'Óvoda - 10. mell.'!E83</f>
        <v>0</v>
      </c>
      <c r="J6" s="269"/>
      <c r="K6" s="236">
        <f t="shared" si="0"/>
        <v>10447209</v>
      </c>
      <c r="L6" s="239">
        <f t="shared" si="1"/>
        <v>10447209</v>
      </c>
      <c r="M6" s="240">
        <f t="shared" si="2"/>
        <v>8762025</v>
      </c>
      <c r="N6" s="269">
        <f>M6/L6</f>
        <v>0.83869529172815438</v>
      </c>
    </row>
    <row r="7" spans="1:14" ht="16.5" x14ac:dyDescent="0.25">
      <c r="A7" s="224" t="s">
        <v>328</v>
      </c>
      <c r="B7" s="222" t="s">
        <v>334</v>
      </c>
      <c r="C7" s="234">
        <f>'Önkormányzat - 9. mell.'!C84</f>
        <v>2386120</v>
      </c>
      <c r="D7" s="232">
        <f>'Önkormányzat - 9. mell.'!D84</f>
        <v>2676375</v>
      </c>
      <c r="E7" s="226">
        <f>'Önkormányzat - 9. mell.'!E84</f>
        <v>2184709</v>
      </c>
      <c r="F7" s="269">
        <f>E7/D7</f>
        <v>0.81629405445798886</v>
      </c>
      <c r="G7" s="267">
        <f>'Óvoda - 10. mell.'!C84</f>
        <v>0</v>
      </c>
      <c r="H7" s="232">
        <f>'Óvoda - 10. mell.'!D84</f>
        <v>0</v>
      </c>
      <c r="I7" s="226">
        <f>'Óvoda - 10. mell.'!E84</f>
        <v>0</v>
      </c>
      <c r="J7" s="269"/>
      <c r="K7" s="236">
        <f t="shared" si="0"/>
        <v>2386120</v>
      </c>
      <c r="L7" s="239">
        <f t="shared" si="1"/>
        <v>2676375</v>
      </c>
      <c r="M7" s="240">
        <f t="shared" si="2"/>
        <v>2184709</v>
      </c>
      <c r="N7" s="269">
        <f>M7/L7</f>
        <v>0.81629405445798886</v>
      </c>
    </row>
    <row r="8" spans="1:14" ht="16.5" x14ac:dyDescent="0.25">
      <c r="A8" s="224" t="s">
        <v>329</v>
      </c>
      <c r="B8" s="222" t="s">
        <v>335</v>
      </c>
      <c r="C8" s="234">
        <f>'Önkormányzat - 9. mell.'!C85</f>
        <v>0</v>
      </c>
      <c r="D8" s="232">
        <f>'Önkormányzat - 9. mell.'!D85</f>
        <v>457200</v>
      </c>
      <c r="E8" s="226">
        <f>'Önkormányzat - 9. mell.'!E85</f>
        <v>457200</v>
      </c>
      <c r="F8" s="269"/>
      <c r="G8" s="267">
        <f>'Óvoda - 10. mell.'!C85</f>
        <v>0</v>
      </c>
      <c r="H8" s="232">
        <f>'Óvoda - 10. mell.'!D85</f>
        <v>0</v>
      </c>
      <c r="I8" s="226">
        <f>'Óvoda - 10. mell.'!E85</f>
        <v>0</v>
      </c>
      <c r="J8" s="269"/>
      <c r="K8" s="236">
        <f t="shared" si="0"/>
        <v>0</v>
      </c>
      <c r="L8" s="239">
        <f t="shared" si="1"/>
        <v>457200</v>
      </c>
      <c r="M8" s="240">
        <f t="shared" si="2"/>
        <v>457200</v>
      </c>
      <c r="N8" s="269"/>
    </row>
    <row r="9" spans="1:14" ht="16.5" x14ac:dyDescent="0.25">
      <c r="A9" s="224" t="s">
        <v>330</v>
      </c>
      <c r="B9" s="222" t="s">
        <v>336</v>
      </c>
      <c r="C9" s="234">
        <f>'Önkormányzat - 9. mell.'!C86</f>
        <v>0</v>
      </c>
      <c r="D9" s="232">
        <f>'Önkormányzat - 9. mell.'!D86</f>
        <v>834667</v>
      </c>
      <c r="E9" s="226">
        <f>'Önkormányzat - 9. mell.'!E86</f>
        <v>834667</v>
      </c>
      <c r="F9" s="269"/>
      <c r="G9" s="267">
        <f>'Óvoda - 10. mell.'!C86</f>
        <v>0</v>
      </c>
      <c r="H9" s="232">
        <f>'Óvoda - 10. mell.'!D86</f>
        <v>0</v>
      </c>
      <c r="I9" s="226">
        <f>'Óvoda - 10. mell.'!E86</f>
        <v>0</v>
      </c>
      <c r="J9" s="269"/>
      <c r="K9" s="236">
        <f t="shared" si="0"/>
        <v>0</v>
      </c>
      <c r="L9" s="239">
        <f t="shared" si="1"/>
        <v>834667</v>
      </c>
      <c r="M9" s="240">
        <f t="shared" si="2"/>
        <v>834667</v>
      </c>
      <c r="N9" s="269"/>
    </row>
    <row r="10" spans="1:14" ht="16.5" x14ac:dyDescent="0.25">
      <c r="A10" s="486" t="s">
        <v>269</v>
      </c>
      <c r="B10" s="487" t="s">
        <v>263</v>
      </c>
      <c r="C10" s="270">
        <f>SUM(C4:C9)</f>
        <v>56512929</v>
      </c>
      <c r="D10" s="271">
        <f>SUM(D4:D9)</f>
        <v>58302796</v>
      </c>
      <c r="E10" s="272">
        <f>SUM(E4:E9)</f>
        <v>47070041</v>
      </c>
      <c r="F10" s="276">
        <f>E10/D10</f>
        <v>0.80733762751275251</v>
      </c>
      <c r="G10" s="273">
        <f t="shared" ref="G10" si="3">SUM(G4:G9)</f>
        <v>0</v>
      </c>
      <c r="H10" s="271">
        <f>SUM(H4:H9)</f>
        <v>0</v>
      </c>
      <c r="I10" s="272">
        <f t="shared" ref="I10" si="4">SUM(I4:I9)</f>
        <v>0</v>
      </c>
      <c r="J10" s="276"/>
      <c r="K10" s="270">
        <f t="shared" si="0"/>
        <v>56512929</v>
      </c>
      <c r="L10" s="271">
        <f t="shared" si="1"/>
        <v>58302796</v>
      </c>
      <c r="M10" s="274">
        <f t="shared" si="2"/>
        <v>47070041</v>
      </c>
      <c r="N10" s="276">
        <f>M10/L10</f>
        <v>0.80733762751275251</v>
      </c>
    </row>
    <row r="11" spans="1:14" ht="16.5" x14ac:dyDescent="0.25">
      <c r="A11" s="224"/>
      <c r="B11" s="222" t="s">
        <v>673</v>
      </c>
      <c r="C11" s="234">
        <f>'Önkormányzat - 9. mell.'!C88</f>
        <v>0</v>
      </c>
      <c r="D11" s="232">
        <f>'Önkormányzat - 9. mell.'!D88</f>
        <v>0</v>
      </c>
      <c r="E11" s="226">
        <f>'Önkormányzat - 9. mell.'!E88</f>
        <v>0</v>
      </c>
      <c r="F11" s="269"/>
      <c r="G11" s="267">
        <f>'Óvoda - 10. mell.'!C88</f>
        <v>0</v>
      </c>
      <c r="H11" s="232">
        <f>'Óvoda - 10. mell.'!D88</f>
        <v>0</v>
      </c>
      <c r="I11" s="226">
        <f>'Óvoda - 10. mell.'!E88</f>
        <v>0</v>
      </c>
      <c r="J11" s="269"/>
      <c r="K11" s="236">
        <f t="shared" si="0"/>
        <v>0</v>
      </c>
      <c r="L11" s="239">
        <f t="shared" si="1"/>
        <v>0</v>
      </c>
      <c r="M11" s="240">
        <f t="shared" si="2"/>
        <v>0</v>
      </c>
      <c r="N11" s="269"/>
    </row>
    <row r="12" spans="1:14" ht="16.5" x14ac:dyDescent="0.25">
      <c r="A12" s="224"/>
      <c r="B12" s="222" t="s">
        <v>395</v>
      </c>
      <c r="C12" s="234">
        <f>'Önkormányzat - 9. mell.'!C89</f>
        <v>0</v>
      </c>
      <c r="D12" s="232">
        <f>'Önkormányzat - 9. mell.'!D89</f>
        <v>0</v>
      </c>
      <c r="E12" s="226">
        <f>'Önkormányzat - 9. mell.'!E89</f>
        <v>1679841</v>
      </c>
      <c r="F12" s="269"/>
      <c r="G12" s="267">
        <f>'Óvoda - 10. mell.'!C89</f>
        <v>0</v>
      </c>
      <c r="H12" s="232">
        <f>'Óvoda - 10. mell.'!D89</f>
        <v>0</v>
      </c>
      <c r="I12" s="226">
        <f>'Óvoda - 10. mell.'!E89</f>
        <v>0</v>
      </c>
      <c r="J12" s="269"/>
      <c r="K12" s="236">
        <f t="shared" si="0"/>
        <v>0</v>
      </c>
      <c r="L12" s="239">
        <f t="shared" si="1"/>
        <v>0</v>
      </c>
      <c r="M12" s="240">
        <f t="shared" si="2"/>
        <v>1679841</v>
      </c>
      <c r="N12" s="269"/>
    </row>
    <row r="13" spans="1:14" ht="16.5" x14ac:dyDescent="0.25">
      <c r="A13" s="224"/>
      <c r="B13" s="222" t="s">
        <v>612</v>
      </c>
      <c r="C13" s="234">
        <f>'Önkormányzat - 9. mell.'!C90</f>
        <v>0</v>
      </c>
      <c r="D13" s="232">
        <f>'Önkormányzat - 9. mell.'!D90</f>
        <v>0</v>
      </c>
      <c r="E13" s="226">
        <f>'Önkormányzat - 9. mell.'!E90</f>
        <v>60000</v>
      </c>
      <c r="F13" s="269"/>
      <c r="G13" s="267">
        <f>'Óvoda - 10. mell.'!C90</f>
        <v>0</v>
      </c>
      <c r="H13" s="232">
        <f>'Óvoda - 10. mell.'!D90</f>
        <v>0</v>
      </c>
      <c r="I13" s="226">
        <f>'Óvoda - 10. mell.'!E90</f>
        <v>0</v>
      </c>
      <c r="J13" s="269"/>
      <c r="K13" s="236">
        <f t="shared" si="0"/>
        <v>0</v>
      </c>
      <c r="L13" s="239">
        <f t="shared" si="1"/>
        <v>0</v>
      </c>
      <c r="M13" s="240">
        <f t="shared" si="2"/>
        <v>60000</v>
      </c>
      <c r="N13" s="269"/>
    </row>
    <row r="14" spans="1:14" ht="16.5" x14ac:dyDescent="0.25">
      <c r="A14" s="224"/>
      <c r="B14" s="222" t="s">
        <v>266</v>
      </c>
      <c r="C14" s="234">
        <f>'Önkormányzat - 9. mell.'!C91</f>
        <v>112800</v>
      </c>
      <c r="D14" s="232">
        <f>'Önkormányzat - 9. mell.'!D91</f>
        <v>112800</v>
      </c>
      <c r="E14" s="226">
        <f>'Önkormányzat - 9. mell.'!E91</f>
        <v>84600</v>
      </c>
      <c r="F14" s="269">
        <f>E14/D14</f>
        <v>0.75</v>
      </c>
      <c r="G14" s="267">
        <f>'Óvoda - 10. mell.'!C91</f>
        <v>0</v>
      </c>
      <c r="H14" s="232">
        <f>'Óvoda - 10. mell.'!D91</f>
        <v>0</v>
      </c>
      <c r="I14" s="226">
        <f>'Óvoda - 10. mell.'!E91</f>
        <v>0</v>
      </c>
      <c r="J14" s="269"/>
      <c r="K14" s="236">
        <f t="shared" si="0"/>
        <v>112800</v>
      </c>
      <c r="L14" s="239">
        <f t="shared" si="1"/>
        <v>112800</v>
      </c>
      <c r="M14" s="240">
        <f t="shared" si="2"/>
        <v>84600</v>
      </c>
      <c r="N14" s="269">
        <f>M14/L14</f>
        <v>0.75</v>
      </c>
    </row>
    <row r="15" spans="1:14" ht="16.5" x14ac:dyDescent="0.25">
      <c r="A15" s="224"/>
      <c r="B15" s="222" t="s">
        <v>265</v>
      </c>
      <c r="C15" s="234">
        <f>'Önkormányzat - 9. mell.'!C92</f>
        <v>21000000</v>
      </c>
      <c r="D15" s="232">
        <f>'Önkormányzat - 9. mell.'!D92</f>
        <v>21000000</v>
      </c>
      <c r="E15" s="226">
        <f>'Önkormányzat - 9. mell.'!E92</f>
        <v>16732000</v>
      </c>
      <c r="F15" s="269">
        <f>E15/D15</f>
        <v>0.79676190476190478</v>
      </c>
      <c r="G15" s="267">
        <f>'Óvoda - 10. mell.'!C92</f>
        <v>0</v>
      </c>
      <c r="H15" s="232">
        <f>'Óvoda - 10. mell.'!D92</f>
        <v>0</v>
      </c>
      <c r="I15" s="226">
        <f>'Óvoda - 10. mell.'!E92</f>
        <v>0</v>
      </c>
      <c r="J15" s="269"/>
      <c r="K15" s="236">
        <f t="shared" si="0"/>
        <v>21000000</v>
      </c>
      <c r="L15" s="239">
        <f t="shared" si="1"/>
        <v>21000000</v>
      </c>
      <c r="M15" s="240">
        <f t="shared" si="2"/>
        <v>16732000</v>
      </c>
      <c r="N15" s="269">
        <f>M15/L15</f>
        <v>0.79676190476190478</v>
      </c>
    </row>
    <row r="16" spans="1:14" ht="16.5" x14ac:dyDescent="0.25">
      <c r="A16" s="486" t="s">
        <v>270</v>
      </c>
      <c r="B16" s="487" t="s">
        <v>264</v>
      </c>
      <c r="C16" s="270">
        <f>SUM(C11:C15)</f>
        <v>21112800</v>
      </c>
      <c r="D16" s="271">
        <f>'Önkormányzat - 9. mell.'!D93</f>
        <v>21112800</v>
      </c>
      <c r="E16" s="272">
        <f>'Önkormányzat - 9. mell.'!E93</f>
        <v>18556441</v>
      </c>
      <c r="F16" s="276">
        <f>E16/D16</f>
        <v>0.87891899700655529</v>
      </c>
      <c r="G16" s="273">
        <f>SUM(G11:G15)</f>
        <v>0</v>
      </c>
      <c r="H16" s="271">
        <f>SUM(H11:H15)</f>
        <v>0</v>
      </c>
      <c r="I16" s="272">
        <f t="shared" ref="I16" si="5">SUM(I11:I15)</f>
        <v>0</v>
      </c>
      <c r="J16" s="276"/>
      <c r="K16" s="270">
        <f t="shared" si="0"/>
        <v>21112800</v>
      </c>
      <c r="L16" s="271">
        <f t="shared" si="1"/>
        <v>21112800</v>
      </c>
      <c r="M16" s="274">
        <f t="shared" si="2"/>
        <v>18556441</v>
      </c>
      <c r="N16" s="276">
        <f>M16/L16</f>
        <v>0.87891899700655529</v>
      </c>
    </row>
    <row r="17" spans="1:14" ht="16.5" x14ac:dyDescent="0.25">
      <c r="A17" s="494" t="s">
        <v>262</v>
      </c>
      <c r="B17" s="495" t="s">
        <v>267</v>
      </c>
      <c r="C17" s="488">
        <f>SUM(C16,C10)</f>
        <v>77625729</v>
      </c>
      <c r="D17" s="489">
        <f>SUM(D16,D10)</f>
        <v>79415596</v>
      </c>
      <c r="E17" s="490">
        <f>SUM(E16,E10)</f>
        <v>65626482</v>
      </c>
      <c r="F17" s="491">
        <f>E17/D17</f>
        <v>0.82636768223712631</v>
      </c>
      <c r="G17" s="492">
        <f t="shared" ref="G17" si="6">SUM(G16,G10)</f>
        <v>0</v>
      </c>
      <c r="H17" s="489">
        <f>SUM(H16,H10)</f>
        <v>0</v>
      </c>
      <c r="I17" s="490">
        <f t="shared" ref="I17" si="7">SUM(I16,I10)</f>
        <v>0</v>
      </c>
      <c r="J17" s="491"/>
      <c r="K17" s="488">
        <f t="shared" si="0"/>
        <v>77625729</v>
      </c>
      <c r="L17" s="489">
        <f t="shared" si="1"/>
        <v>79415596</v>
      </c>
      <c r="M17" s="493">
        <f t="shared" si="2"/>
        <v>65626482</v>
      </c>
      <c r="N17" s="491">
        <f>M17/L17</f>
        <v>0.82636768223712631</v>
      </c>
    </row>
    <row r="18" spans="1:14" ht="16.5" x14ac:dyDescent="0.25">
      <c r="A18" s="486" t="s">
        <v>274</v>
      </c>
      <c r="B18" s="487" t="s">
        <v>268</v>
      </c>
      <c r="C18" s="270">
        <f>'Önkormányzat - 9. mell.'!C95</f>
        <v>0</v>
      </c>
      <c r="D18" s="271">
        <f>'Önkormányzat - 9. mell.'!D95</f>
        <v>0</v>
      </c>
      <c r="E18" s="272">
        <f>'Önkormányzat - 9. mell.'!D95</f>
        <v>0</v>
      </c>
      <c r="F18" s="276"/>
      <c r="G18" s="273">
        <f>'Óvoda - 10. mell.'!C95</f>
        <v>0</v>
      </c>
      <c r="H18" s="271">
        <f>'Óvoda - 10. mell.'!D95</f>
        <v>0</v>
      </c>
      <c r="I18" s="272">
        <f>'Óvoda - 10. mell.'!E95</f>
        <v>0</v>
      </c>
      <c r="J18" s="276"/>
      <c r="K18" s="270">
        <f t="shared" si="0"/>
        <v>0</v>
      </c>
      <c r="L18" s="271">
        <f t="shared" si="1"/>
        <v>0</v>
      </c>
      <c r="M18" s="274">
        <f t="shared" si="2"/>
        <v>0</v>
      </c>
      <c r="N18" s="276"/>
    </row>
    <row r="19" spans="1:14" ht="16.5" x14ac:dyDescent="0.25">
      <c r="A19" s="224"/>
      <c r="B19" s="222" t="s">
        <v>650</v>
      </c>
      <c r="C19" s="234">
        <f>'Önkormányzat - 9. mell.'!C96</f>
        <v>0</v>
      </c>
      <c r="D19" s="232">
        <f>'Önkormányzat - 9. mell.'!D96</f>
        <v>175076</v>
      </c>
      <c r="E19" s="226">
        <f>'Önkormányzat - 9. mell.'!D96</f>
        <v>175076</v>
      </c>
      <c r="F19" s="269"/>
      <c r="G19" s="267">
        <f>'Óvoda - 10. mell.'!C97</f>
        <v>0</v>
      </c>
      <c r="H19" s="232">
        <f>'Óvoda - 10. mell.'!D97</f>
        <v>0</v>
      </c>
      <c r="I19" s="226">
        <f>'Óvoda - 10. mell.'!E97</f>
        <v>0</v>
      </c>
      <c r="J19" s="269"/>
      <c r="K19" s="236">
        <f t="shared" si="0"/>
        <v>0</v>
      </c>
      <c r="L19" s="239">
        <f t="shared" si="1"/>
        <v>175076</v>
      </c>
      <c r="M19" s="240">
        <f t="shared" si="2"/>
        <v>175076</v>
      </c>
      <c r="N19" s="269"/>
    </row>
    <row r="20" spans="1:14" ht="16.5" x14ac:dyDescent="0.25">
      <c r="A20" s="486" t="s">
        <v>272</v>
      </c>
      <c r="B20" s="487" t="s">
        <v>271</v>
      </c>
      <c r="C20" s="270">
        <f>SUM(C19:C19)</f>
        <v>0</v>
      </c>
      <c r="D20" s="271">
        <f>SUM(D19:D19)</f>
        <v>175076</v>
      </c>
      <c r="E20" s="272">
        <f>'Önkormányzat - 9. mell.'!E96</f>
        <v>1202778</v>
      </c>
      <c r="F20" s="276"/>
      <c r="G20" s="273">
        <f>SUM(G19:G19)</f>
        <v>0</v>
      </c>
      <c r="H20" s="271">
        <f>SUM(H19:H19)</f>
        <v>0</v>
      </c>
      <c r="I20" s="272">
        <f>SUM(I19:I19)</f>
        <v>0</v>
      </c>
      <c r="J20" s="276"/>
      <c r="K20" s="270">
        <f t="shared" si="0"/>
        <v>0</v>
      </c>
      <c r="L20" s="271">
        <f t="shared" si="1"/>
        <v>175076</v>
      </c>
      <c r="M20" s="274">
        <f t="shared" si="2"/>
        <v>1202778</v>
      </c>
      <c r="N20" s="276"/>
    </row>
    <row r="21" spans="1:14" ht="16.5" x14ac:dyDescent="0.25">
      <c r="A21" s="494" t="s">
        <v>273</v>
      </c>
      <c r="B21" s="495" t="s">
        <v>275</v>
      </c>
      <c r="C21" s="488">
        <f>SUM(C18,C20)</f>
        <v>0</v>
      </c>
      <c r="D21" s="489">
        <f>SUM(D18,D20)</f>
        <v>175076</v>
      </c>
      <c r="E21" s="490">
        <f>SUM(E18,E20)</f>
        <v>1202778</v>
      </c>
      <c r="F21" s="491"/>
      <c r="G21" s="492">
        <f>SUM(G18,G20)</f>
        <v>0</v>
      </c>
      <c r="H21" s="489">
        <f>SUM(H18,H20)</f>
        <v>0</v>
      </c>
      <c r="I21" s="490">
        <f>SUM(I18,I20)</f>
        <v>0</v>
      </c>
      <c r="J21" s="491"/>
      <c r="K21" s="488">
        <f t="shared" si="0"/>
        <v>0</v>
      </c>
      <c r="L21" s="489">
        <f t="shared" si="1"/>
        <v>175076</v>
      </c>
      <c r="M21" s="493">
        <f t="shared" si="2"/>
        <v>1202778</v>
      </c>
      <c r="N21" s="491"/>
    </row>
    <row r="22" spans="1:14" ht="16.5" x14ac:dyDescent="0.25">
      <c r="A22" s="224" t="s">
        <v>276</v>
      </c>
      <c r="B22" s="222" t="s">
        <v>651</v>
      </c>
      <c r="C22" s="234">
        <f>'Önkormányzat - 9. mell.'!C98</f>
        <v>2500000</v>
      </c>
      <c r="D22" s="232">
        <f>'Önkormányzat - 9. mell.'!D98</f>
        <v>2500000</v>
      </c>
      <c r="E22" s="226">
        <f>'Önkormányzat - 9. mell.'!E98</f>
        <v>2649827</v>
      </c>
      <c r="F22" s="269">
        <f t="shared" ref="F22:F29" si="8">E22/D22</f>
        <v>1.0599308000000001</v>
      </c>
      <c r="G22" s="267">
        <f>'Óvoda - 10. mell.'!C99</f>
        <v>0</v>
      </c>
      <c r="H22" s="232">
        <f>'Óvoda - 10. mell.'!D99</f>
        <v>0</v>
      </c>
      <c r="I22" s="226">
        <f>'Óvoda - 10. mell.'!E99</f>
        <v>0</v>
      </c>
      <c r="J22" s="269"/>
      <c r="K22" s="236">
        <f t="shared" si="0"/>
        <v>2500000</v>
      </c>
      <c r="L22" s="239">
        <f t="shared" si="1"/>
        <v>2500000</v>
      </c>
      <c r="M22" s="240">
        <f t="shared" si="2"/>
        <v>2649827</v>
      </c>
      <c r="N22" s="269">
        <f t="shared" ref="N22:N29" si="9">M22/L22</f>
        <v>1.0599308000000001</v>
      </c>
    </row>
    <row r="23" spans="1:14" ht="16.5" x14ac:dyDescent="0.25">
      <c r="A23" s="224" t="s">
        <v>614</v>
      </c>
      <c r="B23" s="222" t="s">
        <v>454</v>
      </c>
      <c r="C23" s="234">
        <f>'Önkormányzat - 9. mell.'!C99</f>
        <v>4200000</v>
      </c>
      <c r="D23" s="232">
        <f>'Önkormányzat - 9. mell.'!D99</f>
        <v>4200000</v>
      </c>
      <c r="E23" s="226">
        <f>'Önkormányzat - 9. mell.'!E99</f>
        <v>4140970</v>
      </c>
      <c r="F23" s="269">
        <f t="shared" si="8"/>
        <v>0.98594523809523804</v>
      </c>
      <c r="G23" s="267">
        <f>'Óvoda - 10. mell.'!C100</f>
        <v>0</v>
      </c>
      <c r="H23" s="232">
        <f>'Óvoda - 10. mell.'!D100</f>
        <v>0</v>
      </c>
      <c r="I23" s="226">
        <f>'Óvoda - 10. mell.'!E100</f>
        <v>0</v>
      </c>
      <c r="J23" s="269"/>
      <c r="K23" s="236">
        <f t="shared" si="0"/>
        <v>4200000</v>
      </c>
      <c r="L23" s="239">
        <f t="shared" si="1"/>
        <v>4200000</v>
      </c>
      <c r="M23" s="240">
        <f t="shared" si="2"/>
        <v>4140970</v>
      </c>
      <c r="N23" s="269">
        <f t="shared" si="9"/>
        <v>0.98594523809523804</v>
      </c>
    </row>
    <row r="24" spans="1:14" ht="16.5" x14ac:dyDescent="0.25">
      <c r="A24" s="224" t="s">
        <v>615</v>
      </c>
      <c r="B24" s="222" t="s">
        <v>652</v>
      </c>
      <c r="C24" s="234">
        <f>'Önkormányzat - 9. mell.'!C100</f>
        <v>6500000</v>
      </c>
      <c r="D24" s="232">
        <f>'Önkormányzat - 9. mell.'!D100</f>
        <v>6500000</v>
      </c>
      <c r="E24" s="226">
        <f>'Önkormányzat - 9. mell.'!E100</f>
        <v>5041092</v>
      </c>
      <c r="F24" s="269">
        <f t="shared" si="8"/>
        <v>0.7755526153846154</v>
      </c>
      <c r="G24" s="267">
        <f>'Óvoda - 10. mell.'!C101</f>
        <v>0</v>
      </c>
      <c r="H24" s="232">
        <f>'Óvoda - 10. mell.'!D101</f>
        <v>0</v>
      </c>
      <c r="I24" s="226">
        <f>'Óvoda - 10. mell.'!E101</f>
        <v>0</v>
      </c>
      <c r="J24" s="269"/>
      <c r="K24" s="236">
        <f t="shared" si="0"/>
        <v>6500000</v>
      </c>
      <c r="L24" s="239">
        <f t="shared" si="1"/>
        <v>6500000</v>
      </c>
      <c r="M24" s="240">
        <f t="shared" si="2"/>
        <v>5041092</v>
      </c>
      <c r="N24" s="269">
        <f t="shared" si="9"/>
        <v>0.7755526153846154</v>
      </c>
    </row>
    <row r="25" spans="1:14" ht="16.5" x14ac:dyDescent="0.25">
      <c r="A25" s="224" t="s">
        <v>278</v>
      </c>
      <c r="B25" s="222" t="s">
        <v>653</v>
      </c>
      <c r="C25" s="234">
        <f>'Önkormányzat - 9. mell.'!C102</f>
        <v>150000000</v>
      </c>
      <c r="D25" s="232">
        <f>'Önkormányzat - 9. mell.'!D102</f>
        <v>150000000</v>
      </c>
      <c r="E25" s="226">
        <f>'Önkormányzat - 9. mell.'!E102</f>
        <v>134379138</v>
      </c>
      <c r="F25" s="269">
        <f t="shared" si="8"/>
        <v>0.89586091999999995</v>
      </c>
      <c r="G25" s="267">
        <f>'Óvoda - 10. mell.'!C103</f>
        <v>0</v>
      </c>
      <c r="H25" s="232">
        <f>'Óvoda - 10. mell.'!D103</f>
        <v>0</v>
      </c>
      <c r="I25" s="226">
        <f>'Óvoda - 10. mell.'!E103</f>
        <v>0</v>
      </c>
      <c r="J25" s="269"/>
      <c r="K25" s="236">
        <f t="shared" si="0"/>
        <v>150000000</v>
      </c>
      <c r="L25" s="239">
        <f t="shared" si="1"/>
        <v>150000000</v>
      </c>
      <c r="M25" s="240">
        <f t="shared" si="2"/>
        <v>134379138</v>
      </c>
      <c r="N25" s="269">
        <f t="shared" si="9"/>
        <v>0.89586091999999995</v>
      </c>
    </row>
    <row r="26" spans="1:14" ht="16.5" x14ac:dyDescent="0.25">
      <c r="A26" s="224" t="s">
        <v>279</v>
      </c>
      <c r="B26" s="222" t="s">
        <v>281</v>
      </c>
      <c r="C26" s="234">
        <f>'Önkormányzat - 9. mell.'!C103</f>
        <v>6000000</v>
      </c>
      <c r="D26" s="232">
        <f>'Önkormányzat - 9. mell.'!D103</f>
        <v>6000000</v>
      </c>
      <c r="E26" s="226">
        <f>'Önkormányzat - 9. mell.'!E103</f>
        <v>4493377</v>
      </c>
      <c r="F26" s="269">
        <f t="shared" si="8"/>
        <v>0.7488961666666667</v>
      </c>
      <c r="G26" s="267">
        <f>'Óvoda - 10. mell.'!C104</f>
        <v>0</v>
      </c>
      <c r="H26" s="232">
        <f>'Óvoda - 10. mell.'!D104</f>
        <v>0</v>
      </c>
      <c r="I26" s="226">
        <f>'Óvoda - 10. mell.'!E104</f>
        <v>0</v>
      </c>
      <c r="J26" s="269"/>
      <c r="K26" s="236">
        <f t="shared" si="0"/>
        <v>6000000</v>
      </c>
      <c r="L26" s="239">
        <f t="shared" si="1"/>
        <v>6000000</v>
      </c>
      <c r="M26" s="240">
        <f t="shared" si="2"/>
        <v>4493377</v>
      </c>
      <c r="N26" s="269">
        <f t="shared" si="9"/>
        <v>0.7488961666666667</v>
      </c>
    </row>
    <row r="27" spans="1:14" ht="16.5" x14ac:dyDescent="0.25">
      <c r="A27" s="224" t="s">
        <v>280</v>
      </c>
      <c r="B27" s="222" t="s">
        <v>453</v>
      </c>
      <c r="C27" s="234">
        <f>'Önkormányzat - 9. mell.'!C104</f>
        <v>2000000</v>
      </c>
      <c r="D27" s="232">
        <f>'Önkormányzat - 9. mell.'!D104</f>
        <v>2000000</v>
      </c>
      <c r="E27" s="226">
        <f>'Önkormányzat - 9. mell.'!E104</f>
        <v>1687500</v>
      </c>
      <c r="F27" s="269">
        <f t="shared" si="8"/>
        <v>0.84375</v>
      </c>
      <c r="G27" s="267">
        <f>'Óvoda - 10. mell.'!C105</f>
        <v>0</v>
      </c>
      <c r="H27" s="232">
        <f>'Óvoda - 10. mell.'!D105</f>
        <v>0</v>
      </c>
      <c r="I27" s="226">
        <f>'Óvoda - 10. mell.'!E105</f>
        <v>0</v>
      </c>
      <c r="J27" s="269"/>
      <c r="K27" s="236">
        <f t="shared" si="0"/>
        <v>2000000</v>
      </c>
      <c r="L27" s="239">
        <f t="shared" si="1"/>
        <v>2000000</v>
      </c>
      <c r="M27" s="240">
        <f t="shared" si="2"/>
        <v>1687500</v>
      </c>
      <c r="N27" s="269">
        <f t="shared" si="9"/>
        <v>0.84375</v>
      </c>
    </row>
    <row r="28" spans="1:14" ht="16.5" x14ac:dyDescent="0.25">
      <c r="A28" s="224" t="s">
        <v>618</v>
      </c>
      <c r="B28" s="222" t="s">
        <v>654</v>
      </c>
      <c r="C28" s="234">
        <f>'Önkormányzat - 9. mell.'!C106</f>
        <v>50000</v>
      </c>
      <c r="D28" s="232">
        <f>'Önkormányzat - 9. mell.'!D106</f>
        <v>50000</v>
      </c>
      <c r="E28" s="226">
        <f>'Önkormányzat - 9. mell.'!E106</f>
        <v>417600</v>
      </c>
      <c r="F28" s="269">
        <f t="shared" si="8"/>
        <v>8.3520000000000003</v>
      </c>
      <c r="G28" s="267">
        <f>'Óvoda - 10. mell.'!C107</f>
        <v>0</v>
      </c>
      <c r="H28" s="232">
        <f>'Óvoda - 10. mell.'!D107</f>
        <v>0</v>
      </c>
      <c r="I28" s="226">
        <f>'Óvoda - 10. mell.'!E107</f>
        <v>0</v>
      </c>
      <c r="J28" s="269"/>
      <c r="K28" s="236">
        <f t="shared" si="0"/>
        <v>50000</v>
      </c>
      <c r="L28" s="239">
        <f t="shared" si="1"/>
        <v>50000</v>
      </c>
      <c r="M28" s="240">
        <f t="shared" si="2"/>
        <v>417600</v>
      </c>
      <c r="N28" s="269">
        <f t="shared" si="9"/>
        <v>8.3520000000000003</v>
      </c>
    </row>
    <row r="29" spans="1:14" ht="16.5" x14ac:dyDescent="0.25">
      <c r="A29" s="224"/>
      <c r="B29" s="222" t="s">
        <v>655</v>
      </c>
      <c r="C29" s="234">
        <f>'Önkormányzat - 9. mell.'!C107</f>
        <v>15000</v>
      </c>
      <c r="D29" s="232">
        <f>'Önkormányzat - 9. mell.'!D107</f>
        <v>15000</v>
      </c>
      <c r="E29" s="226">
        <f>'Önkormányzat - 9. mell.'!E107</f>
        <v>60053</v>
      </c>
      <c r="F29" s="269">
        <f t="shared" si="8"/>
        <v>4.0035333333333334</v>
      </c>
      <c r="G29" s="267">
        <f>'Óvoda - 10. mell.'!C108</f>
        <v>0</v>
      </c>
      <c r="H29" s="232">
        <f>'Óvoda - 10. mell.'!D108</f>
        <v>0</v>
      </c>
      <c r="I29" s="226">
        <f>'Óvoda - 10. mell.'!E108</f>
        <v>0</v>
      </c>
      <c r="J29" s="269"/>
      <c r="K29" s="236">
        <f t="shared" si="0"/>
        <v>15000</v>
      </c>
      <c r="L29" s="239">
        <f t="shared" si="1"/>
        <v>15000</v>
      </c>
      <c r="M29" s="240">
        <f t="shared" si="2"/>
        <v>60053</v>
      </c>
      <c r="N29" s="269">
        <f t="shared" si="9"/>
        <v>4.0035333333333334</v>
      </c>
    </row>
    <row r="30" spans="1:14" ht="16.5" x14ac:dyDescent="0.25">
      <c r="A30" s="224"/>
      <c r="B30" s="222" t="s">
        <v>656</v>
      </c>
      <c r="C30" s="234">
        <f>'Önkormányzat - 9. mell.'!C108</f>
        <v>0</v>
      </c>
      <c r="D30" s="232">
        <f>'Önkormányzat - 9. mell.'!D108</f>
        <v>0</v>
      </c>
      <c r="E30" s="226">
        <f>'Önkormányzat - 9. mell.'!E108</f>
        <v>5000</v>
      </c>
      <c r="F30" s="269"/>
      <c r="G30" s="267">
        <f>'Óvoda - 10. mell.'!C109</f>
        <v>0</v>
      </c>
      <c r="H30" s="232">
        <f>'Óvoda - 10. mell.'!D109</f>
        <v>0</v>
      </c>
      <c r="I30" s="226">
        <f>'Óvoda - 10. mell.'!E109</f>
        <v>0</v>
      </c>
      <c r="J30" s="269"/>
      <c r="K30" s="236">
        <f t="shared" si="0"/>
        <v>0</v>
      </c>
      <c r="L30" s="239">
        <f t="shared" si="1"/>
        <v>0</v>
      </c>
      <c r="M30" s="240">
        <f t="shared" si="2"/>
        <v>5000</v>
      </c>
      <c r="N30" s="269"/>
    </row>
    <row r="31" spans="1:14" ht="16.5" x14ac:dyDescent="0.25">
      <c r="A31" s="494" t="s">
        <v>282</v>
      </c>
      <c r="B31" s="495" t="s">
        <v>283</v>
      </c>
      <c r="C31" s="488">
        <f>SUM(C22:C30)</f>
        <v>171265000</v>
      </c>
      <c r="D31" s="489">
        <f>SUM(D22:D30)</f>
        <v>171265000</v>
      </c>
      <c r="E31" s="490">
        <f>SUM(E22:E30)</f>
        <v>152874557</v>
      </c>
      <c r="F31" s="491">
        <f>E31/D31</f>
        <v>0.89261995737599631</v>
      </c>
      <c r="G31" s="492">
        <f>SUM(G22:G30)</f>
        <v>0</v>
      </c>
      <c r="H31" s="489">
        <f>SUM(H22:H30)</f>
        <v>0</v>
      </c>
      <c r="I31" s="490">
        <f>SUM(I22:I30)</f>
        <v>0</v>
      </c>
      <c r="J31" s="491"/>
      <c r="K31" s="488">
        <f t="shared" si="0"/>
        <v>171265000</v>
      </c>
      <c r="L31" s="489">
        <f t="shared" si="1"/>
        <v>171265000</v>
      </c>
      <c r="M31" s="493">
        <f t="shared" si="2"/>
        <v>152874557</v>
      </c>
      <c r="N31" s="491">
        <f>M31/L31</f>
        <v>0.89261995737599631</v>
      </c>
    </row>
    <row r="32" spans="1:14" ht="16.5" x14ac:dyDescent="0.25">
      <c r="A32" s="224" t="s">
        <v>286</v>
      </c>
      <c r="B32" s="222" t="s">
        <v>292</v>
      </c>
      <c r="C32" s="234">
        <f>SUM('Önkormányzat - 9. mell.'!C111)</f>
        <v>0</v>
      </c>
      <c r="D32" s="232">
        <f>'Önkormányzat - 9. mell.'!D111</f>
        <v>0</v>
      </c>
      <c r="E32" s="226">
        <f>'Önkormányzat - 9. mell.'!E111</f>
        <v>207080</v>
      </c>
      <c r="F32" s="269"/>
      <c r="G32" s="267">
        <f>'Óvoda - 10. mell.'!C112</f>
        <v>0</v>
      </c>
      <c r="H32" s="232">
        <f>'Óvoda - 10. mell.'!D112</f>
        <v>0</v>
      </c>
      <c r="I32" s="226">
        <f>'Óvoda - 10. mell.'!E112</f>
        <v>0</v>
      </c>
      <c r="J32" s="269"/>
      <c r="K32" s="236">
        <f t="shared" si="0"/>
        <v>0</v>
      </c>
      <c r="L32" s="239">
        <f t="shared" si="1"/>
        <v>0</v>
      </c>
      <c r="M32" s="240">
        <f t="shared" si="2"/>
        <v>207080</v>
      </c>
      <c r="N32" s="269"/>
    </row>
    <row r="33" spans="1:14" ht="16.5" x14ac:dyDescent="0.25">
      <c r="A33" s="224" t="s">
        <v>287</v>
      </c>
      <c r="B33" s="222" t="s">
        <v>338</v>
      </c>
      <c r="C33" s="234">
        <f>SUM('Önkormányzat - 9. mell.'!C112)</f>
        <v>4208581</v>
      </c>
      <c r="D33" s="232">
        <f>'Önkormányzat - 9. mell.'!D112</f>
        <v>4287321</v>
      </c>
      <c r="E33" s="226">
        <f>'Önkormányzat - 9. mell.'!E112</f>
        <v>3400526</v>
      </c>
      <c r="F33" s="269">
        <f>E33/D33</f>
        <v>0.79315871146573813</v>
      </c>
      <c r="G33" s="267">
        <f>'Óvoda - 10. mell.'!C113</f>
        <v>0</v>
      </c>
      <c r="H33" s="232">
        <f>'Óvoda - 10. mell.'!D113</f>
        <v>0</v>
      </c>
      <c r="I33" s="226">
        <f>'Óvoda - 10. mell.'!E113</f>
        <v>0</v>
      </c>
      <c r="J33" s="269"/>
      <c r="K33" s="236">
        <f t="shared" si="0"/>
        <v>4208581</v>
      </c>
      <c r="L33" s="239">
        <f t="shared" si="1"/>
        <v>4287321</v>
      </c>
      <c r="M33" s="240">
        <f t="shared" si="2"/>
        <v>3400526</v>
      </c>
      <c r="N33" s="269">
        <f>M33/L33</f>
        <v>0.79315871146573813</v>
      </c>
    </row>
    <row r="34" spans="1:14" ht="16.5" x14ac:dyDescent="0.25">
      <c r="A34" s="224" t="s">
        <v>288</v>
      </c>
      <c r="B34" s="222" t="s">
        <v>176</v>
      </c>
      <c r="C34" s="234">
        <f>SUM('Önkormányzat - 9. mell.'!C113)</f>
        <v>3635000</v>
      </c>
      <c r="D34" s="232">
        <f>'Önkormányzat - 9. mell.'!D113</f>
        <v>3635000</v>
      </c>
      <c r="E34" s="226">
        <f>'Önkormányzat - 9. mell.'!E113</f>
        <v>685607</v>
      </c>
      <c r="F34" s="269">
        <f>E34/D34</f>
        <v>0.18861265474552957</v>
      </c>
      <c r="G34" s="267">
        <f>'Óvoda - 10. mell.'!C114</f>
        <v>0</v>
      </c>
      <c r="H34" s="232">
        <f>'Óvoda - 10. mell.'!D114</f>
        <v>0</v>
      </c>
      <c r="I34" s="226">
        <f>'Óvoda - 10. mell.'!E114</f>
        <v>0</v>
      </c>
      <c r="J34" s="269"/>
      <c r="K34" s="236">
        <f t="shared" si="0"/>
        <v>3635000</v>
      </c>
      <c r="L34" s="239">
        <f t="shared" si="1"/>
        <v>3635000</v>
      </c>
      <c r="M34" s="240">
        <f t="shared" si="2"/>
        <v>685607</v>
      </c>
      <c r="N34" s="269">
        <f>M34/L34</f>
        <v>0.18861265474552957</v>
      </c>
    </row>
    <row r="35" spans="1:14" ht="16.5" x14ac:dyDescent="0.25">
      <c r="A35" s="224" t="s">
        <v>289</v>
      </c>
      <c r="B35" s="222" t="s">
        <v>293</v>
      </c>
      <c r="C35" s="234">
        <f>SUM('Önkormányzat - 9. mell.'!C114)</f>
        <v>0</v>
      </c>
      <c r="D35" s="232">
        <f>'Önkormányzat - 9. mell.'!D114</f>
        <v>0</v>
      </c>
      <c r="E35" s="226">
        <f>'Önkormányzat - 9. mell.'!E114</f>
        <v>0</v>
      </c>
      <c r="F35" s="269"/>
      <c r="G35" s="267">
        <f>'Óvoda - 10. mell.'!C115</f>
        <v>0</v>
      </c>
      <c r="H35" s="232">
        <f>'Óvoda - 10. mell.'!D115</f>
        <v>0</v>
      </c>
      <c r="I35" s="226">
        <f>'Óvoda - 10. mell.'!E115</f>
        <v>0</v>
      </c>
      <c r="J35" s="269"/>
      <c r="K35" s="236">
        <f t="shared" si="0"/>
        <v>0</v>
      </c>
      <c r="L35" s="239">
        <f t="shared" si="1"/>
        <v>0</v>
      </c>
      <c r="M35" s="240">
        <f t="shared" si="2"/>
        <v>0</v>
      </c>
      <c r="N35" s="269"/>
    </row>
    <row r="36" spans="1:14" ht="16.5" x14ac:dyDescent="0.25">
      <c r="A36" s="224" t="s">
        <v>290</v>
      </c>
      <c r="B36" s="222" t="s">
        <v>294</v>
      </c>
      <c r="C36" s="234">
        <f>SUM('Önkormányzat - 9. mell.'!C115)</f>
        <v>2789430</v>
      </c>
      <c r="D36" s="232">
        <f>'Önkormányzat - 9. mell.'!D115</f>
        <v>2789430</v>
      </c>
      <c r="E36" s="226">
        <f>'Önkormányzat - 9. mell.'!E115</f>
        <v>2439192</v>
      </c>
      <c r="F36" s="269">
        <f>E36/D36</f>
        <v>0.87444101483098702</v>
      </c>
      <c r="G36" s="267">
        <f>'Óvoda - 10. mell.'!C116</f>
        <v>1443200</v>
      </c>
      <c r="H36" s="232">
        <f>'Óvoda - 10. mell.'!D116</f>
        <v>1443200</v>
      </c>
      <c r="I36" s="226">
        <f>'Óvoda - 10. mell.'!E116</f>
        <v>1258140</v>
      </c>
      <c r="J36" s="269">
        <f>I36/H36</f>
        <v>0.87177106430155216</v>
      </c>
      <c r="K36" s="236">
        <f t="shared" si="0"/>
        <v>4232630</v>
      </c>
      <c r="L36" s="239">
        <f t="shared" si="1"/>
        <v>4232630</v>
      </c>
      <c r="M36" s="240">
        <f t="shared" si="2"/>
        <v>3697332</v>
      </c>
      <c r="N36" s="269">
        <f>M36/L36</f>
        <v>0.87353064170503913</v>
      </c>
    </row>
    <row r="37" spans="1:14" ht="16.5" x14ac:dyDescent="0.25">
      <c r="A37" s="224" t="s">
        <v>291</v>
      </c>
      <c r="B37" s="222" t="s">
        <v>337</v>
      </c>
      <c r="C37" s="234">
        <f>SUM('Önkormányzat - 9. mell.'!C116)</f>
        <v>1764596</v>
      </c>
      <c r="D37" s="232">
        <f>'Önkormányzat - 9. mell.'!D116</f>
        <v>1785856</v>
      </c>
      <c r="E37" s="226">
        <f>'Önkormányzat - 9. mell.'!E116</f>
        <v>921203</v>
      </c>
      <c r="F37" s="269">
        <f>E37/D37</f>
        <v>0.51583274351347475</v>
      </c>
      <c r="G37" s="267">
        <f>'Óvoda - 10. mell.'!C117</f>
        <v>0</v>
      </c>
      <c r="H37" s="232">
        <f>'Óvoda - 10. mell.'!D117</f>
        <v>0</v>
      </c>
      <c r="I37" s="226">
        <f>'Óvoda - 10. mell.'!E117</f>
        <v>0</v>
      </c>
      <c r="J37" s="269"/>
      <c r="K37" s="236">
        <f t="shared" si="0"/>
        <v>1764596</v>
      </c>
      <c r="L37" s="239">
        <f t="shared" si="1"/>
        <v>1785856</v>
      </c>
      <c r="M37" s="240">
        <f t="shared" si="2"/>
        <v>921203</v>
      </c>
      <c r="N37" s="269">
        <f>M37/L37</f>
        <v>0.51583274351347475</v>
      </c>
    </row>
    <row r="38" spans="1:14" ht="16.5" x14ac:dyDescent="0.25">
      <c r="A38" s="224" t="s">
        <v>295</v>
      </c>
      <c r="B38" s="222" t="s">
        <v>296</v>
      </c>
      <c r="C38" s="234">
        <f>SUM('Önkormányzat - 9. mell.'!C117)</f>
        <v>0</v>
      </c>
      <c r="D38" s="232">
        <f>'Önkormányzat - 9. mell.'!D117</f>
        <v>0</v>
      </c>
      <c r="E38" s="226">
        <f>'Önkormányzat - 9. mell.'!E117</f>
        <v>794000</v>
      </c>
      <c r="F38" s="269"/>
      <c r="G38" s="267">
        <f>'Óvoda - 10. mell.'!C118</f>
        <v>0</v>
      </c>
      <c r="H38" s="232">
        <f>'Óvoda - 10. mell.'!D118</f>
        <v>0</v>
      </c>
      <c r="I38" s="226">
        <f>'Óvoda - 10. mell.'!E118</f>
        <v>0</v>
      </c>
      <c r="J38" s="269"/>
      <c r="K38" s="236">
        <f t="shared" si="0"/>
        <v>0</v>
      </c>
      <c r="L38" s="239">
        <f t="shared" si="1"/>
        <v>0</v>
      </c>
      <c r="M38" s="240">
        <f t="shared" si="2"/>
        <v>794000</v>
      </c>
      <c r="N38" s="269"/>
    </row>
    <row r="39" spans="1:14" ht="16.5" x14ac:dyDescent="0.25">
      <c r="A39" s="224" t="s">
        <v>297</v>
      </c>
      <c r="B39" s="222" t="s">
        <v>298</v>
      </c>
      <c r="C39" s="234">
        <f>SUM('Önkormányzat - 9. mell.'!C118)</f>
        <v>0</v>
      </c>
      <c r="D39" s="232">
        <f>'Önkormányzat - 9. mell.'!D118</f>
        <v>0</v>
      </c>
      <c r="E39" s="226">
        <f>'Önkormányzat - 9. mell.'!E118</f>
        <v>112</v>
      </c>
      <c r="F39" s="269"/>
      <c r="G39" s="267">
        <f>'Óvoda - 10. mell.'!C119</f>
        <v>0</v>
      </c>
      <c r="H39" s="232">
        <f>'Óvoda - 10. mell.'!D119</f>
        <v>0</v>
      </c>
      <c r="I39" s="226">
        <f>'Óvoda - 10. mell.'!E119</f>
        <v>0</v>
      </c>
      <c r="J39" s="269"/>
      <c r="K39" s="236">
        <f t="shared" si="0"/>
        <v>0</v>
      </c>
      <c r="L39" s="239">
        <f t="shared" si="1"/>
        <v>0</v>
      </c>
      <c r="M39" s="240">
        <f t="shared" si="2"/>
        <v>112</v>
      </c>
      <c r="N39" s="269"/>
    </row>
    <row r="40" spans="1:14" ht="16.5" x14ac:dyDescent="0.25">
      <c r="A40" s="224" t="s">
        <v>628</v>
      </c>
      <c r="B40" s="222" t="s">
        <v>299</v>
      </c>
      <c r="C40" s="234">
        <f>SUM('Önkormányzat - 9. mell.'!C119)</f>
        <v>11000</v>
      </c>
      <c r="D40" s="232">
        <f>'Önkormányzat - 9. mell.'!D119</f>
        <v>1011000</v>
      </c>
      <c r="E40" s="226">
        <f>'Önkormányzat - 9. mell.'!E119</f>
        <v>1658930</v>
      </c>
      <c r="F40" s="269">
        <f>E40/D40</f>
        <v>1.6408803165182988</v>
      </c>
      <c r="G40" s="267">
        <f>'Óvoda - 10. mell.'!C120</f>
        <v>0</v>
      </c>
      <c r="H40" s="232">
        <f>'Óvoda - 10. mell.'!D120</f>
        <v>0</v>
      </c>
      <c r="I40" s="226">
        <f>'Óvoda - 10. mell.'!E120</f>
        <v>3537</v>
      </c>
      <c r="J40" s="269"/>
      <c r="K40" s="236">
        <f t="shared" si="0"/>
        <v>11000</v>
      </c>
      <c r="L40" s="239">
        <f t="shared" si="1"/>
        <v>1011000</v>
      </c>
      <c r="M40" s="240">
        <f t="shared" si="2"/>
        <v>1662467</v>
      </c>
      <c r="N40" s="269">
        <f>M40/L40</f>
        <v>1.6443788328387734</v>
      </c>
    </row>
    <row r="41" spans="1:14" ht="16.5" x14ac:dyDescent="0.25">
      <c r="A41" s="494" t="s">
        <v>284</v>
      </c>
      <c r="B41" s="495" t="s">
        <v>285</v>
      </c>
      <c r="C41" s="488">
        <f>SUM(C32:C40)</f>
        <v>12408607</v>
      </c>
      <c r="D41" s="489">
        <f>SUM(D32:D40)</f>
        <v>13508607</v>
      </c>
      <c r="E41" s="490">
        <f>SUM(E32:E40)</f>
        <v>10106650</v>
      </c>
      <c r="F41" s="491">
        <f>E41/D41</f>
        <v>0.74816374478878545</v>
      </c>
      <c r="G41" s="492">
        <f t="shared" ref="G41" si="10">SUM(G32:G40)</f>
        <v>1443200</v>
      </c>
      <c r="H41" s="489">
        <f>SUM(H32:H40)</f>
        <v>1443200</v>
      </c>
      <c r="I41" s="490">
        <f t="shared" ref="I41" si="11">SUM(I32:I40)</f>
        <v>1261677</v>
      </c>
      <c r="J41" s="491">
        <f>I41/H41</f>
        <v>0.87422186807095348</v>
      </c>
      <c r="K41" s="488">
        <f t="shared" si="0"/>
        <v>13851807</v>
      </c>
      <c r="L41" s="489">
        <f t="shared" si="1"/>
        <v>14951807</v>
      </c>
      <c r="M41" s="493">
        <f t="shared" si="2"/>
        <v>11368327</v>
      </c>
      <c r="N41" s="491">
        <f>M41/L41</f>
        <v>0.76033130978750596</v>
      </c>
    </row>
    <row r="42" spans="1:14" ht="16.5" x14ac:dyDescent="0.25">
      <c r="A42" s="224" t="s">
        <v>300</v>
      </c>
      <c r="B42" s="222" t="s">
        <v>302</v>
      </c>
      <c r="C42" s="234">
        <f>'Önkormányzat - 9. mell.'!C121</f>
        <v>460000</v>
      </c>
      <c r="D42" s="232">
        <f>'Önkormányzat - 9. mell.'!D121</f>
        <v>460000</v>
      </c>
      <c r="E42" s="226">
        <f>'Önkormányzat - 9. mell.'!E121</f>
        <v>215000</v>
      </c>
      <c r="F42" s="269">
        <f>E42/D42</f>
        <v>0.46739130434782611</v>
      </c>
      <c r="G42" s="267">
        <f>'Óvoda - 10. mell.'!C122</f>
        <v>0</v>
      </c>
      <c r="H42" s="232">
        <f>'Óvoda - 10. mell.'!D122</f>
        <v>0</v>
      </c>
      <c r="I42" s="226">
        <f>'Óvoda - 10. mell.'!E122</f>
        <v>0</v>
      </c>
      <c r="J42" s="269"/>
      <c r="K42" s="236">
        <f t="shared" si="0"/>
        <v>460000</v>
      </c>
      <c r="L42" s="239">
        <f t="shared" si="1"/>
        <v>460000</v>
      </c>
      <c r="M42" s="240">
        <f t="shared" si="2"/>
        <v>215000</v>
      </c>
      <c r="N42" s="269">
        <f>M42/L42</f>
        <v>0.46739130434782611</v>
      </c>
    </row>
    <row r="43" spans="1:14" ht="16.5" x14ac:dyDescent="0.25">
      <c r="A43" s="224" t="s">
        <v>301</v>
      </c>
      <c r="B43" s="222" t="s">
        <v>303</v>
      </c>
      <c r="C43" s="234">
        <f>'Önkormányzat - 9. mell.'!C122</f>
        <v>0</v>
      </c>
      <c r="D43" s="232">
        <f>'Önkormányzat - 9. mell.'!D122</f>
        <v>0</v>
      </c>
      <c r="E43" s="226">
        <f>'Önkormányzat - 9. mell.'!E122</f>
        <v>0</v>
      </c>
      <c r="F43" s="269"/>
      <c r="G43" s="267">
        <f>'Óvoda - 10. mell.'!C123</f>
        <v>0</v>
      </c>
      <c r="H43" s="232">
        <f>'Óvoda - 10. mell.'!D123</f>
        <v>0</v>
      </c>
      <c r="I43" s="226">
        <f>'Óvoda - 10. mell.'!E123</f>
        <v>0</v>
      </c>
      <c r="J43" s="269"/>
      <c r="K43" s="236">
        <f t="shared" si="0"/>
        <v>0</v>
      </c>
      <c r="L43" s="239">
        <f t="shared" si="1"/>
        <v>0</v>
      </c>
      <c r="M43" s="240">
        <f t="shared" si="2"/>
        <v>0</v>
      </c>
      <c r="N43" s="269"/>
    </row>
    <row r="44" spans="1:14" ht="16.5" x14ac:dyDescent="0.25">
      <c r="A44" s="494" t="s">
        <v>304</v>
      </c>
      <c r="B44" s="495" t="s">
        <v>305</v>
      </c>
      <c r="C44" s="488">
        <f>SUM(C42:C43)</f>
        <v>460000</v>
      </c>
      <c r="D44" s="489">
        <f>SUM(D42:D43)</f>
        <v>460000</v>
      </c>
      <c r="E44" s="490">
        <f>SUM(E42:E43)</f>
        <v>215000</v>
      </c>
      <c r="F44" s="491">
        <f>E44/D44</f>
        <v>0.46739130434782611</v>
      </c>
      <c r="G44" s="492">
        <f t="shared" ref="G44" si="12">SUM(G42:G43)</f>
        <v>0</v>
      </c>
      <c r="H44" s="489">
        <f>SUM(H42:H43)</f>
        <v>0</v>
      </c>
      <c r="I44" s="490">
        <f t="shared" ref="I44" si="13">SUM(I42:I43)</f>
        <v>0</v>
      </c>
      <c r="J44" s="491"/>
      <c r="K44" s="488">
        <f t="shared" si="0"/>
        <v>460000</v>
      </c>
      <c r="L44" s="489">
        <f t="shared" si="1"/>
        <v>460000</v>
      </c>
      <c r="M44" s="493">
        <f t="shared" si="2"/>
        <v>215000</v>
      </c>
      <c r="N44" s="491">
        <f>M44/L44</f>
        <v>0.46739130434782611</v>
      </c>
    </row>
    <row r="45" spans="1:14" ht="16.5" x14ac:dyDescent="0.25">
      <c r="A45" s="224" t="s">
        <v>306</v>
      </c>
      <c r="B45" s="222" t="s">
        <v>307</v>
      </c>
      <c r="C45" s="234">
        <f>'Önkormányzat - 9. mell.'!C124</f>
        <v>0</v>
      </c>
      <c r="D45" s="232">
        <f>'Önkormányzat - 9. mell.'!D124</f>
        <v>0</v>
      </c>
      <c r="E45" s="226">
        <f>'Önkormányzat - 9. mell.'!E124</f>
        <v>0</v>
      </c>
      <c r="F45" s="269"/>
      <c r="G45" s="267">
        <f>'Óvoda - 10. mell.'!C125</f>
        <v>0</v>
      </c>
      <c r="H45" s="232">
        <f>'Óvoda - 10. mell.'!D125</f>
        <v>0</v>
      </c>
      <c r="I45" s="226">
        <f>'Óvoda - 10. mell.'!E125</f>
        <v>0</v>
      </c>
      <c r="J45" s="269"/>
      <c r="K45" s="236">
        <f t="shared" si="0"/>
        <v>0</v>
      </c>
      <c r="L45" s="239">
        <f t="shared" si="1"/>
        <v>0</v>
      </c>
      <c r="M45" s="240">
        <f t="shared" si="2"/>
        <v>0</v>
      </c>
      <c r="N45" s="269"/>
    </row>
    <row r="46" spans="1:14" ht="16.5" x14ac:dyDescent="0.25">
      <c r="A46" s="224" t="s">
        <v>630</v>
      </c>
      <c r="B46" s="222" t="s">
        <v>308</v>
      </c>
      <c r="C46" s="234">
        <f>'Önkormányzat - 9. mell.'!C125</f>
        <v>0</v>
      </c>
      <c r="D46" s="232">
        <f>'Önkormányzat - 9. mell.'!D125</f>
        <v>47560</v>
      </c>
      <c r="E46" s="226">
        <f>'Önkormányzat - 9. mell.'!E125</f>
        <v>363560</v>
      </c>
      <c r="F46" s="269">
        <f>E46/D46</f>
        <v>7.6442388561816657</v>
      </c>
      <c r="G46" s="267">
        <f>'Óvoda - 10. mell.'!C126</f>
        <v>0</v>
      </c>
      <c r="H46" s="232">
        <f>'Óvoda - 10. mell.'!D126</f>
        <v>0</v>
      </c>
      <c r="I46" s="226">
        <f>'Óvoda - 10. mell.'!E126</f>
        <v>0</v>
      </c>
      <c r="J46" s="269"/>
      <c r="K46" s="236">
        <f t="shared" si="0"/>
        <v>0</v>
      </c>
      <c r="L46" s="239">
        <f t="shared" si="1"/>
        <v>47560</v>
      </c>
      <c r="M46" s="240">
        <f t="shared" si="2"/>
        <v>363560</v>
      </c>
      <c r="N46" s="269">
        <f>M46/L46</f>
        <v>7.6442388561816657</v>
      </c>
    </row>
    <row r="47" spans="1:14" ht="16.5" x14ac:dyDescent="0.25">
      <c r="A47" s="494" t="s">
        <v>309</v>
      </c>
      <c r="B47" s="495" t="s">
        <v>312</v>
      </c>
      <c r="C47" s="488">
        <f>SUM(C45:C46)</f>
        <v>0</v>
      </c>
      <c r="D47" s="489">
        <f>SUM(D45:D46)</f>
        <v>47560</v>
      </c>
      <c r="E47" s="490">
        <f>SUM(E45:E46)</f>
        <v>363560</v>
      </c>
      <c r="F47" s="491">
        <f>E47/D47</f>
        <v>7.6442388561816657</v>
      </c>
      <c r="G47" s="492">
        <f t="shared" ref="G47" si="14">SUM(G45:G46)</f>
        <v>0</v>
      </c>
      <c r="H47" s="489">
        <f>SUM(H45:H46)</f>
        <v>0</v>
      </c>
      <c r="I47" s="490">
        <f t="shared" ref="I47" si="15">SUM(I45:I46)</f>
        <v>0</v>
      </c>
      <c r="J47" s="491"/>
      <c r="K47" s="488">
        <f t="shared" si="0"/>
        <v>0</v>
      </c>
      <c r="L47" s="489">
        <f t="shared" si="1"/>
        <v>47560</v>
      </c>
      <c r="M47" s="493">
        <f t="shared" si="2"/>
        <v>363560</v>
      </c>
      <c r="N47" s="491">
        <f>M47/L47</f>
        <v>7.6442388561816657</v>
      </c>
    </row>
    <row r="48" spans="1:14" ht="16.5" x14ac:dyDescent="0.25">
      <c r="A48" s="224" t="s">
        <v>313</v>
      </c>
      <c r="B48" s="222" t="s">
        <v>314</v>
      </c>
      <c r="C48" s="234">
        <f>'Önkormányzat - 9. mell.'!C127</f>
        <v>0</v>
      </c>
      <c r="D48" s="232">
        <f>'Önkormányzat - 9. mell.'!D127</f>
        <v>0</v>
      </c>
      <c r="E48" s="226">
        <f>'Önkormányzat - 9. mell.'!E127</f>
        <v>0</v>
      </c>
      <c r="F48" s="269"/>
      <c r="G48" s="267">
        <f>'Óvoda - 10. mell.'!C128</f>
        <v>0</v>
      </c>
      <c r="H48" s="232">
        <f>'Óvoda - 10. mell.'!D128</f>
        <v>0</v>
      </c>
      <c r="I48" s="226">
        <f>'Óvoda - 10. mell.'!E128</f>
        <v>0</v>
      </c>
      <c r="J48" s="269"/>
      <c r="K48" s="236">
        <f t="shared" si="0"/>
        <v>0</v>
      </c>
      <c r="L48" s="239">
        <f t="shared" si="1"/>
        <v>0</v>
      </c>
      <c r="M48" s="240">
        <f t="shared" si="2"/>
        <v>0</v>
      </c>
      <c r="N48" s="269"/>
    </row>
    <row r="49" spans="1:14" ht="16.5" x14ac:dyDescent="0.25">
      <c r="A49" s="224" t="s">
        <v>632</v>
      </c>
      <c r="B49" s="222" t="s">
        <v>315</v>
      </c>
      <c r="C49" s="234">
        <f>'Önkormányzat - 9. mell.'!C128</f>
        <v>2886600</v>
      </c>
      <c r="D49" s="232">
        <f>'Önkormányzat - 9. mell.'!D128</f>
        <v>2886600</v>
      </c>
      <c r="E49" s="226">
        <f>'Önkormányzat - 9. mell.'!E128</f>
        <v>0</v>
      </c>
      <c r="F49" s="269">
        <f>E49/D49</f>
        <v>0</v>
      </c>
      <c r="G49" s="267">
        <f>'Óvoda - 10. mell.'!C129</f>
        <v>0</v>
      </c>
      <c r="H49" s="232">
        <f>'Óvoda - 10. mell.'!D129</f>
        <v>0</v>
      </c>
      <c r="I49" s="226">
        <f>'Óvoda - 10. mell.'!E129</f>
        <v>0</v>
      </c>
      <c r="J49" s="269"/>
      <c r="K49" s="236">
        <f t="shared" si="0"/>
        <v>2886600</v>
      </c>
      <c r="L49" s="239">
        <f t="shared" si="1"/>
        <v>2886600</v>
      </c>
      <c r="M49" s="240">
        <f t="shared" si="2"/>
        <v>0</v>
      </c>
      <c r="N49" s="269">
        <f t="shared" ref="N49:N54" si="16">M49/L49</f>
        <v>0</v>
      </c>
    </row>
    <row r="50" spans="1:14" ht="16.5" x14ac:dyDescent="0.25">
      <c r="A50" s="494" t="s">
        <v>310</v>
      </c>
      <c r="B50" s="495" t="s">
        <v>311</v>
      </c>
      <c r="C50" s="488">
        <f>SUM(C48:C49)</f>
        <v>2886600</v>
      </c>
      <c r="D50" s="489">
        <f>SUM(D48:D49)</f>
        <v>2886600</v>
      </c>
      <c r="E50" s="490">
        <f>SUM(E48:E49)</f>
        <v>0</v>
      </c>
      <c r="F50" s="491">
        <f>E50/D50</f>
        <v>0</v>
      </c>
      <c r="G50" s="492">
        <f t="shared" ref="G50" si="17">SUM(G48:G49)</f>
        <v>0</v>
      </c>
      <c r="H50" s="489">
        <f t="shared" ref="H50" si="18">SUM(H48:H49)</f>
        <v>0</v>
      </c>
      <c r="I50" s="490">
        <f t="shared" ref="I50" si="19">SUM(I48:I49)</f>
        <v>0</v>
      </c>
      <c r="J50" s="491"/>
      <c r="K50" s="488">
        <f t="shared" si="0"/>
        <v>2886600</v>
      </c>
      <c r="L50" s="489">
        <f t="shared" si="1"/>
        <v>2886600</v>
      </c>
      <c r="M50" s="493">
        <f t="shared" si="2"/>
        <v>0</v>
      </c>
      <c r="N50" s="491">
        <f t="shared" si="16"/>
        <v>0</v>
      </c>
    </row>
    <row r="51" spans="1:14" ht="18.75" x14ac:dyDescent="0.3">
      <c r="A51" s="750" t="s">
        <v>633</v>
      </c>
      <c r="B51" s="751"/>
      <c r="C51" s="496">
        <f>SUM(C17,C21,C31,C41,C44,C47,C50)</f>
        <v>264645936</v>
      </c>
      <c r="D51" s="497">
        <f>SUM(D17,D21,D31,D41,D44,D47,D50)</f>
        <v>267758439</v>
      </c>
      <c r="E51" s="498">
        <f>SUM(E17,E21,E31,E41,E44,E47,E50)</f>
        <v>230389027</v>
      </c>
      <c r="F51" s="499">
        <f>E51/D51</f>
        <v>0.86043610001774773</v>
      </c>
      <c r="G51" s="500">
        <f>SUM(G17,G21,G31,G41,G44,G47,G50)</f>
        <v>1443200</v>
      </c>
      <c r="H51" s="497">
        <f>SUM(H17,H21,H31,H41,H44,H47,H50)</f>
        <v>1443200</v>
      </c>
      <c r="I51" s="498">
        <f>SUM(I17,I21,I31,I41,I44,I47,I50)</f>
        <v>1261677</v>
      </c>
      <c r="J51" s="499">
        <f>I51/H51</f>
        <v>0.87422186807095348</v>
      </c>
      <c r="K51" s="496">
        <f t="shared" si="0"/>
        <v>266089136</v>
      </c>
      <c r="L51" s="497">
        <f t="shared" si="1"/>
        <v>269201639</v>
      </c>
      <c r="M51" s="501">
        <f t="shared" si="2"/>
        <v>231650704</v>
      </c>
      <c r="N51" s="499">
        <f t="shared" si="16"/>
        <v>0.86051000603306138</v>
      </c>
    </row>
    <row r="52" spans="1:14" ht="16.5" x14ac:dyDescent="0.25">
      <c r="A52" s="224" t="s">
        <v>317</v>
      </c>
      <c r="B52" s="222" t="s">
        <v>316</v>
      </c>
      <c r="C52" s="234">
        <f>'Önkormányzat - 9. mell.'!C131</f>
        <v>5000000</v>
      </c>
      <c r="D52" s="232">
        <f>'Önkormányzat - 9. mell.'!D131</f>
        <v>5000000</v>
      </c>
      <c r="E52" s="226">
        <f>'Önkormányzat - 9. mell.'!E131</f>
        <v>0</v>
      </c>
      <c r="F52" s="269">
        <f>E52/D52</f>
        <v>0</v>
      </c>
      <c r="G52" s="267">
        <f>'Óvoda - 10. mell.'!C132</f>
        <v>0</v>
      </c>
      <c r="H52" s="232">
        <f>'Óvoda - 10. mell.'!D132</f>
        <v>0</v>
      </c>
      <c r="I52" s="226">
        <f>'Óvoda - 10. mell.'!E132</f>
        <v>0</v>
      </c>
      <c r="J52" s="269"/>
      <c r="K52" s="236">
        <f t="shared" si="0"/>
        <v>5000000</v>
      </c>
      <c r="L52" s="239">
        <f t="shared" si="1"/>
        <v>5000000</v>
      </c>
      <c r="M52" s="240">
        <f t="shared" si="2"/>
        <v>0</v>
      </c>
      <c r="N52" s="269">
        <f t="shared" si="16"/>
        <v>0</v>
      </c>
    </row>
    <row r="53" spans="1:14" ht="16.5" x14ac:dyDescent="0.25">
      <c r="A53" s="224" t="s">
        <v>318</v>
      </c>
      <c r="B53" s="222" t="s">
        <v>319</v>
      </c>
      <c r="C53" s="234">
        <f>'Önkormányzat - 9. mell.'!C132</f>
        <v>164147292</v>
      </c>
      <c r="D53" s="232">
        <f>'Önkormányzat - 9. mell.'!D132</f>
        <v>189550609</v>
      </c>
      <c r="E53" s="226">
        <f>'Önkormányzat - 9. mell.'!E132</f>
        <v>189550609</v>
      </c>
      <c r="F53" s="269">
        <f>E53/D53</f>
        <v>1</v>
      </c>
      <c r="G53" s="267">
        <f>'Óvoda - 10. mell.'!C133</f>
        <v>0</v>
      </c>
      <c r="H53" s="232">
        <f>'Óvoda - 10. mell.'!D133</f>
        <v>77550</v>
      </c>
      <c r="I53" s="226">
        <f>'Óvoda - 10. mell.'!E133</f>
        <v>77550</v>
      </c>
      <c r="J53" s="269">
        <f>I53/H53</f>
        <v>1</v>
      </c>
      <c r="K53" s="236">
        <f t="shared" si="0"/>
        <v>164147292</v>
      </c>
      <c r="L53" s="239">
        <f t="shared" si="1"/>
        <v>189628159</v>
      </c>
      <c r="M53" s="240">
        <f t="shared" si="2"/>
        <v>189628159</v>
      </c>
      <c r="N53" s="269">
        <f t="shared" si="16"/>
        <v>1</v>
      </c>
    </row>
    <row r="54" spans="1:14" ht="16.5" x14ac:dyDescent="0.25">
      <c r="A54" s="224" t="s">
        <v>320</v>
      </c>
      <c r="B54" s="222" t="s">
        <v>68</v>
      </c>
      <c r="C54" s="234">
        <f>'Önkormányzat - 9. mell.'!C133</f>
        <v>0</v>
      </c>
      <c r="D54" s="232">
        <f>'Önkormányzat - 9. mell.'!D133</f>
        <v>0</v>
      </c>
      <c r="E54" s="226">
        <f>'Önkormányzat - 9. mell.'!E133</f>
        <v>0</v>
      </c>
      <c r="F54" s="269"/>
      <c r="G54" s="267">
        <f>'Óvoda - 10. mell.'!C134</f>
        <v>69183233</v>
      </c>
      <c r="H54" s="232">
        <f>'Óvoda - 10. mell.'!D134</f>
        <v>69212153</v>
      </c>
      <c r="I54" s="226">
        <f>'Óvoda - 10. mell.'!E134</f>
        <v>43604709</v>
      </c>
      <c r="J54" s="269">
        <f>I54/H54</f>
        <v>0.63001520845623749</v>
      </c>
      <c r="K54" s="236">
        <f t="shared" si="0"/>
        <v>69183233</v>
      </c>
      <c r="L54" s="239">
        <f t="shared" si="1"/>
        <v>69212153</v>
      </c>
      <c r="M54" s="240">
        <f t="shared" si="2"/>
        <v>43604709</v>
      </c>
      <c r="N54" s="269">
        <f t="shared" si="16"/>
        <v>0.63001520845623749</v>
      </c>
    </row>
    <row r="55" spans="1:14" ht="16.5" x14ac:dyDescent="0.25">
      <c r="A55" s="224" t="s">
        <v>321</v>
      </c>
      <c r="B55" s="222" t="s">
        <v>322</v>
      </c>
      <c r="C55" s="234">
        <f>'Önkormányzat - 9. mell.'!C134</f>
        <v>0</v>
      </c>
      <c r="D55" s="232">
        <f>'Önkormányzat - 9. mell.'!D134</f>
        <v>0</v>
      </c>
      <c r="E55" s="226">
        <f>'Önkormányzat - 9. mell.'!E134</f>
        <v>0</v>
      </c>
      <c r="F55" s="269"/>
      <c r="G55" s="267">
        <f>'Óvoda - 10. mell.'!C135</f>
        <v>0</v>
      </c>
      <c r="H55" s="232">
        <f>'Óvoda - 10. mell.'!D135</f>
        <v>0</v>
      </c>
      <c r="I55" s="226">
        <f>'Óvoda - 10. mell.'!E135</f>
        <v>0</v>
      </c>
      <c r="J55" s="269"/>
      <c r="K55" s="236">
        <f t="shared" si="0"/>
        <v>0</v>
      </c>
      <c r="L55" s="239">
        <f t="shared" si="1"/>
        <v>0</v>
      </c>
      <c r="M55" s="240">
        <f t="shared" si="2"/>
        <v>0</v>
      </c>
      <c r="N55" s="269"/>
    </row>
    <row r="56" spans="1:14" ht="18.75" x14ac:dyDescent="0.3">
      <c r="A56" s="750" t="s">
        <v>682</v>
      </c>
      <c r="B56" s="751"/>
      <c r="C56" s="496">
        <f>SUM(C51:C55)</f>
        <v>433793228</v>
      </c>
      <c r="D56" s="497">
        <f>SUM(D51:D55)</f>
        <v>462309048</v>
      </c>
      <c r="E56" s="498">
        <f>SUM(E51:E55)</f>
        <v>419939636</v>
      </c>
      <c r="F56" s="499">
        <f>E56/D56</f>
        <v>0.90835262216196122</v>
      </c>
      <c r="G56" s="500">
        <f t="shared" ref="G56" si="20">SUM(G51:G55)</f>
        <v>70626433</v>
      </c>
      <c r="H56" s="497">
        <f t="shared" ref="H56" si="21">SUM(H51:H55)</f>
        <v>70732903</v>
      </c>
      <c r="I56" s="498">
        <f t="shared" ref="I56" si="22">SUM(I51:I55)</f>
        <v>44943936</v>
      </c>
      <c r="J56" s="499">
        <f>I56/H56</f>
        <v>0.63540352641824982</v>
      </c>
      <c r="K56" s="496">
        <f t="shared" si="0"/>
        <v>504419661</v>
      </c>
      <c r="L56" s="497">
        <f t="shared" si="1"/>
        <v>533041951</v>
      </c>
      <c r="M56" s="501">
        <f t="shared" si="2"/>
        <v>464883572</v>
      </c>
      <c r="N56" s="499">
        <f>M56/L56</f>
        <v>0.87213318037701693</v>
      </c>
    </row>
  </sheetData>
  <mergeCells count="10">
    <mergeCell ref="G1:J1"/>
    <mergeCell ref="K1:N1"/>
    <mergeCell ref="F2:F3"/>
    <mergeCell ref="J2:J3"/>
    <mergeCell ref="N2:N3"/>
    <mergeCell ref="A56:B56"/>
    <mergeCell ref="A51:B51"/>
    <mergeCell ref="A1:A3"/>
    <mergeCell ref="B1:B3"/>
    <mergeCell ref="C1:F1"/>
  </mergeCells>
  <phoneticPr fontId="2" type="noConversion"/>
  <printOptions horizontalCentered="1"/>
  <pageMargins left="0.59055118110236227" right="0.59055118110236227" top="0.9055118110236221" bottom="0.39370078740157483" header="0.39370078740157483" footer="0.31496062992125984"/>
  <pageSetup paperSize="9" scale="48" orientation="landscape" r:id="rId1"/>
  <headerFooter>
    <oddHeader>&amp;LLevél Községi Önkormányzat&amp;C&amp;"Arial CE,Félkövér"&amp;12Bevételek összesen
2019. 01-09. hó&amp;R3. sz. melléklet</oddHeader>
  </headerFooter>
  <ignoredErrors>
    <ignoredError sqref="I25:I30 G18:I18 H19:I19 I22:I24 E32 G32:G35 I32:I35 E35 I37:I39 G38:G39 G42 I42" emptyCellReference="1"/>
    <ignoredError sqref="F17 F31 F4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3">
    <tabColor rgb="FF00B0F0"/>
    <pageSetUpPr fitToPage="1"/>
  </sheetPr>
  <dimension ref="A1:R27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6.140625" bestFit="1" customWidth="1"/>
    <col min="2" max="2" width="45.5703125" bestFit="1" customWidth="1"/>
    <col min="3" max="5" width="19" bestFit="1" customWidth="1"/>
    <col min="6" max="6" width="9.5703125" style="139" bestFit="1" customWidth="1"/>
    <col min="7" max="9" width="17.7109375" bestFit="1" customWidth="1"/>
    <col min="10" max="10" width="9.5703125" bestFit="1" customWidth="1"/>
    <col min="11" max="13" width="19" bestFit="1" customWidth="1"/>
    <col min="14" max="14" width="9.5703125" bestFit="1" customWidth="1"/>
    <col min="18" max="18" width="14.7109375" bestFit="1" customWidth="1"/>
  </cols>
  <sheetData>
    <row r="1" spans="1:14" ht="22.5" customHeight="1" thickBot="1" x14ac:dyDescent="0.25">
      <c r="A1" s="752" t="s">
        <v>235</v>
      </c>
      <c r="B1" s="753" t="s">
        <v>75</v>
      </c>
      <c r="C1" s="754" t="s">
        <v>247</v>
      </c>
      <c r="D1" s="755"/>
      <c r="E1" s="755"/>
      <c r="F1" s="756"/>
      <c r="G1" s="754" t="s">
        <v>48</v>
      </c>
      <c r="H1" s="755"/>
      <c r="I1" s="755"/>
      <c r="J1" s="756"/>
      <c r="K1" s="757" t="s">
        <v>666</v>
      </c>
      <c r="L1" s="758"/>
      <c r="M1" s="758"/>
      <c r="N1" s="759"/>
    </row>
    <row r="2" spans="1:14" ht="18" thickTop="1" thickBot="1" x14ac:dyDescent="0.25">
      <c r="A2" s="752"/>
      <c r="B2" s="753"/>
      <c r="C2" s="278">
        <v>2019</v>
      </c>
      <c r="D2" s="278">
        <v>2019</v>
      </c>
      <c r="E2" s="515">
        <v>2019</v>
      </c>
      <c r="F2" s="760" t="s">
        <v>675</v>
      </c>
      <c r="G2" s="279">
        <v>2019</v>
      </c>
      <c r="H2" s="278">
        <v>2019</v>
      </c>
      <c r="I2" s="516">
        <v>2019</v>
      </c>
      <c r="J2" s="760" t="s">
        <v>675</v>
      </c>
      <c r="K2" s="278">
        <v>2019</v>
      </c>
      <c r="L2" s="278">
        <v>2019</v>
      </c>
      <c r="M2" s="516">
        <v>2019</v>
      </c>
      <c r="N2" s="760" t="s">
        <v>675</v>
      </c>
    </row>
    <row r="3" spans="1:14" ht="16.5" thickBot="1" x14ac:dyDescent="0.25">
      <c r="A3" s="752"/>
      <c r="B3" s="753"/>
      <c r="C3" s="228" t="s">
        <v>64</v>
      </c>
      <c r="D3" s="228" t="s">
        <v>684</v>
      </c>
      <c r="E3" s="264" t="s">
        <v>685</v>
      </c>
      <c r="F3" s="761"/>
      <c r="G3" s="265" t="s">
        <v>64</v>
      </c>
      <c r="H3" s="228" t="s">
        <v>684</v>
      </c>
      <c r="I3" s="228" t="s">
        <v>686</v>
      </c>
      <c r="J3" s="761"/>
      <c r="K3" s="228" t="s">
        <v>64</v>
      </c>
      <c r="L3" s="228" t="s">
        <v>684</v>
      </c>
      <c r="M3" s="228" t="s">
        <v>685</v>
      </c>
      <c r="N3" s="761"/>
    </row>
    <row r="4" spans="1:14" ht="16.5" x14ac:dyDescent="0.25">
      <c r="A4" s="227" t="s">
        <v>141</v>
      </c>
      <c r="B4" s="229" t="s">
        <v>0</v>
      </c>
      <c r="C4" s="233">
        <f>'Önkormányzat - 9. mell.'!C23</f>
        <v>40775651</v>
      </c>
      <c r="D4" s="231">
        <f>'Önkormányzat - 9. mell.'!D23</f>
        <v>43228576</v>
      </c>
      <c r="E4" s="230">
        <f>'Önkormányzat - 9. mell.'!E23</f>
        <v>32129698</v>
      </c>
      <c r="F4" s="268">
        <f>E4/D4</f>
        <v>0.74325136224704691</v>
      </c>
      <c r="G4" s="266">
        <f>'Óvoda - 10. mell.'!C21</f>
        <v>46207993</v>
      </c>
      <c r="H4" s="231">
        <f>'Óvoda - 10. mell.'!D21</f>
        <v>46232293</v>
      </c>
      <c r="I4" s="230">
        <f>'Óvoda - 10. mell.'!E21</f>
        <v>30541049</v>
      </c>
      <c r="J4" s="268">
        <f>I4/H4</f>
        <v>0.66059991876241142</v>
      </c>
      <c r="K4" s="235">
        <f>C4+G4</f>
        <v>86983644</v>
      </c>
      <c r="L4" s="237">
        <f>D4+H4</f>
        <v>89460869</v>
      </c>
      <c r="M4" s="238">
        <f>E4+I4</f>
        <v>62670747</v>
      </c>
      <c r="N4" s="268">
        <f>M4/L4</f>
        <v>0.70053809783582588</v>
      </c>
    </row>
    <row r="5" spans="1:14" ht="16.5" x14ac:dyDescent="0.25">
      <c r="A5" s="224" t="s">
        <v>146</v>
      </c>
      <c r="B5" s="222" t="s">
        <v>50</v>
      </c>
      <c r="C5" s="234">
        <f>'Önkormányzat - 9. mell.'!C28</f>
        <v>8212948</v>
      </c>
      <c r="D5" s="232">
        <f>'Önkormányzat - 9. mell.'!D28</f>
        <v>7423603</v>
      </c>
      <c r="E5" s="226">
        <f>'Önkormányzat - 9. mell.'!E28</f>
        <v>6155051</v>
      </c>
      <c r="F5" s="269">
        <f t="shared" ref="F5:F24" si="0">E5/D5</f>
        <v>0.82911909486539082</v>
      </c>
      <c r="G5" s="267">
        <f>'Óvoda - 10. mell.'!C27</f>
        <v>9170660</v>
      </c>
      <c r="H5" s="232">
        <f>'Óvoda - 10. mell.'!D27</f>
        <v>9175280</v>
      </c>
      <c r="I5" s="226">
        <f>'Óvoda - 10. mell.'!E27</f>
        <v>6067185</v>
      </c>
      <c r="J5" s="269">
        <f t="shared" ref="J5:J24" si="1">I5/H5</f>
        <v>0.66125338954233548</v>
      </c>
      <c r="K5" s="236">
        <f t="shared" ref="K5:K24" si="2">C5+G5</f>
        <v>17383608</v>
      </c>
      <c r="L5" s="239">
        <f t="shared" ref="L5:L24" si="3">D5+H5</f>
        <v>16598883</v>
      </c>
      <c r="M5" s="240">
        <f t="shared" ref="M5:M24" si="4">E5+I5</f>
        <v>12222236</v>
      </c>
      <c r="N5" s="269">
        <f t="shared" ref="N5:N24" si="5">M5/L5</f>
        <v>0.73632882405400413</v>
      </c>
    </row>
    <row r="6" spans="1:14" ht="16.5" x14ac:dyDescent="0.25">
      <c r="A6" s="224" t="s">
        <v>198</v>
      </c>
      <c r="B6" s="222" t="s">
        <v>1</v>
      </c>
      <c r="C6" s="234">
        <f>'Önkormányzat - 9. mell.'!C61</f>
        <v>64787696</v>
      </c>
      <c r="D6" s="232">
        <f>'Önkormányzat - 9. mell.'!D61</f>
        <v>78220574</v>
      </c>
      <c r="E6" s="226">
        <f>'Önkormányzat - 9. mell.'!E61</f>
        <v>55493932</v>
      </c>
      <c r="F6" s="269">
        <f t="shared" si="0"/>
        <v>0.70945442052112784</v>
      </c>
      <c r="G6" s="267">
        <f>'Óvoda - 10. mell.'!C62</f>
        <v>14957781</v>
      </c>
      <c r="H6" s="232">
        <f>'Óvoda - 10. mell.'!D62</f>
        <v>15035331</v>
      </c>
      <c r="I6" s="226">
        <f>'Óvoda - 10. mell.'!E62</f>
        <v>7931454</v>
      </c>
      <c r="J6" s="269">
        <f t="shared" si="1"/>
        <v>0.52752107685557437</v>
      </c>
      <c r="K6" s="236">
        <f t="shared" si="2"/>
        <v>79745477</v>
      </c>
      <c r="L6" s="239">
        <f t="shared" si="3"/>
        <v>93255905</v>
      </c>
      <c r="M6" s="240">
        <f t="shared" si="4"/>
        <v>63425386</v>
      </c>
      <c r="N6" s="269">
        <f t="shared" si="5"/>
        <v>0.68012192900814161</v>
      </c>
    </row>
    <row r="7" spans="1:14" ht="16.5" x14ac:dyDescent="0.25">
      <c r="A7" s="224" t="s">
        <v>215</v>
      </c>
      <c r="B7" s="222" t="s">
        <v>323</v>
      </c>
      <c r="C7" s="234">
        <f>'Önkormányzat - 9. mell.'!C62</f>
        <v>7000800</v>
      </c>
      <c r="D7" s="232">
        <f>'Önkormányzat - 9. mell.'!D62</f>
        <v>4696800</v>
      </c>
      <c r="E7" s="226">
        <f>'Önkormányzat - 9. mell.'!E62</f>
        <v>3237476</v>
      </c>
      <c r="F7" s="269">
        <f t="shared" si="0"/>
        <v>0.6892939873956736</v>
      </c>
      <c r="G7" s="267">
        <f>'Óvoda - 10. mell.'!C63</f>
        <v>0</v>
      </c>
      <c r="H7" s="232">
        <f>'Óvoda - 10. mell.'!D63</f>
        <v>0</v>
      </c>
      <c r="I7" s="226">
        <f>'Óvoda - 10. mell.'!E63</f>
        <v>0</v>
      </c>
      <c r="J7" s="269"/>
      <c r="K7" s="236">
        <f t="shared" si="2"/>
        <v>7000800</v>
      </c>
      <c r="L7" s="239">
        <f t="shared" si="3"/>
        <v>4696800</v>
      </c>
      <c r="M7" s="240">
        <f t="shared" si="4"/>
        <v>3237476</v>
      </c>
      <c r="N7" s="269">
        <f t="shared" si="5"/>
        <v>0.6892939873956736</v>
      </c>
    </row>
    <row r="8" spans="1:14" ht="16.5" x14ac:dyDescent="0.25">
      <c r="A8" s="224" t="s">
        <v>216</v>
      </c>
      <c r="B8" s="222" t="s">
        <v>217</v>
      </c>
      <c r="C8" s="234">
        <f>'Önkormányzat - 9. mell.'!C63</f>
        <v>18163453</v>
      </c>
      <c r="D8" s="232">
        <f>'Önkormányzat - 9. mell.'!D63</f>
        <v>18163453</v>
      </c>
      <c r="E8" s="226">
        <f>'Önkormányzat - 9. mell.'!E63</f>
        <v>14088923</v>
      </c>
      <c r="F8" s="269">
        <f t="shared" si="0"/>
        <v>0.7756742619368685</v>
      </c>
      <c r="G8" s="267">
        <f>'Óvoda - 10. mell.'!C64</f>
        <v>0</v>
      </c>
      <c r="H8" s="232">
        <f>'Óvoda - 10. mell.'!D64</f>
        <v>0</v>
      </c>
      <c r="I8" s="226">
        <f>'Óvoda - 10. mell.'!E64</f>
        <v>0</v>
      </c>
      <c r="J8" s="269"/>
      <c r="K8" s="236">
        <f t="shared" si="2"/>
        <v>18163453</v>
      </c>
      <c r="L8" s="239">
        <f t="shared" si="3"/>
        <v>18163453</v>
      </c>
      <c r="M8" s="240">
        <f t="shared" si="4"/>
        <v>14088923</v>
      </c>
      <c r="N8" s="269">
        <f t="shared" si="5"/>
        <v>0.7756742619368685</v>
      </c>
    </row>
    <row r="9" spans="1:14" ht="16.5" x14ac:dyDescent="0.25">
      <c r="A9" s="224" t="s">
        <v>218</v>
      </c>
      <c r="B9" s="222" t="s">
        <v>250</v>
      </c>
      <c r="C9" s="234">
        <f>'Önkormányzat - 9. mell.'!C64</f>
        <v>21152748</v>
      </c>
      <c r="D9" s="232">
        <f>'Önkormányzat - 9. mell.'!D64</f>
        <v>21152748</v>
      </c>
      <c r="E9" s="226">
        <f>'Önkormányzat - 9. mell.'!E64</f>
        <v>11707090</v>
      </c>
      <c r="F9" s="269">
        <f t="shared" si="0"/>
        <v>0.55345480407557446</v>
      </c>
      <c r="G9" s="267">
        <f>'Óvoda - 10. mell.'!C65</f>
        <v>0</v>
      </c>
      <c r="H9" s="232">
        <f>'Óvoda - 10. mell.'!D65</f>
        <v>0</v>
      </c>
      <c r="I9" s="226">
        <f>'Óvoda - 10. mell.'!E65</f>
        <v>0</v>
      </c>
      <c r="J9" s="269"/>
      <c r="K9" s="236">
        <f t="shared" si="2"/>
        <v>21152748</v>
      </c>
      <c r="L9" s="239">
        <f t="shared" si="3"/>
        <v>21152748</v>
      </c>
      <c r="M9" s="240">
        <f t="shared" si="4"/>
        <v>11707090</v>
      </c>
      <c r="N9" s="269">
        <f t="shared" si="5"/>
        <v>0.55345480407557446</v>
      </c>
    </row>
    <row r="10" spans="1:14" ht="16.5" x14ac:dyDescent="0.25">
      <c r="A10" s="224" t="s">
        <v>220</v>
      </c>
      <c r="B10" s="222" t="s">
        <v>346</v>
      </c>
      <c r="C10" s="234">
        <f>'Önkormányzat - 9. mell.'!C65</f>
        <v>0</v>
      </c>
      <c r="D10" s="232">
        <f>'Önkormányzat - 9. mell.'!D65</f>
        <v>0</v>
      </c>
      <c r="E10" s="226">
        <f>'Önkormányzat - 9. mell.'!E65</f>
        <v>0</v>
      </c>
      <c r="F10" s="269"/>
      <c r="G10" s="267">
        <f>'Óvoda - 10. mell.'!C66</f>
        <v>0</v>
      </c>
      <c r="H10" s="232">
        <f>'Óvoda - 10. mell.'!D66</f>
        <v>0</v>
      </c>
      <c r="I10" s="226">
        <f>'Óvoda - 10. mell.'!E66</f>
        <v>0</v>
      </c>
      <c r="J10" s="269"/>
      <c r="K10" s="236">
        <f t="shared" si="2"/>
        <v>0</v>
      </c>
      <c r="L10" s="239">
        <f t="shared" si="3"/>
        <v>0</v>
      </c>
      <c r="M10" s="240">
        <f t="shared" si="4"/>
        <v>0</v>
      </c>
      <c r="N10" s="269"/>
    </row>
    <row r="11" spans="1:14" ht="16.5" x14ac:dyDescent="0.25">
      <c r="A11" s="224" t="s">
        <v>223</v>
      </c>
      <c r="B11" s="222" t="s">
        <v>252</v>
      </c>
      <c r="C11" s="234">
        <f>'Önkormányzat - 9. mell.'!C66</f>
        <v>15246654</v>
      </c>
      <c r="D11" s="232">
        <f>'Önkormányzat - 9. mell.'!D66</f>
        <v>15083154</v>
      </c>
      <c r="E11" s="226">
        <f>'Önkormányzat - 9. mell.'!E66</f>
        <v>10504705</v>
      </c>
      <c r="F11" s="269">
        <f t="shared" si="0"/>
        <v>0.69645281086435895</v>
      </c>
      <c r="G11" s="267">
        <f>'Óvoda - 10. mell.'!C67</f>
        <v>0</v>
      </c>
      <c r="H11" s="232">
        <f>'Óvoda - 10. mell.'!D67</f>
        <v>0</v>
      </c>
      <c r="I11" s="226">
        <f>'Óvoda - 10. mell.'!E67</f>
        <v>0</v>
      </c>
      <c r="J11" s="269"/>
      <c r="K11" s="236">
        <f t="shared" si="2"/>
        <v>15246654</v>
      </c>
      <c r="L11" s="239">
        <f t="shared" si="3"/>
        <v>15083154</v>
      </c>
      <c r="M11" s="240">
        <f t="shared" si="4"/>
        <v>10504705</v>
      </c>
      <c r="N11" s="269">
        <f t="shared" si="5"/>
        <v>0.69645281086435895</v>
      </c>
    </row>
    <row r="12" spans="1:14" ht="16.5" x14ac:dyDescent="0.25">
      <c r="A12" s="763" t="s">
        <v>667</v>
      </c>
      <c r="B12" s="764"/>
      <c r="C12" s="270">
        <f t="shared" ref="C12" si="6">SUM(C4:C11)</f>
        <v>175339950</v>
      </c>
      <c r="D12" s="271">
        <f t="shared" ref="D12" si="7">SUM(D4:D11)</f>
        <v>187968908</v>
      </c>
      <c r="E12" s="272">
        <f t="shared" ref="E12" si="8">SUM(E4:E11)</f>
        <v>133316875</v>
      </c>
      <c r="F12" s="276">
        <f t="shared" si="0"/>
        <v>0.7092496116432192</v>
      </c>
      <c r="G12" s="273">
        <f>SUM(G4:G11)</f>
        <v>70336434</v>
      </c>
      <c r="H12" s="271">
        <f t="shared" ref="H12:I12" si="9">SUM(H4:H11)</f>
        <v>70442904</v>
      </c>
      <c r="I12" s="272">
        <f t="shared" si="9"/>
        <v>44539688</v>
      </c>
      <c r="J12" s="276">
        <f t="shared" si="1"/>
        <v>0.63228069075630389</v>
      </c>
      <c r="K12" s="270">
        <f t="shared" si="2"/>
        <v>245676384</v>
      </c>
      <c r="L12" s="271">
        <f t="shared" si="3"/>
        <v>258411812</v>
      </c>
      <c r="M12" s="274">
        <f t="shared" si="4"/>
        <v>177856563</v>
      </c>
      <c r="N12" s="276">
        <f t="shared" si="5"/>
        <v>0.68826793026009203</v>
      </c>
    </row>
    <row r="13" spans="1:14" ht="16.5" x14ac:dyDescent="0.25">
      <c r="A13" s="224" t="s">
        <v>206</v>
      </c>
      <c r="B13" s="222" t="s">
        <v>3</v>
      </c>
      <c r="C13" s="234">
        <f>'Önkormányzat - 9. mell.'!C69</f>
        <v>98787800</v>
      </c>
      <c r="D13" s="232">
        <f>'Önkormányzat - 9. mell.'!D69</f>
        <v>116802877</v>
      </c>
      <c r="E13" s="226">
        <f>'Önkormányzat - 9. mell.'!E69</f>
        <v>43111763</v>
      </c>
      <c r="F13" s="269">
        <f t="shared" si="0"/>
        <v>0.36909846835365195</v>
      </c>
      <c r="G13" s="267">
        <f>'Óvoda - 10. mell.'!C70</f>
        <v>289999</v>
      </c>
      <c r="H13" s="232">
        <f>'Óvoda - 10. mell.'!D70</f>
        <v>289999</v>
      </c>
      <c r="I13" s="226">
        <f>'Óvoda - 10. mell.'!E70</f>
        <v>32639</v>
      </c>
      <c r="J13" s="269">
        <f t="shared" si="1"/>
        <v>0.11254866396091021</v>
      </c>
      <c r="K13" s="236">
        <f t="shared" si="2"/>
        <v>99077799</v>
      </c>
      <c r="L13" s="239">
        <f t="shared" si="3"/>
        <v>117092876</v>
      </c>
      <c r="M13" s="240">
        <f t="shared" si="4"/>
        <v>43144402</v>
      </c>
      <c r="N13" s="269">
        <f t="shared" si="5"/>
        <v>0.36846308224592589</v>
      </c>
    </row>
    <row r="14" spans="1:14" ht="16.5" x14ac:dyDescent="0.25">
      <c r="A14" s="224" t="s">
        <v>209</v>
      </c>
      <c r="B14" s="222" t="s">
        <v>56</v>
      </c>
      <c r="C14" s="234">
        <f>'Önkormányzat - 9. mell.'!C70</f>
        <v>37310978</v>
      </c>
      <c r="D14" s="232">
        <f>'Önkormányzat - 9. mell.'!D70</f>
        <v>47105913</v>
      </c>
      <c r="E14" s="226">
        <f>'Önkormányzat - 9. mell.'!E70</f>
        <v>39775081</v>
      </c>
      <c r="F14" s="269">
        <f t="shared" si="0"/>
        <v>0.84437554580462115</v>
      </c>
      <c r="G14" s="267">
        <f>'Óvoda - 10. mell.'!C71</f>
        <v>0</v>
      </c>
      <c r="H14" s="232">
        <f>'Óvoda - 10. mell.'!D71</f>
        <v>0</v>
      </c>
      <c r="I14" s="226">
        <f>'Óvoda - 10. mell.'!E71</f>
        <v>0</v>
      </c>
      <c r="J14" s="269"/>
      <c r="K14" s="236">
        <f t="shared" si="2"/>
        <v>37310978</v>
      </c>
      <c r="L14" s="239">
        <f t="shared" si="3"/>
        <v>47105913</v>
      </c>
      <c r="M14" s="240">
        <f t="shared" si="4"/>
        <v>39775081</v>
      </c>
      <c r="N14" s="269">
        <f t="shared" si="5"/>
        <v>0.84437554580462115</v>
      </c>
    </row>
    <row r="15" spans="1:14" ht="16.5" x14ac:dyDescent="0.25">
      <c r="A15" s="224" t="s">
        <v>210</v>
      </c>
      <c r="B15" s="222" t="s">
        <v>257</v>
      </c>
      <c r="C15" s="234">
        <f>'Önkormányzat - 9. mell.'!C71</f>
        <v>0</v>
      </c>
      <c r="D15" s="232">
        <f>'Önkormányzat - 9. mell.'!D71</f>
        <v>0</v>
      </c>
      <c r="E15" s="226">
        <f>'Önkormányzat - 9. mell.'!E71</f>
        <v>0</v>
      </c>
      <c r="F15" s="269"/>
      <c r="G15" s="267">
        <f>'Óvoda - 10. mell.'!C72</f>
        <v>0</v>
      </c>
      <c r="H15" s="232">
        <f>'Óvoda - 10. mell.'!D72</f>
        <v>0</v>
      </c>
      <c r="I15" s="226">
        <f>'Óvoda - 10. mell.'!E72</f>
        <v>0</v>
      </c>
      <c r="J15" s="269"/>
      <c r="K15" s="236">
        <f t="shared" si="2"/>
        <v>0</v>
      </c>
      <c r="L15" s="239">
        <f t="shared" si="3"/>
        <v>0</v>
      </c>
      <c r="M15" s="240">
        <f t="shared" si="4"/>
        <v>0</v>
      </c>
      <c r="N15" s="269"/>
    </row>
    <row r="16" spans="1:14" ht="16.5" x14ac:dyDescent="0.25">
      <c r="A16" s="224" t="s">
        <v>211</v>
      </c>
      <c r="B16" s="222" t="s">
        <v>258</v>
      </c>
      <c r="C16" s="234">
        <f>'Önkormányzat - 9. mell.'!C72</f>
        <v>0</v>
      </c>
      <c r="D16" s="232">
        <f>'Önkormányzat - 9. mell.'!D72</f>
        <v>0</v>
      </c>
      <c r="E16" s="226">
        <f>'Önkormányzat - 9. mell.'!E72</f>
        <v>0</v>
      </c>
      <c r="F16" s="269"/>
      <c r="G16" s="267">
        <f>'Óvoda - 10. mell.'!C73</f>
        <v>0</v>
      </c>
      <c r="H16" s="232">
        <f>'Óvoda - 10. mell.'!D73</f>
        <v>0</v>
      </c>
      <c r="I16" s="226">
        <f>'Óvoda - 10. mell.'!E73</f>
        <v>0</v>
      </c>
      <c r="J16" s="269"/>
      <c r="K16" s="236">
        <f t="shared" si="2"/>
        <v>0</v>
      </c>
      <c r="L16" s="239">
        <f t="shared" si="3"/>
        <v>0</v>
      </c>
      <c r="M16" s="240">
        <f t="shared" si="4"/>
        <v>0</v>
      </c>
      <c r="N16" s="269"/>
    </row>
    <row r="17" spans="1:18" ht="16.5" x14ac:dyDescent="0.25">
      <c r="A17" s="224" t="s">
        <v>212</v>
      </c>
      <c r="B17" s="222" t="s">
        <v>259</v>
      </c>
      <c r="C17" s="234">
        <f>'Önkormányzat - 9. mell.'!C73</f>
        <v>0</v>
      </c>
      <c r="D17" s="232">
        <f>'Önkormányzat - 9. mell.'!D73</f>
        <v>0</v>
      </c>
      <c r="E17" s="226">
        <f>'Önkormányzat - 9. mell.'!E73</f>
        <v>0</v>
      </c>
      <c r="F17" s="269"/>
      <c r="G17" s="267">
        <f>'Óvoda - 10. mell.'!C74</f>
        <v>0</v>
      </c>
      <c r="H17" s="232">
        <f>'Óvoda - 10. mell.'!D74</f>
        <v>0</v>
      </c>
      <c r="I17" s="226">
        <f>'Óvoda - 10. mell.'!E74</f>
        <v>0</v>
      </c>
      <c r="J17" s="269"/>
      <c r="K17" s="236">
        <f t="shared" si="2"/>
        <v>0</v>
      </c>
      <c r="L17" s="239">
        <f t="shared" si="3"/>
        <v>0</v>
      </c>
      <c r="M17" s="240">
        <f t="shared" si="4"/>
        <v>0</v>
      </c>
      <c r="N17" s="269"/>
    </row>
    <row r="18" spans="1:18" ht="16.5" x14ac:dyDescent="0.25">
      <c r="A18" s="763" t="s">
        <v>668</v>
      </c>
      <c r="B18" s="764"/>
      <c r="C18" s="270">
        <f>SUM(C13:C17)</f>
        <v>136098778</v>
      </c>
      <c r="D18" s="271">
        <f t="shared" ref="D18:E18" si="10">SUM(D13:D17)</f>
        <v>163908790</v>
      </c>
      <c r="E18" s="272">
        <f t="shared" si="10"/>
        <v>82886844</v>
      </c>
      <c r="F18" s="276">
        <f t="shared" si="0"/>
        <v>0.50568882852469355</v>
      </c>
      <c r="G18" s="273">
        <f>SUM(G13:G17)</f>
        <v>289999</v>
      </c>
      <c r="H18" s="271">
        <f t="shared" ref="H18:I18" si="11">SUM(H13:H17)</f>
        <v>289999</v>
      </c>
      <c r="I18" s="272">
        <f t="shared" si="11"/>
        <v>32639</v>
      </c>
      <c r="J18" s="276">
        <f t="shared" si="1"/>
        <v>0.11254866396091021</v>
      </c>
      <c r="K18" s="270">
        <f t="shared" si="2"/>
        <v>136388777</v>
      </c>
      <c r="L18" s="271">
        <f t="shared" si="3"/>
        <v>164198789</v>
      </c>
      <c r="M18" s="274">
        <f t="shared" si="4"/>
        <v>82919483</v>
      </c>
      <c r="N18" s="276">
        <f t="shared" si="5"/>
        <v>0.5049944856779669</v>
      </c>
    </row>
    <row r="19" spans="1:18" ht="16.5" x14ac:dyDescent="0.25">
      <c r="A19" s="224" t="s">
        <v>578</v>
      </c>
      <c r="B19" s="222" t="s">
        <v>53</v>
      </c>
      <c r="C19" s="234">
        <f>'Önkormányzat - 9. mell.'!C67</f>
        <v>52314000</v>
      </c>
      <c r="D19" s="232">
        <f>'Önkormányzat - 9. mell.'!D67</f>
        <v>40609201</v>
      </c>
      <c r="E19" s="226">
        <f>'Önkormányzat - 9. mell.'!E67</f>
        <v>0</v>
      </c>
      <c r="F19" s="269">
        <f t="shared" si="0"/>
        <v>0</v>
      </c>
      <c r="G19" s="267">
        <f>'Óvoda - 10. mell.'!C68</f>
        <v>0</v>
      </c>
      <c r="H19" s="232">
        <f>'Óvoda - 10. mell.'!D68</f>
        <v>0</v>
      </c>
      <c r="I19" s="226">
        <f>'Óvoda - 10. mell.'!E68</f>
        <v>0</v>
      </c>
      <c r="J19" s="269"/>
      <c r="K19" s="236">
        <f t="shared" si="2"/>
        <v>52314000</v>
      </c>
      <c r="L19" s="239">
        <f t="shared" si="3"/>
        <v>40609201</v>
      </c>
      <c r="M19" s="240">
        <f t="shared" si="4"/>
        <v>0</v>
      </c>
      <c r="N19" s="269">
        <f t="shared" si="5"/>
        <v>0</v>
      </c>
    </row>
    <row r="20" spans="1:18" s="114" customFormat="1" ht="18" x14ac:dyDescent="0.25">
      <c r="A20" s="750" t="s">
        <v>602</v>
      </c>
      <c r="B20" s="751"/>
      <c r="C20" s="280">
        <f>SUM(C19,C18,C12)</f>
        <v>363752728</v>
      </c>
      <c r="D20" s="281">
        <f t="shared" ref="D20:E20" si="12">SUM(D19,D18,D12)</f>
        <v>392486899</v>
      </c>
      <c r="E20" s="282">
        <f t="shared" si="12"/>
        <v>216203719</v>
      </c>
      <c r="F20" s="277">
        <f t="shared" si="0"/>
        <v>0.55085588729421509</v>
      </c>
      <c r="G20" s="283">
        <f>SUM(G19,G18,G12)</f>
        <v>70626433</v>
      </c>
      <c r="H20" s="281">
        <f t="shared" ref="H20:I20" si="13">SUM(H19,H18,H12)</f>
        <v>70732903</v>
      </c>
      <c r="I20" s="282">
        <f t="shared" si="13"/>
        <v>44572327</v>
      </c>
      <c r="J20" s="277">
        <f t="shared" si="1"/>
        <v>0.63014983281542958</v>
      </c>
      <c r="K20" s="280">
        <f t="shared" si="2"/>
        <v>434379161</v>
      </c>
      <c r="L20" s="281">
        <f t="shared" si="3"/>
        <v>463219802</v>
      </c>
      <c r="M20" s="284">
        <f t="shared" si="4"/>
        <v>260776046</v>
      </c>
      <c r="N20" s="277">
        <f t="shared" si="5"/>
        <v>0.56296394254751658</v>
      </c>
      <c r="R20" s="275"/>
    </row>
    <row r="21" spans="1:18" ht="16.5" x14ac:dyDescent="0.25">
      <c r="A21" s="224" t="s">
        <v>500</v>
      </c>
      <c r="B21" s="222" t="s">
        <v>509</v>
      </c>
      <c r="C21" s="234">
        <f>'Önkormányzat - 9. mell.'!C76</f>
        <v>524833</v>
      </c>
      <c r="D21" s="232">
        <f>'Önkormányzat - 9. mell.'!D76</f>
        <v>524833</v>
      </c>
      <c r="E21" s="226">
        <f>'Önkormányzat - 9. mell.'!E76</f>
        <v>524833</v>
      </c>
      <c r="F21" s="269">
        <f t="shared" si="0"/>
        <v>1</v>
      </c>
      <c r="G21" s="267">
        <f>'Óvoda - 10. mell.'!C77</f>
        <v>0</v>
      </c>
      <c r="H21" s="232">
        <f>'Óvoda - 10. mell.'!D77</f>
        <v>0</v>
      </c>
      <c r="I21" s="226">
        <f>'Óvoda - 10. mell.'!E77</f>
        <v>0</v>
      </c>
      <c r="J21" s="269"/>
      <c r="K21" s="236">
        <f t="shared" si="2"/>
        <v>524833</v>
      </c>
      <c r="L21" s="239">
        <f t="shared" si="3"/>
        <v>524833</v>
      </c>
      <c r="M21" s="240">
        <f t="shared" si="4"/>
        <v>524833</v>
      </c>
      <c r="N21" s="269">
        <f t="shared" si="5"/>
        <v>1</v>
      </c>
    </row>
    <row r="22" spans="1:18" ht="16.5" x14ac:dyDescent="0.25">
      <c r="A22" s="225" t="s">
        <v>249</v>
      </c>
      <c r="B22" s="223" t="s">
        <v>68</v>
      </c>
      <c r="C22" s="234">
        <f>'Önkormányzat - 9. mell.'!C77</f>
        <v>69183233</v>
      </c>
      <c r="D22" s="232">
        <f>'Önkormányzat - 9. mell.'!D77</f>
        <v>69212153</v>
      </c>
      <c r="E22" s="226">
        <f>'Önkormányzat - 9. mell.'!E77</f>
        <v>43604709</v>
      </c>
      <c r="F22" s="269">
        <f t="shared" si="0"/>
        <v>0.63001520845623749</v>
      </c>
      <c r="G22" s="267">
        <f>'Óvoda - 10. mell.'!C78</f>
        <v>0</v>
      </c>
      <c r="H22" s="232">
        <f>'Óvoda - 10. mell.'!D78</f>
        <v>0</v>
      </c>
      <c r="I22" s="226">
        <f>'Óvoda - 10. mell.'!E78</f>
        <v>0</v>
      </c>
      <c r="J22" s="269"/>
      <c r="K22" s="236">
        <f t="shared" si="2"/>
        <v>69183233</v>
      </c>
      <c r="L22" s="239">
        <f t="shared" si="3"/>
        <v>69212153</v>
      </c>
      <c r="M22" s="240">
        <f t="shared" si="4"/>
        <v>43604709</v>
      </c>
      <c r="N22" s="269">
        <f t="shared" si="5"/>
        <v>0.63001520845623749</v>
      </c>
    </row>
    <row r="23" spans="1:18" ht="16.5" x14ac:dyDescent="0.25">
      <c r="A23" s="224" t="s">
        <v>498</v>
      </c>
      <c r="B23" s="222" t="s">
        <v>508</v>
      </c>
      <c r="C23" s="234">
        <f>'Önkormányzat - 9. mell.'!C78</f>
        <v>332434</v>
      </c>
      <c r="D23" s="232">
        <f>'Önkormányzat - 9. mell.'!D78</f>
        <v>85163</v>
      </c>
      <c r="E23" s="226">
        <f>'Önkormányzat - 9. mell.'!E78</f>
        <v>85163</v>
      </c>
      <c r="F23" s="269">
        <f t="shared" si="0"/>
        <v>1</v>
      </c>
      <c r="G23" s="267">
        <f>'Óvoda - 10. mell.'!C79</f>
        <v>0</v>
      </c>
      <c r="H23" s="232">
        <f>'Óvoda - 10. mell.'!D79</f>
        <v>0</v>
      </c>
      <c r="I23" s="226">
        <f>'Óvoda - 10. mell.'!E79</f>
        <v>0</v>
      </c>
      <c r="J23" s="269"/>
      <c r="K23" s="236">
        <f t="shared" si="2"/>
        <v>332434</v>
      </c>
      <c r="L23" s="239">
        <f t="shared" si="3"/>
        <v>85163</v>
      </c>
      <c r="M23" s="240">
        <f t="shared" si="4"/>
        <v>85163</v>
      </c>
      <c r="N23" s="269">
        <f t="shared" si="5"/>
        <v>1</v>
      </c>
      <c r="R23" s="38"/>
    </row>
    <row r="24" spans="1:18" s="114" customFormat="1" ht="18" x14ac:dyDescent="0.25">
      <c r="A24" s="750" t="s">
        <v>671</v>
      </c>
      <c r="B24" s="751"/>
      <c r="C24" s="280">
        <f>SUM(C20:C23)</f>
        <v>433793228</v>
      </c>
      <c r="D24" s="281">
        <f t="shared" ref="D24:E24" si="14">SUM(D20:D23)</f>
        <v>462309048</v>
      </c>
      <c r="E24" s="282">
        <f t="shared" si="14"/>
        <v>260418424</v>
      </c>
      <c r="F24" s="277">
        <f t="shared" si="0"/>
        <v>0.5632994316823321</v>
      </c>
      <c r="G24" s="283">
        <f>SUM(G20:G23)</f>
        <v>70626433</v>
      </c>
      <c r="H24" s="281">
        <f t="shared" ref="H24:I24" si="15">SUM(H20:H23)</f>
        <v>70732903</v>
      </c>
      <c r="I24" s="282">
        <f t="shared" si="15"/>
        <v>44572327</v>
      </c>
      <c r="J24" s="277">
        <f t="shared" si="1"/>
        <v>0.63014983281542958</v>
      </c>
      <c r="K24" s="280">
        <f t="shared" si="2"/>
        <v>504419661</v>
      </c>
      <c r="L24" s="281">
        <f t="shared" si="3"/>
        <v>533041951</v>
      </c>
      <c r="M24" s="284">
        <f t="shared" si="4"/>
        <v>304990751</v>
      </c>
      <c r="N24" s="277">
        <f t="shared" si="5"/>
        <v>0.5721702586969557</v>
      </c>
    </row>
    <row r="25" spans="1:18" ht="18" x14ac:dyDescent="0.25">
      <c r="A25" s="41"/>
      <c r="C25" s="114"/>
      <c r="G25" s="114"/>
    </row>
    <row r="26" spans="1:18" ht="18" x14ac:dyDescent="0.25">
      <c r="A26" s="41"/>
      <c r="C26" s="114"/>
      <c r="G26" s="114"/>
    </row>
    <row r="27" spans="1:18" ht="18.75" x14ac:dyDescent="0.3">
      <c r="B27" s="471" t="s">
        <v>113</v>
      </c>
      <c r="C27" s="762">
        <f>SUM('Óvoda - 10. mell.'!C140)</f>
        <v>11</v>
      </c>
      <c r="D27" s="762"/>
      <c r="E27" s="762"/>
      <c r="F27" s="472"/>
      <c r="G27" s="762">
        <f>SUM('Önkormányzat - 9. mell.'!C139)</f>
        <v>9</v>
      </c>
      <c r="H27" s="762"/>
      <c r="I27" s="762"/>
      <c r="J27" s="473"/>
      <c r="K27" s="762">
        <f>SUM(G27,C27)</f>
        <v>20</v>
      </c>
      <c r="L27" s="762"/>
      <c r="M27" s="762"/>
    </row>
  </sheetData>
  <sortState ref="A21:R23">
    <sortCondition ref="A21:A23"/>
  </sortState>
  <mergeCells count="15">
    <mergeCell ref="K27:M27"/>
    <mergeCell ref="G27:I27"/>
    <mergeCell ref="C27:E27"/>
    <mergeCell ref="B1:B3"/>
    <mergeCell ref="A1:A3"/>
    <mergeCell ref="A24:B24"/>
    <mergeCell ref="A20:B20"/>
    <mergeCell ref="A12:B12"/>
    <mergeCell ref="A18:B18"/>
    <mergeCell ref="C1:F1"/>
    <mergeCell ref="F2:F3"/>
    <mergeCell ref="J2:J3"/>
    <mergeCell ref="G1:J1"/>
    <mergeCell ref="K1:N1"/>
    <mergeCell ref="N2:N3"/>
  </mergeCells>
  <phoneticPr fontId="2" type="noConversion"/>
  <printOptions horizontalCentered="1"/>
  <pageMargins left="0.59055118110236227" right="0.59055118110236227" top="1.4566929133858268" bottom="0.74803149606299213" header="0.62992125984251968" footer="0.31496062992125984"/>
  <pageSetup paperSize="9" scale="55" orientation="landscape" r:id="rId1"/>
  <headerFooter>
    <oddHeader>&amp;L&amp;"Arial,Normál"Levél Községi Önkormányzat&amp;C&amp;"Arial,Félkövér"&amp;14Kiadások összesen
2019. 01-09. hó&amp;R&amp;"Arial,Normál"&amp;12 4. sz.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>
    <tabColor rgb="FFC00000"/>
    <pageSetUpPr fitToPage="1"/>
  </sheetPr>
  <dimension ref="A1:F3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6.42578125" bestFit="1" customWidth="1"/>
    <col min="2" max="2" width="62.85546875" customWidth="1"/>
    <col min="3" max="3" width="17.7109375" bestFit="1" customWidth="1"/>
    <col min="4" max="4" width="19.85546875" bestFit="1" customWidth="1"/>
    <col min="5" max="5" width="17.7109375" bestFit="1" customWidth="1"/>
    <col min="6" max="6" width="10.28515625" style="361" bestFit="1" customWidth="1"/>
  </cols>
  <sheetData>
    <row r="1" spans="1:6" ht="19.5" customHeight="1" thickBot="1" x14ac:dyDescent="0.25">
      <c r="A1" s="765" t="s">
        <v>365</v>
      </c>
      <c r="B1" s="765"/>
      <c r="C1" s="291">
        <v>2019</v>
      </c>
      <c r="D1" s="291">
        <v>2019</v>
      </c>
      <c r="E1" s="291">
        <v>2019</v>
      </c>
      <c r="F1" s="766" t="s">
        <v>675</v>
      </c>
    </row>
    <row r="2" spans="1:6" ht="19.5" customHeight="1" thickBot="1" x14ac:dyDescent="0.25">
      <c r="A2" s="765"/>
      <c r="B2" s="765"/>
      <c r="C2" s="292" t="s">
        <v>64</v>
      </c>
      <c r="D2" s="517" t="s">
        <v>684</v>
      </c>
      <c r="E2" s="517" t="s">
        <v>686</v>
      </c>
      <c r="F2" s="766"/>
    </row>
    <row r="3" spans="1:6" ht="20.100000000000001" customHeight="1" x14ac:dyDescent="0.2">
      <c r="A3" s="290" t="s">
        <v>369</v>
      </c>
      <c r="B3" s="177" t="s">
        <v>386</v>
      </c>
      <c r="C3" s="294"/>
      <c r="D3" s="294"/>
      <c r="E3" s="295"/>
      <c r="F3" s="341"/>
    </row>
    <row r="4" spans="1:6" ht="20.100000000000001" customHeight="1" x14ac:dyDescent="0.25">
      <c r="A4" s="285"/>
      <c r="B4" s="44" t="s">
        <v>382</v>
      </c>
      <c r="C4" s="296"/>
      <c r="D4" s="296"/>
      <c r="E4" s="297"/>
      <c r="F4" s="342"/>
    </row>
    <row r="5" spans="1:6" ht="20.100000000000001" customHeight="1" x14ac:dyDescent="0.25">
      <c r="A5" s="286" t="s">
        <v>380</v>
      </c>
      <c r="B5" s="35" t="s">
        <v>15</v>
      </c>
      <c r="C5" s="298"/>
      <c r="D5" s="298"/>
      <c r="E5" s="299"/>
      <c r="F5" s="343"/>
    </row>
    <row r="6" spans="1:6" ht="20.100000000000001" customHeight="1" x14ac:dyDescent="0.25">
      <c r="A6" s="286" t="s">
        <v>381</v>
      </c>
      <c r="B6" s="35" t="s">
        <v>16</v>
      </c>
      <c r="C6" s="298"/>
      <c r="D6" s="298"/>
      <c r="E6" s="299"/>
      <c r="F6" s="343"/>
    </row>
    <row r="7" spans="1:6" ht="20.100000000000001" customHeight="1" x14ac:dyDescent="0.25">
      <c r="A7" s="286" t="s">
        <v>13</v>
      </c>
      <c r="B7" s="35" t="s">
        <v>377</v>
      </c>
      <c r="C7" s="298"/>
      <c r="D7" s="298"/>
      <c r="E7" s="299"/>
      <c r="F7" s="343"/>
    </row>
    <row r="8" spans="1:6" ht="20.100000000000001" customHeight="1" x14ac:dyDescent="0.25">
      <c r="A8" s="286" t="s">
        <v>14</v>
      </c>
      <c r="B8" s="35" t="s">
        <v>17</v>
      </c>
      <c r="C8" s="298"/>
      <c r="D8" s="298"/>
      <c r="E8" s="299"/>
      <c r="F8" s="343"/>
    </row>
    <row r="9" spans="1:6" ht="20.100000000000001" customHeight="1" x14ac:dyDescent="0.2">
      <c r="A9" s="287" t="s">
        <v>385</v>
      </c>
      <c r="B9" s="36" t="s">
        <v>384</v>
      </c>
      <c r="C9" s="300"/>
      <c r="D9" s="300"/>
      <c r="E9" s="301"/>
      <c r="F9" s="344"/>
    </row>
    <row r="10" spans="1:6" ht="20.100000000000001" customHeight="1" x14ac:dyDescent="0.25">
      <c r="A10" s="286"/>
      <c r="B10" s="44" t="s">
        <v>382</v>
      </c>
      <c r="C10" s="296"/>
      <c r="D10" s="296"/>
      <c r="E10" s="297"/>
      <c r="F10" s="342"/>
    </row>
    <row r="11" spans="1:6" ht="20.100000000000001" customHeight="1" x14ac:dyDescent="0.25">
      <c r="A11" s="286" t="s">
        <v>379</v>
      </c>
      <c r="B11" s="35" t="s">
        <v>378</v>
      </c>
      <c r="C11" s="298"/>
      <c r="D11" s="298"/>
      <c r="E11" s="299"/>
      <c r="F11" s="343"/>
    </row>
    <row r="12" spans="1:6" ht="20.100000000000001" customHeight="1" x14ac:dyDescent="0.25">
      <c r="A12" s="286"/>
      <c r="B12" s="35" t="s">
        <v>382</v>
      </c>
      <c r="C12" s="296"/>
      <c r="D12" s="296"/>
      <c r="E12" s="297"/>
      <c r="F12" s="342"/>
    </row>
    <row r="13" spans="1:6" ht="20.100000000000001" customHeight="1" x14ac:dyDescent="0.25">
      <c r="A13" s="322" t="s">
        <v>370</v>
      </c>
      <c r="B13" s="323" t="s">
        <v>605</v>
      </c>
      <c r="C13" s="324">
        <v>0</v>
      </c>
      <c r="D13" s="324">
        <f>C13+138619+69126</f>
        <v>207745</v>
      </c>
      <c r="E13" s="325">
        <v>207745</v>
      </c>
      <c r="F13" s="345">
        <f>E13/D13</f>
        <v>1</v>
      </c>
    </row>
    <row r="14" spans="1:6" ht="20.100000000000001" customHeight="1" x14ac:dyDescent="0.2">
      <c r="A14" s="288"/>
      <c r="B14" s="36" t="s">
        <v>72</v>
      </c>
      <c r="C14" s="302"/>
      <c r="D14" s="302"/>
      <c r="E14" s="303"/>
      <c r="F14" s="346"/>
    </row>
    <row r="15" spans="1:6" ht="20.100000000000001" customHeight="1" x14ac:dyDescent="0.2">
      <c r="A15" s="288" t="s">
        <v>18</v>
      </c>
      <c r="B15" s="36" t="s">
        <v>24</v>
      </c>
      <c r="C15" s="304"/>
      <c r="D15" s="304"/>
      <c r="E15" s="305"/>
      <c r="F15" s="347"/>
    </row>
    <row r="16" spans="1:6" ht="20.100000000000001" customHeight="1" x14ac:dyDescent="0.2">
      <c r="A16" s="288" t="s">
        <v>19</v>
      </c>
      <c r="B16" s="35" t="s">
        <v>22</v>
      </c>
      <c r="C16" s="306"/>
      <c r="D16" s="306"/>
      <c r="E16" s="307"/>
      <c r="F16" s="348"/>
    </row>
    <row r="17" spans="1:6" ht="20.100000000000001" customHeight="1" x14ac:dyDescent="0.2">
      <c r="A17" s="288" t="s">
        <v>28</v>
      </c>
      <c r="B17" s="36" t="s">
        <v>26</v>
      </c>
      <c r="C17" s="308"/>
      <c r="D17" s="308"/>
      <c r="E17" s="309"/>
      <c r="F17" s="349"/>
    </row>
    <row r="18" spans="1:6" ht="20.100000000000001" customHeight="1" x14ac:dyDescent="0.2">
      <c r="A18" s="288"/>
      <c r="B18" s="36" t="s">
        <v>506</v>
      </c>
      <c r="C18" s="308"/>
      <c r="D18" s="308"/>
      <c r="E18" s="309"/>
      <c r="F18" s="349"/>
    </row>
    <row r="19" spans="1:6" ht="20.100000000000001" customHeight="1" x14ac:dyDescent="0.2">
      <c r="A19" s="288" t="s">
        <v>20</v>
      </c>
      <c r="B19" s="36" t="s">
        <v>25</v>
      </c>
      <c r="C19" s="310"/>
      <c r="D19" s="310"/>
      <c r="E19" s="311"/>
      <c r="F19" s="350"/>
    </row>
    <row r="20" spans="1:6" ht="20.100000000000001" customHeight="1" x14ac:dyDescent="0.2">
      <c r="A20" s="288" t="s">
        <v>21</v>
      </c>
      <c r="B20" s="37" t="s">
        <v>23</v>
      </c>
      <c r="C20" s="308"/>
      <c r="D20" s="308"/>
      <c r="E20" s="309"/>
      <c r="F20" s="349"/>
    </row>
    <row r="21" spans="1:6" ht="20.100000000000001" customHeight="1" x14ac:dyDescent="0.2">
      <c r="A21" s="288" t="s">
        <v>29</v>
      </c>
      <c r="B21" s="36" t="s">
        <v>27</v>
      </c>
      <c r="C21" s="310"/>
      <c r="D21" s="310"/>
      <c r="E21" s="311"/>
      <c r="F21" s="350"/>
    </row>
    <row r="22" spans="1:6" ht="38.25" customHeight="1" x14ac:dyDescent="0.2">
      <c r="A22" s="288"/>
      <c r="B22" s="36" t="s">
        <v>507</v>
      </c>
      <c r="C22" s="312"/>
      <c r="D22" s="312"/>
      <c r="E22" s="313"/>
      <c r="F22" s="351"/>
    </row>
    <row r="23" spans="1:6" ht="20.100000000000001" customHeight="1" x14ac:dyDescent="0.25">
      <c r="A23" s="322" t="s">
        <v>371</v>
      </c>
      <c r="B23" s="323" t="s">
        <v>606</v>
      </c>
      <c r="C23" s="326">
        <v>43679600</v>
      </c>
      <c r="D23" s="326">
        <f>C23</f>
        <v>43679600</v>
      </c>
      <c r="E23" s="327">
        <v>34623695</v>
      </c>
      <c r="F23" s="352">
        <f>E23/D23</f>
        <v>0.79267426899513727</v>
      </c>
    </row>
    <row r="24" spans="1:6" ht="20.100000000000001" customHeight="1" x14ac:dyDescent="0.25">
      <c r="A24" s="289"/>
      <c r="B24" s="43" t="s">
        <v>383</v>
      </c>
      <c r="C24" s="308"/>
      <c r="D24" s="308"/>
      <c r="E24" s="309"/>
      <c r="F24" s="349"/>
    </row>
    <row r="25" spans="1:6" ht="20.100000000000001" customHeight="1" x14ac:dyDescent="0.25">
      <c r="A25" s="289"/>
      <c r="B25" s="42" t="s">
        <v>427</v>
      </c>
      <c r="C25" s="300"/>
      <c r="D25" s="300"/>
      <c r="E25" s="301"/>
      <c r="F25" s="344"/>
    </row>
    <row r="26" spans="1:6" ht="20.100000000000001" customHeight="1" x14ac:dyDescent="0.25">
      <c r="A26" s="339"/>
      <c r="B26" s="340" t="s">
        <v>607</v>
      </c>
      <c r="C26" s="314">
        <v>10447209</v>
      </c>
      <c r="D26" s="314">
        <f>C26</f>
        <v>10447209</v>
      </c>
      <c r="E26" s="315">
        <v>8762025</v>
      </c>
      <c r="F26" s="353">
        <f>E26/D26</f>
        <v>0.83869529172815438</v>
      </c>
    </row>
    <row r="27" spans="1:6" ht="20.100000000000001" customHeight="1" x14ac:dyDescent="0.25">
      <c r="A27" s="289"/>
      <c r="B27" s="6" t="s">
        <v>372</v>
      </c>
      <c r="C27" s="316"/>
      <c r="D27" s="316"/>
      <c r="E27" s="317"/>
      <c r="F27" s="354"/>
    </row>
    <row r="28" spans="1:6" ht="20.100000000000001" customHeight="1" x14ac:dyDescent="0.25">
      <c r="A28" s="289"/>
      <c r="B28" s="45" t="s">
        <v>398</v>
      </c>
      <c r="C28" s="318"/>
      <c r="D28" s="318"/>
      <c r="E28" s="319"/>
      <c r="F28" s="355"/>
    </row>
    <row r="29" spans="1:6" ht="20.100000000000001" customHeight="1" x14ac:dyDescent="0.2">
      <c r="A29" s="328" t="s">
        <v>373</v>
      </c>
      <c r="B29" s="323" t="s">
        <v>374</v>
      </c>
      <c r="C29" s="329">
        <f>SUM(C26:C28)</f>
        <v>10447209</v>
      </c>
      <c r="D29" s="329">
        <f t="shared" ref="D29:E29" si="0">SUM(D26:D28)</f>
        <v>10447209</v>
      </c>
      <c r="E29" s="330">
        <f t="shared" si="0"/>
        <v>8762025</v>
      </c>
      <c r="F29" s="356">
        <f>E29/D29</f>
        <v>0.83869529172815438</v>
      </c>
    </row>
    <row r="30" spans="1:6" ht="20.100000000000001" customHeight="1" x14ac:dyDescent="0.25">
      <c r="A30" s="289"/>
      <c r="B30" s="6" t="s">
        <v>608</v>
      </c>
      <c r="C30" s="320">
        <v>2386120</v>
      </c>
      <c r="D30" s="320">
        <f>C30+193830+96425</f>
        <v>2676375</v>
      </c>
      <c r="E30" s="321">
        <v>2184709</v>
      </c>
      <c r="F30" s="357">
        <f>E30/D30</f>
        <v>0.81629405445798886</v>
      </c>
    </row>
    <row r="31" spans="1:6" ht="20.100000000000001" customHeight="1" x14ac:dyDescent="0.25">
      <c r="A31" s="289"/>
      <c r="B31" s="84" t="s">
        <v>428</v>
      </c>
      <c r="C31" s="320"/>
      <c r="D31" s="320"/>
      <c r="E31" s="321"/>
      <c r="F31" s="357"/>
    </row>
    <row r="32" spans="1:6" ht="20.100000000000001" customHeight="1" x14ac:dyDescent="0.25">
      <c r="A32" s="331" t="s">
        <v>375</v>
      </c>
      <c r="B32" s="332" t="s">
        <v>376</v>
      </c>
      <c r="C32" s="333">
        <f>SUM(C30:C31)</f>
        <v>2386120</v>
      </c>
      <c r="D32" s="333">
        <f t="shared" ref="D32:E32" si="1">SUM(D30:D31)</f>
        <v>2676375</v>
      </c>
      <c r="E32" s="334">
        <f t="shared" si="1"/>
        <v>2184709</v>
      </c>
      <c r="F32" s="358">
        <f t="shared" ref="F32:F35" si="2">E32/D32</f>
        <v>0.81629405445798886</v>
      </c>
    </row>
    <row r="33" spans="1:6" ht="20.100000000000001" customHeight="1" x14ac:dyDescent="0.25">
      <c r="A33" s="331" t="s">
        <v>429</v>
      </c>
      <c r="B33" s="332" t="s">
        <v>610</v>
      </c>
      <c r="C33" s="333"/>
      <c r="D33" s="333">
        <f>C33+457200</f>
        <v>457200</v>
      </c>
      <c r="E33" s="334">
        <v>457200</v>
      </c>
      <c r="F33" s="358">
        <f t="shared" si="2"/>
        <v>1</v>
      </c>
    </row>
    <row r="34" spans="1:6" ht="20.100000000000001" customHeight="1" thickBot="1" x14ac:dyDescent="0.3">
      <c r="A34" s="335" t="s">
        <v>676</v>
      </c>
      <c r="B34" s="336" t="s">
        <v>609</v>
      </c>
      <c r="C34" s="337"/>
      <c r="D34" s="337">
        <f>C34+872667-38000</f>
        <v>834667</v>
      </c>
      <c r="E34" s="338">
        <v>834667</v>
      </c>
      <c r="F34" s="359">
        <f t="shared" si="2"/>
        <v>1</v>
      </c>
    </row>
    <row r="35" spans="1:6" ht="20.100000000000001" customHeight="1" thickBot="1" x14ac:dyDescent="0.3">
      <c r="A35" s="767" t="s">
        <v>74</v>
      </c>
      <c r="B35" s="767"/>
      <c r="C35" s="293">
        <f>SUM(C13,C23,C29,C32,C33)</f>
        <v>56512929</v>
      </c>
      <c r="D35" s="293">
        <f t="shared" ref="D35:E35" si="3">SUM(D13,D23,D29,D32,D33)</f>
        <v>57468129</v>
      </c>
      <c r="E35" s="293">
        <f t="shared" si="3"/>
        <v>46235374</v>
      </c>
      <c r="F35" s="360">
        <f t="shared" si="2"/>
        <v>0.80453939956875919</v>
      </c>
    </row>
  </sheetData>
  <mergeCells count="3">
    <mergeCell ref="A1:B2"/>
    <mergeCell ref="F1:F2"/>
    <mergeCell ref="A35:B35"/>
  </mergeCells>
  <phoneticPr fontId="2" type="noConversion"/>
  <printOptions horizontalCentered="1"/>
  <pageMargins left="0.59055118110236227" right="0.59055118110236227" top="1.5354330708661419" bottom="0.74803149606299213" header="0.59055118110236227" footer="0.31496062992125984"/>
  <pageSetup paperSize="9" scale="68" orientation="portrait" r:id="rId1"/>
  <headerFooter>
    <oddHeader>&amp;L&amp;"Arial,Normál"Levél Község  Önkormányzata&amp;C&amp;"Arial,Félkövér"&amp;12Állami támogatások
2019. 01-09. hó&amp;R&amp;"Arial,Normál"&amp;8 5. sz.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8">
    <tabColor rgb="FFC00000"/>
    <pageSetUpPr fitToPage="1"/>
  </sheetPr>
  <dimension ref="A1:G58"/>
  <sheetViews>
    <sheetView tabSelected="1" workbookViewId="0">
      <pane ySplit="4" topLeftCell="A5" activePane="bottomLeft" state="frozen"/>
      <selection pane="bottomLeft" activeCell="B21" sqref="B21"/>
    </sheetView>
  </sheetViews>
  <sheetFormatPr defaultColWidth="9.140625" defaultRowHeight="12.75" x14ac:dyDescent="0.2"/>
  <cols>
    <col min="1" max="1" width="5.5703125" style="139" bestFit="1" customWidth="1"/>
    <col min="2" max="2" width="79.140625" bestFit="1" customWidth="1"/>
    <col min="3" max="4" width="21.140625" style="118" bestFit="1" customWidth="1"/>
    <col min="5" max="5" width="19.7109375" style="118" bestFit="1" customWidth="1"/>
    <col min="6" max="6" width="10.28515625" customWidth="1"/>
    <col min="7" max="7" width="21.140625" style="117" bestFit="1" customWidth="1"/>
    <col min="8" max="16384" width="9.140625" style="117"/>
  </cols>
  <sheetData>
    <row r="1" spans="1:7" ht="15" customHeight="1" x14ac:dyDescent="0.2">
      <c r="A1" s="768" t="s">
        <v>235</v>
      </c>
      <c r="B1" s="771" t="s">
        <v>214</v>
      </c>
      <c r="C1" s="776">
        <v>2019</v>
      </c>
      <c r="D1" s="776">
        <v>2019</v>
      </c>
      <c r="E1" s="776">
        <v>2019</v>
      </c>
      <c r="F1" s="778" t="s">
        <v>677</v>
      </c>
    </row>
    <row r="2" spans="1:7" x14ac:dyDescent="0.2">
      <c r="A2" s="769"/>
      <c r="B2" s="772"/>
      <c r="C2" s="777"/>
      <c r="D2" s="777"/>
      <c r="E2" s="777"/>
      <c r="F2" s="779"/>
    </row>
    <row r="3" spans="1:7" x14ac:dyDescent="0.2">
      <c r="A3" s="769"/>
      <c r="B3" s="772"/>
      <c r="C3" s="774" t="s">
        <v>529</v>
      </c>
      <c r="D3" s="774" t="s">
        <v>684</v>
      </c>
      <c r="E3" s="774" t="s">
        <v>686</v>
      </c>
      <c r="F3" s="779"/>
    </row>
    <row r="4" spans="1:7" ht="13.5" thickBot="1" x14ac:dyDescent="0.25">
      <c r="A4" s="770"/>
      <c r="B4" s="773"/>
      <c r="C4" s="775"/>
      <c r="D4" s="775"/>
      <c r="E4" s="775"/>
      <c r="F4" s="780"/>
    </row>
    <row r="5" spans="1:7" s="119" customFormat="1" ht="15.75" x14ac:dyDescent="0.25">
      <c r="A5" s="178"/>
      <c r="B5" s="369" t="s">
        <v>523</v>
      </c>
      <c r="C5" s="373">
        <v>220000</v>
      </c>
      <c r="D5" s="176">
        <v>220000</v>
      </c>
      <c r="E5" s="362"/>
      <c r="F5" s="375">
        <f>E5/D5</f>
        <v>0</v>
      </c>
    </row>
    <row r="6" spans="1:7" ht="16.5" x14ac:dyDescent="0.25">
      <c r="A6" s="179" t="s">
        <v>200</v>
      </c>
      <c r="B6" s="370" t="s">
        <v>544</v>
      </c>
      <c r="C6" s="366">
        <f>SUM(C5:C5)</f>
        <v>220000</v>
      </c>
      <c r="D6" s="124">
        <f>SUM(D5:D5)</f>
        <v>220000</v>
      </c>
      <c r="E6" s="363">
        <f>SUM(E5:E5)</f>
        <v>0</v>
      </c>
      <c r="F6" s="377">
        <f t="shared" ref="F6:F52" si="0">E6/D6</f>
        <v>0</v>
      </c>
    </row>
    <row r="7" spans="1:7" ht="15.75" x14ac:dyDescent="0.25">
      <c r="A7" s="178"/>
      <c r="B7" s="369" t="s">
        <v>524</v>
      </c>
      <c r="C7" s="374">
        <v>10000000</v>
      </c>
      <c r="D7" s="176">
        <f>C7</f>
        <v>10000000</v>
      </c>
      <c r="E7" s="362"/>
      <c r="F7" s="376">
        <f t="shared" si="0"/>
        <v>0</v>
      </c>
    </row>
    <row r="8" spans="1:7" ht="15.75" x14ac:dyDescent="0.25">
      <c r="A8" s="178"/>
      <c r="B8" s="369" t="s">
        <v>534</v>
      </c>
      <c r="C8" s="374">
        <v>5200000</v>
      </c>
      <c r="D8" s="176">
        <f>C8+250500</f>
        <v>5450500</v>
      </c>
      <c r="E8" s="362">
        <v>5450500</v>
      </c>
      <c r="F8" s="376">
        <f t="shared" si="0"/>
        <v>1</v>
      </c>
    </row>
    <row r="9" spans="1:7" ht="15.75" x14ac:dyDescent="0.25">
      <c r="A9" s="178"/>
      <c r="B9" s="369" t="s">
        <v>535</v>
      </c>
      <c r="C9" s="374">
        <v>21000000</v>
      </c>
      <c r="D9" s="176">
        <f>C9</f>
        <v>21000000</v>
      </c>
      <c r="E9" s="362">
        <v>21000000</v>
      </c>
      <c r="F9" s="376">
        <f t="shared" si="0"/>
        <v>1</v>
      </c>
    </row>
    <row r="10" spans="1:7" ht="15.75" x14ac:dyDescent="0.25">
      <c r="A10" s="178"/>
      <c r="B10" s="369" t="s">
        <v>536</v>
      </c>
      <c r="C10" s="374">
        <v>1900000</v>
      </c>
      <c r="D10" s="176">
        <f>C10</f>
        <v>1900000</v>
      </c>
      <c r="E10" s="362"/>
      <c r="F10" s="376">
        <f t="shared" si="0"/>
        <v>0</v>
      </c>
    </row>
    <row r="11" spans="1:7" ht="15.75" x14ac:dyDescent="0.25">
      <c r="A11" s="178"/>
      <c r="B11" s="369" t="s">
        <v>537</v>
      </c>
      <c r="C11" s="374">
        <v>30000000</v>
      </c>
      <c r="D11" s="176">
        <f>C11+15947490</f>
        <v>45947490</v>
      </c>
      <c r="E11" s="362"/>
      <c r="F11" s="376">
        <f t="shared" si="0"/>
        <v>0</v>
      </c>
    </row>
    <row r="12" spans="1:7" ht="15.75" x14ac:dyDescent="0.25">
      <c r="A12" s="178"/>
      <c r="B12" s="369" t="s">
        <v>538</v>
      </c>
      <c r="C12" s="374">
        <v>1100000</v>
      </c>
      <c r="D12" s="176">
        <f>C12</f>
        <v>1100000</v>
      </c>
      <c r="E12" s="362">
        <v>1539200</v>
      </c>
      <c r="F12" s="376">
        <f t="shared" si="0"/>
        <v>1.3992727272727272</v>
      </c>
    </row>
    <row r="13" spans="1:7" ht="15.75" x14ac:dyDescent="0.25">
      <c r="A13" s="178"/>
      <c r="B13" s="369" t="s">
        <v>539</v>
      </c>
      <c r="C13" s="374">
        <v>2300000</v>
      </c>
      <c r="D13" s="176">
        <f>C13</f>
        <v>2300000</v>
      </c>
      <c r="E13" s="362"/>
      <c r="F13" s="376">
        <f t="shared" si="0"/>
        <v>0</v>
      </c>
    </row>
    <row r="14" spans="1:7" ht="15.75" x14ac:dyDescent="0.25">
      <c r="A14" s="178"/>
      <c r="B14" s="369" t="s">
        <v>540</v>
      </c>
      <c r="C14" s="374">
        <v>1000000</v>
      </c>
      <c r="D14" s="176">
        <f>C14</f>
        <v>1000000</v>
      </c>
      <c r="E14" s="362"/>
      <c r="F14" s="376">
        <f t="shared" si="0"/>
        <v>0</v>
      </c>
    </row>
    <row r="15" spans="1:7" ht="15.75" x14ac:dyDescent="0.25">
      <c r="A15" s="178"/>
      <c r="B15" s="369" t="s">
        <v>541</v>
      </c>
      <c r="C15" s="374"/>
      <c r="D15" s="176"/>
      <c r="E15" s="362">
        <v>385000</v>
      </c>
      <c r="F15" s="376"/>
      <c r="G15" s="117" t="s">
        <v>740</v>
      </c>
    </row>
    <row r="16" spans="1:7" ht="15.75" x14ac:dyDescent="0.25">
      <c r="A16" s="178"/>
      <c r="B16" s="369" t="s">
        <v>543</v>
      </c>
      <c r="C16" s="374"/>
      <c r="D16" s="176">
        <v>319000</v>
      </c>
      <c r="E16" s="362">
        <v>319000</v>
      </c>
      <c r="F16" s="376">
        <f t="shared" si="0"/>
        <v>1</v>
      </c>
    </row>
    <row r="17" spans="1:7" ht="15.75" x14ac:dyDescent="0.25">
      <c r="A17" s="178"/>
      <c r="B17" s="369" t="s">
        <v>542</v>
      </c>
      <c r="C17" s="374"/>
      <c r="D17" s="176">
        <v>260100</v>
      </c>
      <c r="E17" s="362">
        <v>260100</v>
      </c>
      <c r="F17" s="376">
        <f t="shared" si="0"/>
        <v>1</v>
      </c>
    </row>
    <row r="18" spans="1:7" ht="16.5" x14ac:dyDescent="0.25">
      <c r="A18" s="179" t="s">
        <v>201</v>
      </c>
      <c r="B18" s="370" t="s">
        <v>545</v>
      </c>
      <c r="C18" s="366">
        <f>SUM(C7:C17)</f>
        <v>72500000</v>
      </c>
      <c r="D18" s="124">
        <f>SUM(D7:D17)</f>
        <v>89277090</v>
      </c>
      <c r="E18" s="363">
        <f>SUM(E7:E17)</f>
        <v>28953800</v>
      </c>
      <c r="F18" s="377">
        <f t="shared" si="0"/>
        <v>0.32431388612688877</v>
      </c>
    </row>
    <row r="19" spans="1:7" ht="15.75" x14ac:dyDescent="0.25">
      <c r="A19" s="178"/>
      <c r="B19" s="369" t="s">
        <v>547</v>
      </c>
      <c r="C19" s="374">
        <v>23675</v>
      </c>
      <c r="D19" s="176">
        <f>C19</f>
        <v>23675</v>
      </c>
      <c r="E19" s="362"/>
      <c r="F19" s="376">
        <f t="shared" si="0"/>
        <v>0</v>
      </c>
      <c r="G19" s="117" t="s">
        <v>738</v>
      </c>
    </row>
    <row r="20" spans="1:7" ht="15.75" x14ac:dyDescent="0.25">
      <c r="A20" s="178"/>
      <c r="B20" s="369" t="s">
        <v>548</v>
      </c>
      <c r="C20" s="374"/>
      <c r="D20" s="176"/>
      <c r="E20" s="362">
        <v>23543</v>
      </c>
      <c r="F20" s="376"/>
      <c r="G20" s="117" t="s">
        <v>737</v>
      </c>
    </row>
    <row r="21" spans="1:7" ht="16.5" x14ac:dyDescent="0.25">
      <c r="A21" s="179" t="s">
        <v>202</v>
      </c>
      <c r="B21" s="370" t="s">
        <v>546</v>
      </c>
      <c r="C21" s="366">
        <f>SUM(C19:C20)</f>
        <v>23675</v>
      </c>
      <c r="D21" s="124">
        <f t="shared" ref="D21:E21" si="1">SUM(D19:D20)</f>
        <v>23675</v>
      </c>
      <c r="E21" s="363">
        <f t="shared" si="1"/>
        <v>23543</v>
      </c>
      <c r="F21" s="377">
        <f t="shared" si="0"/>
        <v>0.99442449841605074</v>
      </c>
    </row>
    <row r="22" spans="1:7" ht="15.75" x14ac:dyDescent="0.25">
      <c r="A22" s="178"/>
      <c r="B22" s="369" t="s">
        <v>553</v>
      </c>
      <c r="C22" s="374">
        <v>1265000</v>
      </c>
      <c r="D22" s="176">
        <f>C22</f>
        <v>1265000</v>
      </c>
      <c r="E22" s="362">
        <v>1265000</v>
      </c>
      <c r="F22" s="376">
        <f t="shared" si="0"/>
        <v>1</v>
      </c>
    </row>
    <row r="23" spans="1:7" ht="15.75" x14ac:dyDescent="0.25">
      <c r="A23" s="178"/>
      <c r="B23" s="369" t="s">
        <v>554</v>
      </c>
      <c r="C23" s="374">
        <v>120000</v>
      </c>
      <c r="D23" s="176">
        <f t="shared" ref="D23:D30" si="2">C23</f>
        <v>120000</v>
      </c>
      <c r="E23" s="362"/>
      <c r="F23" s="376">
        <f t="shared" si="0"/>
        <v>0</v>
      </c>
    </row>
    <row r="24" spans="1:7" ht="15.75" x14ac:dyDescent="0.25">
      <c r="A24" s="178"/>
      <c r="B24" s="369" t="s">
        <v>555</v>
      </c>
      <c r="C24" s="374">
        <v>300000</v>
      </c>
      <c r="D24" s="176">
        <f t="shared" si="2"/>
        <v>300000</v>
      </c>
      <c r="E24" s="362"/>
      <c r="F24" s="376">
        <f t="shared" si="0"/>
        <v>0</v>
      </c>
    </row>
    <row r="25" spans="1:7" ht="15.75" x14ac:dyDescent="0.25">
      <c r="A25" s="178"/>
      <c r="B25" s="369" t="s">
        <v>688</v>
      </c>
      <c r="C25" s="374">
        <v>500000</v>
      </c>
      <c r="D25" s="176">
        <f>C25+20370</f>
        <v>520370</v>
      </c>
      <c r="E25" s="362">
        <v>520370</v>
      </c>
      <c r="F25" s="376">
        <f t="shared" si="0"/>
        <v>1</v>
      </c>
    </row>
    <row r="26" spans="1:7" ht="15.75" x14ac:dyDescent="0.25">
      <c r="A26" s="178"/>
      <c r="B26" s="369" t="s">
        <v>689</v>
      </c>
      <c r="C26" s="374">
        <v>1267388</v>
      </c>
      <c r="D26" s="176">
        <f>C26+981271+3763869+60000</f>
        <v>6072528</v>
      </c>
      <c r="E26" s="362">
        <v>6081028</v>
      </c>
      <c r="F26" s="376">
        <f t="shared" si="0"/>
        <v>1.0013997465306048</v>
      </c>
    </row>
    <row r="27" spans="1:7" ht="15.75" x14ac:dyDescent="0.25">
      <c r="A27" s="178"/>
      <c r="B27" s="369" t="s">
        <v>556</v>
      </c>
      <c r="C27" s="374">
        <v>40000</v>
      </c>
      <c r="D27" s="176">
        <f t="shared" si="2"/>
        <v>40000</v>
      </c>
      <c r="E27" s="362"/>
      <c r="F27" s="376">
        <f t="shared" si="0"/>
        <v>0</v>
      </c>
    </row>
    <row r="28" spans="1:7" ht="15.75" x14ac:dyDescent="0.25">
      <c r="A28" s="178"/>
      <c r="B28" s="369" t="s">
        <v>557</v>
      </c>
      <c r="C28" s="374">
        <v>250000</v>
      </c>
      <c r="D28" s="176">
        <f t="shared" si="2"/>
        <v>250000</v>
      </c>
      <c r="E28" s="362">
        <v>250000</v>
      </c>
      <c r="F28" s="376">
        <f t="shared" si="0"/>
        <v>1</v>
      </c>
    </row>
    <row r="29" spans="1:7" ht="15.75" x14ac:dyDescent="0.25">
      <c r="A29" s="178"/>
      <c r="B29" s="369" t="s">
        <v>558</v>
      </c>
      <c r="C29" s="374">
        <v>649606</v>
      </c>
      <c r="D29" s="176">
        <f t="shared" si="2"/>
        <v>649606</v>
      </c>
      <c r="E29" s="362">
        <v>644130</v>
      </c>
      <c r="F29" s="376">
        <f t="shared" si="0"/>
        <v>0.9915702749050963</v>
      </c>
    </row>
    <row r="30" spans="1:7" ht="15.75" x14ac:dyDescent="0.25">
      <c r="A30" s="178"/>
      <c r="B30" s="369" t="s">
        <v>559</v>
      </c>
      <c r="C30" s="374">
        <v>50000</v>
      </c>
      <c r="D30" s="176">
        <f t="shared" si="2"/>
        <v>50000</v>
      </c>
      <c r="E30" s="362"/>
      <c r="F30" s="376">
        <f t="shared" si="0"/>
        <v>0</v>
      </c>
    </row>
    <row r="31" spans="1:7" s="175" customFormat="1" ht="51" x14ac:dyDescent="0.2">
      <c r="A31" s="180"/>
      <c r="B31" s="519" t="s">
        <v>739</v>
      </c>
      <c r="C31" s="374">
        <v>600000</v>
      </c>
      <c r="D31" s="176">
        <f>C31+37449+95410+320000-3334</f>
        <v>1049525</v>
      </c>
      <c r="E31" s="362">
        <v>773206</v>
      </c>
      <c r="F31" s="376">
        <f t="shared" si="0"/>
        <v>0.73671994473690483</v>
      </c>
    </row>
    <row r="32" spans="1:7" ht="16.5" x14ac:dyDescent="0.25">
      <c r="A32" s="179" t="s">
        <v>203</v>
      </c>
      <c r="B32" s="370" t="s">
        <v>549</v>
      </c>
      <c r="C32" s="366">
        <f>SUM(C22:C31)</f>
        <v>5041994</v>
      </c>
      <c r="D32" s="124">
        <f>SUM(D22:D31)</f>
        <v>10317029</v>
      </c>
      <c r="E32" s="363">
        <f>SUM(E22:E31)</f>
        <v>9533734</v>
      </c>
      <c r="F32" s="377">
        <f t="shared" si="0"/>
        <v>0.92407746454914497</v>
      </c>
    </row>
    <row r="33" spans="1:6" ht="16.5" x14ac:dyDescent="0.25">
      <c r="A33" s="179" t="s">
        <v>204</v>
      </c>
      <c r="B33" s="370" t="s">
        <v>550</v>
      </c>
      <c r="C33" s="366">
        <v>0</v>
      </c>
      <c r="D33" s="124">
        <f>C33</f>
        <v>0</v>
      </c>
      <c r="E33" s="363">
        <v>0</v>
      </c>
      <c r="F33" s="377"/>
    </row>
    <row r="34" spans="1:6" ht="16.5" x14ac:dyDescent="0.25">
      <c r="A34" s="179" t="s">
        <v>205</v>
      </c>
      <c r="B34" s="370" t="s">
        <v>551</v>
      </c>
      <c r="C34" s="366">
        <v>21002131</v>
      </c>
      <c r="D34" s="124">
        <f>C34-5145193+1108145</f>
        <v>16965083</v>
      </c>
      <c r="E34" s="363">
        <v>4600686</v>
      </c>
      <c r="F34" s="377">
        <f t="shared" si="0"/>
        <v>0.27118558747988442</v>
      </c>
    </row>
    <row r="35" spans="1:6" ht="18.75" x14ac:dyDescent="0.3">
      <c r="A35" s="181" t="s">
        <v>206</v>
      </c>
      <c r="B35" s="371" t="s">
        <v>552</v>
      </c>
      <c r="C35" s="367">
        <f>C6+C18+C21+C32+C34+C33</f>
        <v>98787800</v>
      </c>
      <c r="D35" s="126">
        <f>D6+D18+D21+D32+D34+D33</f>
        <v>116802877</v>
      </c>
      <c r="E35" s="364">
        <f>E6+E18+E21+E32+E34+E33</f>
        <v>43111763</v>
      </c>
      <c r="F35" s="378">
        <f t="shared" si="0"/>
        <v>0.36909846835365195</v>
      </c>
    </row>
    <row r="36" spans="1:6" ht="15.75" x14ac:dyDescent="0.25">
      <c r="A36" s="178"/>
      <c r="B36" s="369" t="s">
        <v>560</v>
      </c>
      <c r="C36" s="374">
        <v>300000</v>
      </c>
      <c r="D36" s="176">
        <f>C36</f>
        <v>300000</v>
      </c>
      <c r="E36" s="362"/>
      <c r="F36" s="376">
        <f t="shared" si="0"/>
        <v>0</v>
      </c>
    </row>
    <row r="37" spans="1:6" ht="15.75" x14ac:dyDescent="0.25">
      <c r="A37" s="178"/>
      <c r="B37" s="369" t="s">
        <v>566</v>
      </c>
      <c r="C37" s="374">
        <v>7683723</v>
      </c>
      <c r="D37" s="176">
        <f>C37+3373341</f>
        <v>11057064</v>
      </c>
      <c r="E37" s="362">
        <v>11119664</v>
      </c>
      <c r="F37" s="376">
        <f t="shared" si="0"/>
        <v>1.0056615390848782</v>
      </c>
    </row>
    <row r="38" spans="1:6" ht="15.75" x14ac:dyDescent="0.25">
      <c r="A38" s="178"/>
      <c r="B38" s="369" t="s">
        <v>561</v>
      </c>
      <c r="C38" s="374">
        <v>410000</v>
      </c>
      <c r="D38" s="176">
        <f t="shared" ref="D38:D46" si="3">C38</f>
        <v>410000</v>
      </c>
      <c r="E38" s="362">
        <v>410000</v>
      </c>
      <c r="F38" s="376">
        <f t="shared" si="0"/>
        <v>1</v>
      </c>
    </row>
    <row r="39" spans="1:6" ht="15.75" x14ac:dyDescent="0.25">
      <c r="A39" s="178"/>
      <c r="B39" s="369" t="s">
        <v>564</v>
      </c>
      <c r="C39" s="374">
        <v>385000</v>
      </c>
      <c r="D39" s="176">
        <f t="shared" si="3"/>
        <v>385000</v>
      </c>
      <c r="E39" s="362"/>
      <c r="F39" s="376">
        <f t="shared" si="0"/>
        <v>0</v>
      </c>
    </row>
    <row r="40" spans="1:6" ht="15.75" x14ac:dyDescent="0.25">
      <c r="A40" s="178"/>
      <c r="B40" s="369" t="s">
        <v>565</v>
      </c>
      <c r="C40" s="374">
        <v>15000000</v>
      </c>
      <c r="D40" s="176">
        <f>C40+2024650+300000</f>
        <v>17324650</v>
      </c>
      <c r="E40" s="362">
        <v>17324650</v>
      </c>
      <c r="F40" s="376">
        <f t="shared" si="0"/>
        <v>1</v>
      </c>
    </row>
    <row r="41" spans="1:6" ht="15.75" x14ac:dyDescent="0.25">
      <c r="A41" s="178"/>
      <c r="B41" s="369" t="s">
        <v>562</v>
      </c>
      <c r="C41" s="374">
        <v>3000000</v>
      </c>
      <c r="D41" s="176">
        <f t="shared" si="3"/>
        <v>3000000</v>
      </c>
      <c r="E41" s="362"/>
      <c r="F41" s="376">
        <f t="shared" si="0"/>
        <v>0</v>
      </c>
    </row>
    <row r="42" spans="1:6" ht="15.75" x14ac:dyDescent="0.25">
      <c r="A42" s="178"/>
      <c r="B42" s="369" t="s">
        <v>563</v>
      </c>
      <c r="C42" s="374">
        <v>600000</v>
      </c>
      <c r="D42" s="176">
        <f t="shared" si="3"/>
        <v>600000</v>
      </c>
      <c r="E42" s="362">
        <v>463400</v>
      </c>
      <c r="F42" s="376">
        <f t="shared" si="0"/>
        <v>0.77233333333333332</v>
      </c>
    </row>
    <row r="43" spans="1:6" ht="15.75" x14ac:dyDescent="0.25">
      <c r="A43" s="178"/>
      <c r="B43" s="369" t="s">
        <v>690</v>
      </c>
      <c r="C43" s="374">
        <v>0</v>
      </c>
      <c r="D43" s="176">
        <f>C43+125632+1598924</f>
        <v>1724556</v>
      </c>
      <c r="E43" s="362">
        <v>1724556</v>
      </c>
      <c r="F43" s="376">
        <f t="shared" si="0"/>
        <v>1</v>
      </c>
    </row>
    <row r="44" spans="1:6" ht="15.75" x14ac:dyDescent="0.25">
      <c r="A44" s="178"/>
      <c r="B44" s="369" t="s">
        <v>691</v>
      </c>
      <c r="C44" s="374">
        <v>0</v>
      </c>
      <c r="D44" s="176">
        <f>C44+290000</f>
        <v>290000</v>
      </c>
      <c r="E44" s="362">
        <v>290000</v>
      </c>
      <c r="F44" s="376">
        <f t="shared" si="0"/>
        <v>1</v>
      </c>
    </row>
    <row r="45" spans="1:6" ht="16.5" x14ac:dyDescent="0.25">
      <c r="A45" s="179" t="s">
        <v>207</v>
      </c>
      <c r="B45" s="370" t="s">
        <v>569</v>
      </c>
      <c r="C45" s="366">
        <f>SUM(C36:C44)</f>
        <v>27378723</v>
      </c>
      <c r="D45" s="124">
        <f>SUM(D36:D44)</f>
        <v>35091270</v>
      </c>
      <c r="E45" s="363">
        <f>SUM(E36:E44)</f>
        <v>31332270</v>
      </c>
      <c r="F45" s="377">
        <f t="shared" si="0"/>
        <v>0.8928793400751811</v>
      </c>
    </row>
    <row r="46" spans="1:6" ht="15.75" x14ac:dyDescent="0.25">
      <c r="A46" s="178"/>
      <c r="B46" s="369" t="s">
        <v>570</v>
      </c>
      <c r="C46" s="374">
        <v>2000000</v>
      </c>
      <c r="D46" s="176">
        <f t="shared" si="3"/>
        <v>2000000</v>
      </c>
      <c r="E46" s="362"/>
      <c r="F46" s="376">
        <f t="shared" si="0"/>
        <v>0</v>
      </c>
    </row>
    <row r="47" spans="1:6" ht="16.5" x14ac:dyDescent="0.25">
      <c r="A47" s="179" t="s">
        <v>567</v>
      </c>
      <c r="B47" s="370" t="s">
        <v>568</v>
      </c>
      <c r="C47" s="366">
        <f>SUM(C46)</f>
        <v>2000000</v>
      </c>
      <c r="D47" s="124">
        <f>SUM(D46)</f>
        <v>2000000</v>
      </c>
      <c r="E47" s="363">
        <f>SUM(E46)</f>
        <v>0</v>
      </c>
      <c r="F47" s="377">
        <f t="shared" si="0"/>
        <v>0</v>
      </c>
    </row>
    <row r="48" spans="1:6" ht="16.5" x14ac:dyDescent="0.25">
      <c r="A48" s="179" t="s">
        <v>208</v>
      </c>
      <c r="B48" s="370" t="s">
        <v>571</v>
      </c>
      <c r="C48" s="366">
        <v>7932255</v>
      </c>
      <c r="D48" s="124">
        <f>C48+1457458+624930</f>
        <v>10014643</v>
      </c>
      <c r="E48" s="363">
        <v>8442811</v>
      </c>
      <c r="F48" s="377">
        <f t="shared" si="0"/>
        <v>0.84304662682434117</v>
      </c>
    </row>
    <row r="49" spans="1:6" ht="18.75" x14ac:dyDescent="0.3">
      <c r="A49" s="181" t="s">
        <v>209</v>
      </c>
      <c r="B49" s="371" t="s">
        <v>255</v>
      </c>
      <c r="C49" s="367">
        <f>SUM(C48,C47,C45)</f>
        <v>37310978</v>
      </c>
      <c r="D49" s="126">
        <f t="shared" ref="D49:E49" si="4">SUM(D48,D47,D45)</f>
        <v>47105913</v>
      </c>
      <c r="E49" s="364">
        <f t="shared" si="4"/>
        <v>39775081</v>
      </c>
      <c r="F49" s="378">
        <f t="shared" si="0"/>
        <v>0.84437554580462115</v>
      </c>
    </row>
    <row r="50" spans="1:6" ht="16.5" x14ac:dyDescent="0.25">
      <c r="A50" s="179" t="s">
        <v>212</v>
      </c>
      <c r="B50" s="370" t="s">
        <v>683</v>
      </c>
      <c r="C50" s="366"/>
      <c r="D50" s="124"/>
      <c r="E50" s="363"/>
      <c r="F50" s="377"/>
    </row>
    <row r="51" spans="1:6" ht="18.75" x14ac:dyDescent="0.3">
      <c r="A51" s="181" t="s">
        <v>213</v>
      </c>
      <c r="B51" s="371" t="s">
        <v>572</v>
      </c>
      <c r="C51" s="367">
        <f>SUM(C50)</f>
        <v>0</v>
      </c>
      <c r="D51" s="126">
        <f t="shared" ref="D51:E51" si="5">SUM(D50)</f>
        <v>0</v>
      </c>
      <c r="E51" s="364">
        <f t="shared" si="5"/>
        <v>0</v>
      </c>
      <c r="F51" s="378"/>
    </row>
    <row r="52" spans="1:6" ht="19.5" x14ac:dyDescent="0.3">
      <c r="A52" s="182"/>
      <c r="B52" s="372" t="s">
        <v>214</v>
      </c>
      <c r="C52" s="368">
        <f>SUM(C51,C49,C35)</f>
        <v>136098778</v>
      </c>
      <c r="D52" s="168">
        <f t="shared" ref="D52:E52" si="6">SUM(D51,D49,D35)</f>
        <v>163908790</v>
      </c>
      <c r="E52" s="365">
        <f t="shared" si="6"/>
        <v>82886844</v>
      </c>
      <c r="F52" s="379">
        <f t="shared" si="0"/>
        <v>0.50568882852469355</v>
      </c>
    </row>
    <row r="53" spans="1:6" x14ac:dyDescent="0.2">
      <c r="F53" s="32"/>
    </row>
    <row r="54" spans="1:6" x14ac:dyDescent="0.2">
      <c r="F54" s="31"/>
    </row>
    <row r="55" spans="1:6" x14ac:dyDescent="0.2">
      <c r="F55" s="30"/>
    </row>
    <row r="56" spans="1:6" x14ac:dyDescent="0.2">
      <c r="F56" s="30"/>
    </row>
    <row r="57" spans="1:6" x14ac:dyDescent="0.2">
      <c r="F57" s="30"/>
    </row>
    <row r="58" spans="1:6" x14ac:dyDescent="0.2">
      <c r="F58" s="30"/>
    </row>
  </sheetData>
  <mergeCells count="9">
    <mergeCell ref="A1:A4"/>
    <mergeCell ref="B1:B4"/>
    <mergeCell ref="C3:C4"/>
    <mergeCell ref="C1:C2"/>
    <mergeCell ref="F1:F4"/>
    <mergeCell ref="D3:D4"/>
    <mergeCell ref="D1:D2"/>
    <mergeCell ref="E3:E4"/>
    <mergeCell ref="E1:E2"/>
  </mergeCells>
  <phoneticPr fontId="2" type="noConversion"/>
  <printOptions horizontalCentered="1"/>
  <pageMargins left="0.59055118110236227" right="0.59055118110236227" top="1.299212598425197" bottom="0.82677165354330717" header="0.62992125984251968" footer="0.47244094488188981"/>
  <pageSetup paperSize="9" scale="58" orientation="portrait" r:id="rId1"/>
  <headerFooter>
    <oddHeader>&amp;L&amp;"Arial,Normál"Levél Község Önkormányzata&amp;C&amp;"Arial,Félkövér"&amp;12FELHALMOZÁSI KIADÁSOK
2019. 01-09. hó&amp;R&amp;8 6. sz.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9">
    <tabColor rgb="FFC00000"/>
    <pageSetUpPr fitToPage="1"/>
  </sheetPr>
  <dimension ref="A1:G37"/>
  <sheetViews>
    <sheetView workbookViewId="0">
      <pane ySplit="2" topLeftCell="A3" activePane="bottomLeft" state="frozen"/>
      <selection pane="bottomLeft" activeCell="A3" sqref="A3"/>
    </sheetView>
  </sheetViews>
  <sheetFormatPr defaultColWidth="7.28515625" defaultRowHeight="12.75" x14ac:dyDescent="0.2"/>
  <cols>
    <col min="1" max="1" width="6.85546875" bestFit="1" customWidth="1"/>
    <col min="2" max="2" width="62.28515625" bestFit="1" customWidth="1"/>
    <col min="3" max="4" width="20.85546875" bestFit="1" customWidth="1"/>
    <col min="5" max="5" width="19.42578125" bestFit="1" customWidth="1"/>
    <col min="6" max="6" width="9.85546875" style="361" bestFit="1" customWidth="1"/>
    <col min="7" max="7" width="80.42578125" bestFit="1" customWidth="1"/>
  </cols>
  <sheetData>
    <row r="1" spans="1:6" ht="18.75" x14ac:dyDescent="0.3">
      <c r="A1" s="781" t="s">
        <v>235</v>
      </c>
      <c r="B1" s="785" t="s">
        <v>363</v>
      </c>
      <c r="C1" s="380">
        <v>2019</v>
      </c>
      <c r="D1" s="380">
        <v>2019</v>
      </c>
      <c r="E1" s="380">
        <v>2019</v>
      </c>
      <c r="F1" s="783" t="s">
        <v>678</v>
      </c>
    </row>
    <row r="2" spans="1:6" ht="19.5" thickBot="1" x14ac:dyDescent="0.35">
      <c r="A2" s="782"/>
      <c r="B2" s="786"/>
      <c r="C2" s="381" t="s">
        <v>64</v>
      </c>
      <c r="D2" s="381" t="s">
        <v>684</v>
      </c>
      <c r="E2" s="381" t="s">
        <v>686</v>
      </c>
      <c r="F2" s="784"/>
    </row>
    <row r="3" spans="1:6" ht="15.75" x14ac:dyDescent="0.25">
      <c r="A3" s="129" t="s">
        <v>669</v>
      </c>
      <c r="B3" s="130" t="s">
        <v>528</v>
      </c>
      <c r="C3" s="143">
        <v>1186233</v>
      </c>
      <c r="D3" s="143">
        <f>C3</f>
        <v>1186233</v>
      </c>
      <c r="E3" s="382">
        <v>1186233</v>
      </c>
      <c r="F3" s="386">
        <f t="shared" ref="F3:F37" si="0">E3/D3</f>
        <v>1</v>
      </c>
    </row>
    <row r="4" spans="1:6" ht="15.75" x14ac:dyDescent="0.25">
      <c r="A4" s="129" t="s">
        <v>670</v>
      </c>
      <c r="B4" s="130" t="s">
        <v>679</v>
      </c>
      <c r="C4" s="143">
        <v>16977220</v>
      </c>
      <c r="D4" s="143">
        <f>C4</f>
        <v>16977220</v>
      </c>
      <c r="E4" s="382">
        <v>12902690</v>
      </c>
      <c r="F4" s="387">
        <f t="shared" si="0"/>
        <v>0.76000016492688438</v>
      </c>
    </row>
    <row r="5" spans="1:6" ht="16.5" x14ac:dyDescent="0.25">
      <c r="A5" s="122" t="s">
        <v>216</v>
      </c>
      <c r="B5" s="133" t="s">
        <v>217</v>
      </c>
      <c r="C5" s="134">
        <v>18163453</v>
      </c>
      <c r="D5" s="134">
        <f>C5</f>
        <v>18163453</v>
      </c>
      <c r="E5" s="383">
        <f>SUM(E3:E4)</f>
        <v>14088923</v>
      </c>
      <c r="F5" s="388">
        <f t="shared" si="0"/>
        <v>0.7756742619368685</v>
      </c>
    </row>
    <row r="6" spans="1:6" ht="15.75" x14ac:dyDescent="0.25">
      <c r="A6" s="129"/>
      <c r="B6" s="130" t="s">
        <v>573</v>
      </c>
      <c r="C6" s="143">
        <v>3541712</v>
      </c>
      <c r="D6" s="143">
        <f t="shared" ref="D6:D10" si="1">C6</f>
        <v>3541712</v>
      </c>
      <c r="E6" s="382">
        <v>1447435</v>
      </c>
      <c r="F6" s="387">
        <f t="shared" si="0"/>
        <v>0.40868229827834673</v>
      </c>
    </row>
    <row r="7" spans="1:6" ht="15.75" x14ac:dyDescent="0.25">
      <c r="A7" s="129"/>
      <c r="B7" s="130" t="s">
        <v>574</v>
      </c>
      <c r="C7" s="143">
        <v>236640</v>
      </c>
      <c r="D7" s="143">
        <f t="shared" si="1"/>
        <v>236640</v>
      </c>
      <c r="E7" s="382">
        <v>108600</v>
      </c>
      <c r="F7" s="387">
        <f t="shared" si="0"/>
        <v>0.45892494929006084</v>
      </c>
    </row>
    <row r="8" spans="1:6" ht="15.75" x14ac:dyDescent="0.25">
      <c r="A8" s="129"/>
      <c r="B8" s="130" t="s">
        <v>502</v>
      </c>
      <c r="C8" s="143">
        <v>429580</v>
      </c>
      <c r="D8" s="143">
        <f t="shared" si="1"/>
        <v>429580</v>
      </c>
      <c r="E8" s="382">
        <f>430460+266220+29025</f>
        <v>725705</v>
      </c>
      <c r="F8" s="387">
        <f t="shared" si="0"/>
        <v>1.6893360957214023</v>
      </c>
    </row>
    <row r="9" spans="1:6" ht="15.75" x14ac:dyDescent="0.25">
      <c r="A9" s="129"/>
      <c r="B9" s="130" t="s">
        <v>444</v>
      </c>
      <c r="C9" s="143">
        <v>13644816</v>
      </c>
      <c r="D9" s="143">
        <f t="shared" si="1"/>
        <v>13644816</v>
      </c>
      <c r="E9" s="382">
        <v>9425350</v>
      </c>
      <c r="F9" s="387">
        <f t="shared" si="0"/>
        <v>0.690764170070157</v>
      </c>
    </row>
    <row r="10" spans="1:6" ht="15.75" x14ac:dyDescent="0.25">
      <c r="A10" s="129"/>
      <c r="B10" s="130" t="s">
        <v>431</v>
      </c>
      <c r="C10" s="143">
        <v>3300000</v>
      </c>
      <c r="D10" s="143">
        <f t="shared" si="1"/>
        <v>3300000</v>
      </c>
      <c r="E10" s="382"/>
      <c r="F10" s="387">
        <f t="shared" si="0"/>
        <v>0</v>
      </c>
    </row>
    <row r="11" spans="1:6" ht="16.5" x14ac:dyDescent="0.25">
      <c r="A11" s="123" t="s">
        <v>218</v>
      </c>
      <c r="B11" s="132" t="s">
        <v>219</v>
      </c>
      <c r="C11" s="124">
        <f>SUM(C6:C10)</f>
        <v>21152748</v>
      </c>
      <c r="D11" s="124">
        <f>SUM(D6:D10)</f>
        <v>21152748</v>
      </c>
      <c r="E11" s="363">
        <f>SUM(E6:E10)</f>
        <v>11707090</v>
      </c>
      <c r="F11" s="389">
        <f t="shared" si="0"/>
        <v>0.55345480407557446</v>
      </c>
    </row>
    <row r="12" spans="1:6" ht="16.5" x14ac:dyDescent="0.25">
      <c r="A12" s="123" t="s">
        <v>220</v>
      </c>
      <c r="B12" s="127" t="s">
        <v>221</v>
      </c>
      <c r="C12" s="124">
        <v>0</v>
      </c>
      <c r="D12" s="124">
        <v>0</v>
      </c>
      <c r="E12" s="363">
        <v>0</v>
      </c>
      <c r="F12" s="389"/>
    </row>
    <row r="13" spans="1:6" ht="15.75" x14ac:dyDescent="0.25">
      <c r="A13" s="129"/>
      <c r="B13" s="130" t="s">
        <v>432</v>
      </c>
      <c r="C13" s="143">
        <v>7444855</v>
      </c>
      <c r="D13" s="143">
        <f t="shared" ref="D13:D28" si="2">C13</f>
        <v>7444855</v>
      </c>
      <c r="E13" s="382">
        <v>5977107</v>
      </c>
      <c r="F13" s="387">
        <f t="shared" si="0"/>
        <v>0.80285069353264771</v>
      </c>
    </row>
    <row r="14" spans="1:6" ht="15.75" x14ac:dyDescent="0.25">
      <c r="A14" s="129"/>
      <c r="B14" s="130" t="s">
        <v>579</v>
      </c>
      <c r="C14" s="143">
        <v>1461429</v>
      </c>
      <c r="D14" s="143">
        <f t="shared" si="2"/>
        <v>1461429</v>
      </c>
      <c r="E14" s="382"/>
      <c r="F14" s="387">
        <f t="shared" si="0"/>
        <v>0</v>
      </c>
    </row>
    <row r="15" spans="1:6" ht="15.75" x14ac:dyDescent="0.25">
      <c r="A15" s="129"/>
      <c r="B15" s="130" t="s">
        <v>433</v>
      </c>
      <c r="C15" s="143">
        <v>886518</v>
      </c>
      <c r="D15" s="143">
        <f t="shared" si="2"/>
        <v>886518</v>
      </c>
      <c r="E15" s="382">
        <v>886518</v>
      </c>
      <c r="F15" s="387">
        <f t="shared" si="0"/>
        <v>1</v>
      </c>
    </row>
    <row r="16" spans="1:6" ht="15.75" x14ac:dyDescent="0.25">
      <c r="A16" s="129"/>
      <c r="B16" s="130" t="s">
        <v>434</v>
      </c>
      <c r="C16" s="143">
        <v>778182</v>
      </c>
      <c r="D16" s="143">
        <f>C16+77000</f>
        <v>855182</v>
      </c>
      <c r="E16" s="382">
        <v>177000</v>
      </c>
      <c r="F16" s="387">
        <f t="shared" si="0"/>
        <v>0.20697348634559662</v>
      </c>
    </row>
    <row r="17" spans="1:7" ht="15.75" x14ac:dyDescent="0.25">
      <c r="A17" s="129"/>
      <c r="B17" s="130" t="s">
        <v>435</v>
      </c>
      <c r="C17" s="143">
        <v>0</v>
      </c>
      <c r="D17" s="143">
        <f t="shared" si="2"/>
        <v>0</v>
      </c>
      <c r="E17" s="382"/>
      <c r="F17" s="387"/>
    </row>
    <row r="18" spans="1:7" ht="15.75" x14ac:dyDescent="0.25">
      <c r="A18" s="129"/>
      <c r="B18" s="130" t="s">
        <v>436</v>
      </c>
      <c r="C18" s="143">
        <v>746795</v>
      </c>
      <c r="D18" s="143">
        <f>C18+77000</f>
        <v>823795</v>
      </c>
      <c r="E18" s="382">
        <v>677000</v>
      </c>
      <c r="F18" s="387">
        <f t="shared" si="0"/>
        <v>0.82180639600871574</v>
      </c>
    </row>
    <row r="19" spans="1:7" ht="15.75" x14ac:dyDescent="0.25">
      <c r="A19" s="129"/>
      <c r="B19" s="130" t="s">
        <v>437</v>
      </c>
      <c r="C19" s="143">
        <v>0</v>
      </c>
      <c r="D19" s="143">
        <f t="shared" si="2"/>
        <v>0</v>
      </c>
      <c r="E19" s="382"/>
      <c r="F19" s="387"/>
    </row>
    <row r="20" spans="1:7" ht="15.75" x14ac:dyDescent="0.25">
      <c r="A20" s="129"/>
      <c r="B20" s="130" t="s">
        <v>456</v>
      </c>
      <c r="C20" s="143">
        <v>484438</v>
      </c>
      <c r="D20" s="143">
        <f t="shared" si="2"/>
        <v>484438</v>
      </c>
      <c r="E20" s="382"/>
      <c r="F20" s="387">
        <f t="shared" si="0"/>
        <v>0</v>
      </c>
    </row>
    <row r="21" spans="1:7" ht="15.75" x14ac:dyDescent="0.25">
      <c r="A21" s="129"/>
      <c r="B21" s="130" t="s">
        <v>438</v>
      </c>
      <c r="C21" s="143">
        <v>30000</v>
      </c>
      <c r="D21" s="143">
        <f t="shared" si="2"/>
        <v>30000</v>
      </c>
      <c r="E21" s="382">
        <v>30000</v>
      </c>
      <c r="F21" s="387">
        <f t="shared" si="0"/>
        <v>1</v>
      </c>
    </row>
    <row r="22" spans="1:7" ht="15.75" x14ac:dyDescent="0.25">
      <c r="A22" s="129"/>
      <c r="B22" s="130" t="s">
        <v>503</v>
      </c>
      <c r="C22" s="143">
        <v>634437</v>
      </c>
      <c r="D22" s="143">
        <f t="shared" si="2"/>
        <v>634437</v>
      </c>
      <c r="E22" s="382">
        <v>300000</v>
      </c>
      <c r="F22" s="387">
        <f t="shared" si="0"/>
        <v>0.4728601894277919</v>
      </c>
    </row>
    <row r="23" spans="1:7" ht="15.75" x14ac:dyDescent="0.25">
      <c r="A23" s="129"/>
      <c r="B23" s="130" t="s">
        <v>504</v>
      </c>
      <c r="C23" s="143">
        <v>0</v>
      </c>
      <c r="D23" s="143">
        <f t="shared" si="2"/>
        <v>0</v>
      </c>
      <c r="E23" s="382"/>
      <c r="F23" s="387"/>
    </row>
    <row r="24" spans="1:7" ht="15.75" x14ac:dyDescent="0.25">
      <c r="A24" s="129"/>
      <c r="B24" s="130" t="s">
        <v>505</v>
      </c>
      <c r="C24" s="143">
        <v>75000</v>
      </c>
      <c r="D24" s="143">
        <f t="shared" si="2"/>
        <v>75000</v>
      </c>
      <c r="E24" s="382">
        <v>75000</v>
      </c>
      <c r="F24" s="387">
        <f t="shared" si="0"/>
        <v>1</v>
      </c>
    </row>
    <row r="25" spans="1:7" ht="15.75" x14ac:dyDescent="0.25">
      <c r="A25" s="129"/>
      <c r="B25" s="131" t="s">
        <v>580</v>
      </c>
      <c r="C25" s="144">
        <v>2650000</v>
      </c>
      <c r="D25" s="144">
        <f>C25-317500</f>
        <v>2332500</v>
      </c>
      <c r="E25" s="384">
        <v>2150000</v>
      </c>
      <c r="F25" s="387">
        <f t="shared" si="0"/>
        <v>0.92175777063236874</v>
      </c>
    </row>
    <row r="26" spans="1:7" ht="15.75" x14ac:dyDescent="0.25">
      <c r="A26" s="129"/>
      <c r="B26" s="130" t="s">
        <v>575</v>
      </c>
      <c r="C26" s="143">
        <v>10000</v>
      </c>
      <c r="D26" s="143">
        <f t="shared" si="2"/>
        <v>10000</v>
      </c>
      <c r="E26" s="382"/>
      <c r="F26" s="387">
        <f t="shared" si="0"/>
        <v>0</v>
      </c>
    </row>
    <row r="27" spans="1:7" ht="15.75" x14ac:dyDescent="0.25">
      <c r="A27" s="129"/>
      <c r="B27" s="130" t="s">
        <v>576</v>
      </c>
      <c r="C27" s="143">
        <v>25000</v>
      </c>
      <c r="D27" s="143">
        <f t="shared" si="2"/>
        <v>25000</v>
      </c>
      <c r="E27" s="382">
        <v>25000</v>
      </c>
      <c r="F27" s="387">
        <f t="shared" si="0"/>
        <v>1</v>
      </c>
    </row>
    <row r="28" spans="1:7" ht="15.75" x14ac:dyDescent="0.25">
      <c r="A28" s="129"/>
      <c r="B28" s="130" t="s">
        <v>577</v>
      </c>
      <c r="C28" s="143">
        <v>20000</v>
      </c>
      <c r="D28" s="143">
        <f t="shared" si="2"/>
        <v>20000</v>
      </c>
      <c r="E28" s="382">
        <v>207080</v>
      </c>
      <c r="F28" s="387">
        <f t="shared" si="0"/>
        <v>10.353999999999999</v>
      </c>
      <c r="G28" t="s">
        <v>736</v>
      </c>
    </row>
    <row r="29" spans="1:7" ht="16.5" x14ac:dyDescent="0.25">
      <c r="A29" s="123" t="s">
        <v>223</v>
      </c>
      <c r="B29" s="127" t="s">
        <v>222</v>
      </c>
      <c r="C29" s="124">
        <f>SUM(C13:C28)</f>
        <v>15246654</v>
      </c>
      <c r="D29" s="124">
        <f>SUM(D13:D28)</f>
        <v>15083154</v>
      </c>
      <c r="E29" s="363">
        <f>SUM(E13:E28)</f>
        <v>10504705</v>
      </c>
      <c r="F29" s="389">
        <f t="shared" si="0"/>
        <v>0.69645281086435895</v>
      </c>
    </row>
    <row r="30" spans="1:7" ht="15.75" x14ac:dyDescent="0.25">
      <c r="A30" s="129"/>
      <c r="B30" s="130" t="s">
        <v>439</v>
      </c>
      <c r="C30" s="145">
        <f>SUM(C31:C32)</f>
        <v>52314000</v>
      </c>
      <c r="D30" s="145">
        <f>SUM(D31:D32)</f>
        <v>40609201</v>
      </c>
      <c r="E30" s="385">
        <f>SUM(E31:E32)</f>
        <v>0</v>
      </c>
      <c r="F30" s="387">
        <f t="shared" si="0"/>
        <v>0</v>
      </c>
    </row>
    <row r="31" spans="1:7" ht="15.75" x14ac:dyDescent="0.25">
      <c r="A31" s="129"/>
      <c r="B31" s="130" t="s">
        <v>581</v>
      </c>
      <c r="C31" s="143">
        <v>52314000</v>
      </c>
      <c r="D31" s="143">
        <f>C31+177869-11882668</f>
        <v>40609201</v>
      </c>
      <c r="E31" s="382"/>
      <c r="F31" s="387">
        <f t="shared" si="0"/>
        <v>0</v>
      </c>
    </row>
    <row r="32" spans="1:7" ht="15.75" x14ac:dyDescent="0.25">
      <c r="A32" s="129"/>
      <c r="B32" s="130" t="s">
        <v>441</v>
      </c>
      <c r="C32" s="143">
        <v>0</v>
      </c>
      <c r="D32" s="143"/>
      <c r="E32" s="382"/>
      <c r="F32" s="387"/>
    </row>
    <row r="33" spans="1:6" ht="15.75" x14ac:dyDescent="0.25">
      <c r="A33" s="129"/>
      <c r="B33" s="130" t="s">
        <v>442</v>
      </c>
      <c r="C33" s="145">
        <f>SUM(C34:C35)</f>
        <v>0</v>
      </c>
      <c r="D33" s="145">
        <f>SUM(D34:D35)</f>
        <v>0</v>
      </c>
      <c r="E33" s="385">
        <f>SUM(E34:E35)</f>
        <v>0</v>
      </c>
      <c r="F33" s="387"/>
    </row>
    <row r="34" spans="1:6" ht="15.75" x14ac:dyDescent="0.25">
      <c r="A34" s="129"/>
      <c r="B34" s="130" t="s">
        <v>440</v>
      </c>
      <c r="C34" s="143">
        <v>0</v>
      </c>
      <c r="D34" s="143"/>
      <c r="E34" s="382"/>
      <c r="F34" s="387"/>
    </row>
    <row r="35" spans="1:6" ht="15.75" x14ac:dyDescent="0.25">
      <c r="A35" s="129"/>
      <c r="B35" s="130" t="s">
        <v>441</v>
      </c>
      <c r="C35" s="143">
        <v>0</v>
      </c>
      <c r="D35" s="143"/>
      <c r="E35" s="382"/>
      <c r="F35" s="387"/>
    </row>
    <row r="36" spans="1:6" ht="16.5" x14ac:dyDescent="0.25">
      <c r="A36" s="123" t="s">
        <v>578</v>
      </c>
      <c r="B36" s="127" t="s">
        <v>224</v>
      </c>
      <c r="C36" s="124">
        <f>C33+C30</f>
        <v>52314000</v>
      </c>
      <c r="D36" s="124">
        <f>D33+D30</f>
        <v>40609201</v>
      </c>
      <c r="E36" s="363">
        <f>E33+E30</f>
        <v>0</v>
      </c>
      <c r="F36" s="389">
        <f t="shared" si="0"/>
        <v>0</v>
      </c>
    </row>
    <row r="37" spans="1:6" ht="18.75" x14ac:dyDescent="0.3">
      <c r="A37" s="125" t="s">
        <v>225</v>
      </c>
      <c r="B37" s="128" t="s">
        <v>226</v>
      </c>
      <c r="C37" s="126">
        <f>C36+C29+C12+C11+C5</f>
        <v>106876855</v>
      </c>
      <c r="D37" s="126">
        <f>SUM(D36,D29,D12,D11,D5)</f>
        <v>95008556</v>
      </c>
      <c r="E37" s="364">
        <f>SUM(E36,E29,E12,E11,E5)</f>
        <v>36300718</v>
      </c>
      <c r="F37" s="390">
        <f t="shared" si="0"/>
        <v>0.38207840986447578</v>
      </c>
    </row>
  </sheetData>
  <mergeCells count="3">
    <mergeCell ref="A1:A2"/>
    <mergeCell ref="F1:F2"/>
    <mergeCell ref="B1:B2"/>
  </mergeCells>
  <phoneticPr fontId="2" type="noConversion"/>
  <printOptions horizontalCentered="1"/>
  <pageMargins left="0.59055118110236227" right="0.59055118110236227" top="1.6535433070866143" bottom="0.98425196850393704" header="0.86614173228346458" footer="0.51181102362204722"/>
  <pageSetup paperSize="9" scale="65" orientation="portrait" r:id="rId1"/>
  <headerFooter>
    <oddHeader>&amp;L&amp;"Arial,Normál"Levél Község Önkormányzata&amp;C&amp;"Arial,Félkövér"&amp;12Pénzeszköz átadás
2019. 01-09. hó&amp;R&amp;"Arial,Normál"&amp;8 7. sz.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0">
    <tabColor rgb="FFC00000"/>
    <pageSetUpPr fitToPage="1"/>
  </sheetPr>
  <dimension ref="A1:F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6.85546875" style="139" customWidth="1"/>
    <col min="2" max="2" width="57.28515625" bestFit="1" customWidth="1"/>
    <col min="3" max="3" width="18" style="115" bestFit="1" customWidth="1"/>
    <col min="4" max="4" width="19.28515625" style="115" bestFit="1" customWidth="1"/>
    <col min="5" max="5" width="18" style="115" bestFit="1" customWidth="1"/>
    <col min="6" max="6" width="8.85546875" bestFit="1" customWidth="1"/>
  </cols>
  <sheetData>
    <row r="1" spans="1:6" ht="21" customHeight="1" thickBot="1" x14ac:dyDescent="0.35">
      <c r="A1" s="787" t="s">
        <v>235</v>
      </c>
      <c r="B1" s="788" t="s">
        <v>364</v>
      </c>
      <c r="C1" s="399">
        <v>2019</v>
      </c>
      <c r="D1" s="399">
        <v>2019</v>
      </c>
      <c r="E1" s="399">
        <v>2019</v>
      </c>
      <c r="F1" s="789" t="s">
        <v>675</v>
      </c>
    </row>
    <row r="2" spans="1:6" ht="21" customHeight="1" thickBot="1" x14ac:dyDescent="0.25">
      <c r="A2" s="787"/>
      <c r="B2" s="788"/>
      <c r="C2" s="518" t="s">
        <v>64</v>
      </c>
      <c r="D2" s="518" t="s">
        <v>684</v>
      </c>
      <c r="E2" s="518" t="s">
        <v>686</v>
      </c>
      <c r="F2" s="789"/>
    </row>
    <row r="3" spans="1:6" ht="18.75" x14ac:dyDescent="0.3">
      <c r="A3" s="148" t="s">
        <v>232</v>
      </c>
      <c r="B3" s="400" t="s">
        <v>78</v>
      </c>
      <c r="C3" s="411"/>
      <c r="D3" s="183"/>
      <c r="E3" s="391"/>
      <c r="F3" s="419"/>
    </row>
    <row r="4" spans="1:6" ht="18.75" x14ac:dyDescent="0.3">
      <c r="A4" s="136"/>
      <c r="B4" s="401" t="s">
        <v>245</v>
      </c>
      <c r="C4" s="412"/>
      <c r="D4" s="146"/>
      <c r="E4" s="392"/>
      <c r="F4" s="420"/>
    </row>
    <row r="5" spans="1:6" ht="16.5" x14ac:dyDescent="0.25">
      <c r="A5" s="137" t="s">
        <v>227</v>
      </c>
      <c r="B5" s="402" t="s">
        <v>228</v>
      </c>
      <c r="C5" s="413">
        <f t="shared" ref="C5" si="0">SUM(C3:C4)</f>
        <v>0</v>
      </c>
      <c r="D5" s="135"/>
      <c r="E5" s="393"/>
      <c r="F5" s="424"/>
    </row>
    <row r="6" spans="1:6" ht="18.75" x14ac:dyDescent="0.3">
      <c r="A6" s="136" t="s">
        <v>233</v>
      </c>
      <c r="B6" s="401" t="s">
        <v>69</v>
      </c>
      <c r="C6" s="414"/>
      <c r="D6" s="146"/>
      <c r="E6" s="392"/>
      <c r="F6" s="420"/>
    </row>
    <row r="7" spans="1:6" ht="18.75" x14ac:dyDescent="0.3">
      <c r="A7" s="136" t="s">
        <v>234</v>
      </c>
      <c r="B7" s="401" t="s">
        <v>231</v>
      </c>
      <c r="C7" s="412"/>
      <c r="D7" s="146"/>
      <c r="E7" s="392"/>
      <c r="F7" s="420"/>
    </row>
    <row r="8" spans="1:6" ht="16.5" x14ac:dyDescent="0.25">
      <c r="A8" s="137" t="s">
        <v>229</v>
      </c>
      <c r="B8" s="403" t="s">
        <v>230</v>
      </c>
      <c r="C8" s="415">
        <f t="shared" ref="C8" si="1">SUM(C6:C7)</f>
        <v>0</v>
      </c>
      <c r="D8" s="121"/>
      <c r="E8" s="394"/>
      <c r="F8" s="425"/>
    </row>
    <row r="9" spans="1:6" ht="18.75" x14ac:dyDescent="0.3">
      <c r="A9" s="136"/>
      <c r="B9" s="401" t="s">
        <v>114</v>
      </c>
      <c r="C9" s="412"/>
      <c r="D9" s="146"/>
      <c r="E9" s="392"/>
      <c r="F9" s="420"/>
    </row>
    <row r="10" spans="1:6" ht="16.5" x14ac:dyDescent="0.25">
      <c r="A10" s="137" t="s">
        <v>236</v>
      </c>
      <c r="B10" s="403" t="s">
        <v>237</v>
      </c>
      <c r="C10" s="415">
        <f>SUM(C9:C9)</f>
        <v>0</v>
      </c>
      <c r="D10" s="121"/>
      <c r="E10" s="394"/>
      <c r="F10" s="425"/>
    </row>
    <row r="11" spans="1:6" ht="18.75" x14ac:dyDescent="0.3">
      <c r="A11" s="136"/>
      <c r="B11" s="401" t="s">
        <v>73</v>
      </c>
      <c r="C11" s="412"/>
      <c r="D11" s="146"/>
      <c r="E11" s="392"/>
      <c r="F11" s="420"/>
    </row>
    <row r="12" spans="1:6" ht="18.75" x14ac:dyDescent="0.3">
      <c r="A12" s="136"/>
      <c r="B12" s="401" t="s">
        <v>240</v>
      </c>
      <c r="C12" s="412"/>
      <c r="D12" s="146"/>
      <c r="E12" s="392"/>
      <c r="F12" s="420"/>
    </row>
    <row r="13" spans="1:6" ht="18.75" x14ac:dyDescent="0.3">
      <c r="A13" s="136"/>
      <c r="B13" s="401" t="s">
        <v>248</v>
      </c>
      <c r="C13" s="412"/>
      <c r="D13" s="146"/>
      <c r="E13" s="392"/>
      <c r="F13" s="420"/>
    </row>
    <row r="14" spans="1:6" ht="16.5" x14ac:dyDescent="0.25">
      <c r="A14" s="137" t="s">
        <v>238</v>
      </c>
      <c r="B14" s="403" t="s">
        <v>239</v>
      </c>
      <c r="C14" s="415">
        <f t="shared" ref="C14" si="2">SUM(C11:C13)</f>
        <v>0</v>
      </c>
      <c r="D14" s="121"/>
      <c r="E14" s="394"/>
      <c r="F14" s="425"/>
    </row>
    <row r="15" spans="1:6" ht="18.75" x14ac:dyDescent="0.3">
      <c r="A15" s="136"/>
      <c r="B15" s="401" t="s">
        <v>387</v>
      </c>
      <c r="C15" s="412"/>
      <c r="D15" s="146">
        <f>C15</f>
        <v>0</v>
      </c>
      <c r="E15" s="392"/>
      <c r="F15" s="420"/>
    </row>
    <row r="16" spans="1:6" ht="18.75" x14ac:dyDescent="0.3">
      <c r="A16" s="136"/>
      <c r="B16" s="401" t="s">
        <v>390</v>
      </c>
      <c r="C16" s="412"/>
      <c r="D16" s="146">
        <f t="shared" ref="D16:D20" si="3">C16</f>
        <v>0</v>
      </c>
      <c r="E16" s="392"/>
      <c r="F16" s="420"/>
    </row>
    <row r="17" spans="1:6" ht="18.75" x14ac:dyDescent="0.3">
      <c r="A17" s="136"/>
      <c r="B17" s="401" t="s">
        <v>388</v>
      </c>
      <c r="C17" s="412"/>
      <c r="D17" s="146">
        <f t="shared" si="3"/>
        <v>0</v>
      </c>
      <c r="E17" s="392"/>
      <c r="F17" s="420"/>
    </row>
    <row r="18" spans="1:6" ht="18.75" x14ac:dyDescent="0.3">
      <c r="A18" s="136"/>
      <c r="B18" s="401" t="s">
        <v>389</v>
      </c>
      <c r="C18" s="412"/>
      <c r="D18" s="146">
        <f t="shared" si="3"/>
        <v>0</v>
      </c>
      <c r="E18" s="392"/>
      <c r="F18" s="420"/>
    </row>
    <row r="19" spans="1:6" ht="18.75" x14ac:dyDescent="0.3">
      <c r="A19" s="136"/>
      <c r="B19" s="404" t="s">
        <v>584</v>
      </c>
      <c r="C19" s="416">
        <v>360000</v>
      </c>
      <c r="D19" s="502">
        <f t="shared" si="3"/>
        <v>360000</v>
      </c>
      <c r="E19" s="395">
        <v>180000</v>
      </c>
      <c r="F19" s="421">
        <f>E19/D19</f>
        <v>0.5</v>
      </c>
    </row>
    <row r="20" spans="1:6" ht="18.75" x14ac:dyDescent="0.3">
      <c r="A20" s="136"/>
      <c r="B20" s="405" t="s">
        <v>583</v>
      </c>
      <c r="C20" s="412"/>
      <c r="D20" s="146">
        <f t="shared" si="3"/>
        <v>0</v>
      </c>
      <c r="E20" s="392"/>
      <c r="F20" s="420"/>
    </row>
    <row r="21" spans="1:6" ht="16.5" x14ac:dyDescent="0.25">
      <c r="A21" s="137" t="s">
        <v>241</v>
      </c>
      <c r="B21" s="403" t="s">
        <v>242</v>
      </c>
      <c r="C21" s="366">
        <f>SUM(C15:C20)</f>
        <v>360000</v>
      </c>
      <c r="D21" s="124">
        <f t="shared" ref="D21:E21" si="4">SUM(D15:D20)</f>
        <v>360000</v>
      </c>
      <c r="E21" s="363">
        <f t="shared" si="4"/>
        <v>180000</v>
      </c>
      <c r="F21" s="426">
        <f>E21/D21</f>
        <v>0.5</v>
      </c>
    </row>
    <row r="22" spans="1:6" s="141" customFormat="1" ht="18.75" x14ac:dyDescent="0.2">
      <c r="A22" s="142"/>
      <c r="B22" s="406" t="s">
        <v>512</v>
      </c>
      <c r="C22" s="417">
        <v>2451800</v>
      </c>
      <c r="D22" s="147">
        <f>C22</f>
        <v>2451800</v>
      </c>
      <c r="E22" s="396">
        <v>2262000</v>
      </c>
      <c r="F22" s="422">
        <f>E22/D22</f>
        <v>0.92258748674443269</v>
      </c>
    </row>
    <row r="23" spans="1:6" s="141" customFormat="1" ht="18.75" x14ac:dyDescent="0.2">
      <c r="A23" s="140"/>
      <c r="B23" s="407" t="s">
        <v>443</v>
      </c>
      <c r="C23" s="417">
        <v>1000000</v>
      </c>
      <c r="D23" s="147">
        <f t="shared" ref="D23:D25" si="5">C23</f>
        <v>1000000</v>
      </c>
      <c r="E23" s="396"/>
      <c r="F23" s="422">
        <f>E23/D23</f>
        <v>0</v>
      </c>
    </row>
    <row r="24" spans="1:6" s="141" customFormat="1" ht="18.75" x14ac:dyDescent="0.2">
      <c r="A24" s="140"/>
      <c r="B24" s="408" t="s">
        <v>513</v>
      </c>
      <c r="C24" s="417">
        <v>200000</v>
      </c>
      <c r="D24" s="147">
        <f t="shared" si="5"/>
        <v>200000</v>
      </c>
      <c r="E24" s="396">
        <v>226066</v>
      </c>
      <c r="F24" s="422">
        <f>E24/D24</f>
        <v>1.1303300000000001</v>
      </c>
    </row>
    <row r="25" spans="1:6" s="141" customFormat="1" ht="25.5" x14ac:dyDescent="0.2">
      <c r="A25" s="140"/>
      <c r="B25" s="409" t="s">
        <v>582</v>
      </c>
      <c r="C25" s="417">
        <v>685000</v>
      </c>
      <c r="D25" s="147">
        <f t="shared" si="5"/>
        <v>685000</v>
      </c>
      <c r="E25" s="397">
        <v>569410</v>
      </c>
      <c r="F25" s="423">
        <f>E25/D25</f>
        <v>0.83125547445255477</v>
      </c>
    </row>
    <row r="26" spans="1:6" s="141" customFormat="1" ht="18.75" x14ac:dyDescent="0.2">
      <c r="A26" s="140"/>
      <c r="B26" s="409" t="s">
        <v>585</v>
      </c>
      <c r="C26" s="417">
        <v>2304000</v>
      </c>
      <c r="D26" s="147">
        <f>C26-2304000</f>
        <v>0</v>
      </c>
      <c r="E26" s="397"/>
      <c r="F26" s="423"/>
    </row>
    <row r="27" spans="1:6" ht="16.5" x14ac:dyDescent="0.25">
      <c r="A27" s="137" t="s">
        <v>243</v>
      </c>
      <c r="B27" s="403" t="s">
        <v>244</v>
      </c>
      <c r="C27" s="415">
        <f>SUM(C22:C26)</f>
        <v>6640800</v>
      </c>
      <c r="D27" s="121">
        <f t="shared" ref="D27:E27" si="6">SUM(D22:D26)</f>
        <v>4336800</v>
      </c>
      <c r="E27" s="394">
        <f t="shared" si="6"/>
        <v>3057476</v>
      </c>
      <c r="F27" s="425">
        <f>E27/D27</f>
        <v>0.7050073787124147</v>
      </c>
    </row>
    <row r="28" spans="1:6" ht="18.75" x14ac:dyDescent="0.3">
      <c r="A28" s="138" t="s">
        <v>215</v>
      </c>
      <c r="B28" s="410" t="s">
        <v>253</v>
      </c>
      <c r="C28" s="418">
        <f>SUM(C5,C8,C10,C14,C21,C27)</f>
        <v>7000800</v>
      </c>
      <c r="D28" s="120">
        <f>SUM(D5,D8,D10,D14,D21,D27)</f>
        <v>4696800</v>
      </c>
      <c r="E28" s="398">
        <f>SUM(E5,E8,E10,E14,E21,E27)</f>
        <v>3237476</v>
      </c>
      <c r="F28" s="427">
        <f>E28/D28</f>
        <v>0.6892939873956736</v>
      </c>
    </row>
  </sheetData>
  <mergeCells count="3">
    <mergeCell ref="A1:A2"/>
    <mergeCell ref="B1:B2"/>
    <mergeCell ref="F1:F2"/>
  </mergeCells>
  <phoneticPr fontId="2" type="noConversion"/>
  <printOptions horizontalCentered="1"/>
  <pageMargins left="0.59055118110236227" right="0.59055118110236227" top="1.5354330708661419" bottom="0.98425196850393704" header="0.70866141732283472" footer="0.51181102362204722"/>
  <pageSetup paperSize="9" scale="71" orientation="portrait" r:id="rId1"/>
  <headerFooter>
    <oddHeader>&amp;L&amp;"Arial,Normál"Levél Község Önkormányzata&amp;C&amp;"Arial,Félkövér"&amp;12Szociális juttatások
2019. 01-09. hó&amp;R&amp;"Arial,Normál"&amp;8 8. sz.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6">
    <tabColor rgb="FFC00000"/>
    <pageSetUpPr fitToPage="1"/>
  </sheetPr>
  <dimension ref="A1:AU208"/>
  <sheetViews>
    <sheetView zoomScale="90" zoomScaleNormal="90" workbookViewId="0">
      <pane xSplit="2" ySplit="4" topLeftCell="C50" activePane="bottomRight" state="frozen"/>
      <selection pane="topRight" activeCell="C1" sqref="C1"/>
      <selection pane="bottomLeft" activeCell="A5" sqref="A5"/>
      <selection pane="bottomRight" activeCell="C80" sqref="C80"/>
    </sheetView>
  </sheetViews>
  <sheetFormatPr defaultColWidth="9.140625" defaultRowHeight="12.75" x14ac:dyDescent="0.2"/>
  <cols>
    <col min="1" max="1" width="8.140625" style="533" bestFit="1" customWidth="1"/>
    <col min="2" max="2" width="84.28515625" style="533" bestFit="1" customWidth="1"/>
    <col min="3" max="5" width="23.140625" style="533" bestFit="1" customWidth="1"/>
    <col min="6" max="6" width="12" style="545" bestFit="1" customWidth="1"/>
    <col min="7" max="7" width="4.7109375" style="546" customWidth="1"/>
    <col min="8" max="8" width="11.42578125" style="522" hidden="1" customWidth="1"/>
    <col min="9" max="9" width="17.140625" style="542" bestFit="1" customWidth="1"/>
    <col min="10" max="10" width="15.85546875" style="542" bestFit="1" customWidth="1"/>
    <col min="11" max="11" width="16" style="542" bestFit="1" customWidth="1"/>
    <col min="12" max="12" width="13.28515625" style="542" bestFit="1" customWidth="1"/>
    <col min="13" max="13" width="14.42578125" style="542" bestFit="1" customWidth="1"/>
    <col min="14" max="14" width="17.28515625" style="542" bestFit="1" customWidth="1"/>
    <col min="15" max="15" width="13.140625" style="542" hidden="1" customWidth="1"/>
    <col min="16" max="16" width="14.140625" style="542" bestFit="1" customWidth="1"/>
    <col min="17" max="17" width="12.28515625" style="542" bestFit="1" customWidth="1"/>
    <col min="18" max="18" width="13.140625" style="542" bestFit="1" customWidth="1"/>
    <col min="19" max="19" width="14.85546875" style="542" bestFit="1" customWidth="1"/>
    <col min="20" max="20" width="14.7109375" style="542" bestFit="1" customWidth="1"/>
    <col min="21" max="21" width="14.28515625" style="542" bestFit="1" customWidth="1"/>
    <col min="22" max="22" width="12.85546875" style="542" hidden="1" customWidth="1"/>
    <col min="23" max="23" width="11.85546875" style="542" bestFit="1" customWidth="1"/>
    <col min="24" max="24" width="15.85546875" style="542" bestFit="1" customWidth="1"/>
    <col min="25" max="28" width="14.140625" style="542" bestFit="1" customWidth="1"/>
    <col min="29" max="29" width="12.140625" style="542" hidden="1" customWidth="1"/>
    <col min="30" max="30" width="11.7109375" style="542" bestFit="1" customWidth="1"/>
    <col min="31" max="31" width="14.140625" style="542" bestFit="1" customWidth="1"/>
    <col min="32" max="32" width="17.42578125" style="542" hidden="1" customWidth="1"/>
    <col min="33" max="34" width="18.42578125" style="542" bestFit="1" customWidth="1"/>
    <col min="35" max="35" width="11.7109375" style="542" bestFit="1" customWidth="1"/>
    <col min="36" max="36" width="10.28515625" style="542" hidden="1" customWidth="1"/>
    <col min="37" max="37" width="14.5703125" style="542" bestFit="1" customWidth="1"/>
    <col min="38" max="38" width="11" style="542" hidden="1" customWidth="1"/>
    <col min="39" max="39" width="11.7109375" style="542" bestFit="1" customWidth="1"/>
    <col min="40" max="40" width="17.42578125" style="542" bestFit="1" customWidth="1"/>
    <col min="41" max="41" width="15.85546875" style="551" bestFit="1" customWidth="1"/>
    <col min="42" max="43" width="15.85546875" style="542" bestFit="1" customWidth="1"/>
    <col min="44" max="44" width="12.5703125" style="542" bestFit="1" customWidth="1"/>
    <col min="45" max="45" width="17.42578125" style="542" bestFit="1" customWidth="1"/>
    <col min="46" max="46" width="14.140625" style="522" bestFit="1" customWidth="1"/>
    <col min="47" max="47" width="17.42578125" style="522" bestFit="1" customWidth="1"/>
    <col min="48" max="16384" width="9.140625" style="522"/>
  </cols>
  <sheetData>
    <row r="1" spans="1:47" s="563" customFormat="1" ht="32.25" customHeight="1" thickBot="1" x14ac:dyDescent="0.3">
      <c r="A1" s="816" t="s">
        <v>724</v>
      </c>
      <c r="B1" s="819" t="s">
        <v>324</v>
      </c>
      <c r="C1" s="687"/>
      <c r="D1" s="687"/>
      <c r="E1" s="687"/>
      <c r="F1" s="799" t="s">
        <v>725</v>
      </c>
      <c r="G1" s="688"/>
      <c r="I1" s="805" t="s">
        <v>47</v>
      </c>
      <c r="J1" s="805"/>
      <c r="K1" s="805"/>
      <c r="L1" s="805"/>
      <c r="M1" s="805"/>
      <c r="N1" s="805"/>
      <c r="O1" s="805"/>
      <c r="P1" s="805"/>
      <c r="Q1" s="805"/>
      <c r="R1" s="805"/>
      <c r="S1" s="805"/>
      <c r="T1" s="805"/>
      <c r="U1" s="805"/>
      <c r="V1" s="805"/>
      <c r="W1" s="805"/>
      <c r="X1" s="805"/>
      <c r="Y1" s="805"/>
      <c r="Z1" s="805"/>
      <c r="AA1" s="805"/>
      <c r="AB1" s="805"/>
      <c r="AC1" s="805"/>
      <c r="AD1" s="805"/>
      <c r="AE1" s="805"/>
      <c r="AF1" s="805"/>
      <c r="AG1" s="805"/>
      <c r="AH1" s="805"/>
      <c r="AI1" s="805"/>
      <c r="AJ1" s="805"/>
      <c r="AK1" s="805"/>
      <c r="AL1" s="805"/>
      <c r="AM1" s="805"/>
      <c r="AN1" s="805"/>
      <c r="AO1" s="805"/>
      <c r="AP1" s="805"/>
      <c r="AQ1" s="805"/>
      <c r="AR1" s="805"/>
      <c r="AS1" s="805"/>
      <c r="AT1" s="805"/>
      <c r="AU1" s="805"/>
    </row>
    <row r="2" spans="1:47" s="563" customFormat="1" ht="32.25" customHeight="1" x14ac:dyDescent="0.25">
      <c r="A2" s="817"/>
      <c r="B2" s="820"/>
      <c r="C2" s="689">
        <v>2019</v>
      </c>
      <c r="D2" s="689">
        <v>2019</v>
      </c>
      <c r="E2" s="689">
        <v>2019</v>
      </c>
      <c r="F2" s="800"/>
      <c r="G2" s="690"/>
      <c r="H2" s="804" t="s">
        <v>693</v>
      </c>
      <c r="I2" s="790" t="s">
        <v>726</v>
      </c>
      <c r="J2" s="790" t="s">
        <v>694</v>
      </c>
      <c r="K2" s="790" t="s">
        <v>695</v>
      </c>
      <c r="L2" s="790" t="s">
        <v>727</v>
      </c>
      <c r="M2" s="790" t="s">
        <v>728</v>
      </c>
      <c r="N2" s="790" t="s">
        <v>729</v>
      </c>
      <c r="O2" s="790" t="s">
        <v>696</v>
      </c>
      <c r="P2" s="790" t="s">
        <v>697</v>
      </c>
      <c r="Q2" s="790" t="s">
        <v>698</v>
      </c>
      <c r="R2" s="790" t="s">
        <v>730</v>
      </c>
      <c r="S2" s="790" t="s">
        <v>699</v>
      </c>
      <c r="T2" s="790" t="s">
        <v>731</v>
      </c>
      <c r="U2" s="790" t="s">
        <v>705</v>
      </c>
      <c r="V2" s="790" t="s">
        <v>706</v>
      </c>
      <c r="W2" s="790" t="s">
        <v>707</v>
      </c>
      <c r="X2" s="790" t="s">
        <v>732</v>
      </c>
      <c r="Y2" s="790" t="s">
        <v>733</v>
      </c>
      <c r="Z2" s="790" t="s">
        <v>708</v>
      </c>
      <c r="AA2" s="790" t="s">
        <v>709</v>
      </c>
      <c r="AB2" s="790" t="s">
        <v>700</v>
      </c>
      <c r="AC2" s="790" t="s">
        <v>710</v>
      </c>
      <c r="AD2" s="790" t="s">
        <v>711</v>
      </c>
      <c r="AE2" s="790" t="s">
        <v>734</v>
      </c>
      <c r="AF2" s="790" t="s">
        <v>712</v>
      </c>
      <c r="AG2" s="790" t="s">
        <v>713</v>
      </c>
      <c r="AH2" s="790" t="s">
        <v>714</v>
      </c>
      <c r="AI2" s="790" t="s">
        <v>715</v>
      </c>
      <c r="AJ2" s="790" t="s">
        <v>716</v>
      </c>
      <c r="AK2" s="790" t="s">
        <v>735</v>
      </c>
      <c r="AL2" s="790" t="s">
        <v>717</v>
      </c>
      <c r="AM2" s="790" t="s">
        <v>718</v>
      </c>
      <c r="AN2" s="790" t="s">
        <v>719</v>
      </c>
      <c r="AO2" s="806" t="s">
        <v>720</v>
      </c>
      <c r="AP2" s="790" t="s">
        <v>721</v>
      </c>
      <c r="AQ2" s="790" t="s">
        <v>722</v>
      </c>
      <c r="AR2" s="790" t="s">
        <v>701</v>
      </c>
      <c r="AS2" s="790" t="s">
        <v>723</v>
      </c>
      <c r="AT2" s="795" t="s">
        <v>702</v>
      </c>
      <c r="AU2" s="809" t="s">
        <v>672</v>
      </c>
    </row>
    <row r="3" spans="1:47" s="563" customFormat="1" ht="32.25" customHeight="1" x14ac:dyDescent="0.25">
      <c r="A3" s="817"/>
      <c r="B3" s="820"/>
      <c r="C3" s="691" t="s">
        <v>64</v>
      </c>
      <c r="D3" s="802" t="s">
        <v>684</v>
      </c>
      <c r="E3" s="691" t="s">
        <v>686</v>
      </c>
      <c r="F3" s="800"/>
      <c r="G3" s="690"/>
      <c r="H3" s="804"/>
      <c r="I3" s="791"/>
      <c r="J3" s="791"/>
      <c r="K3" s="791"/>
      <c r="L3" s="791"/>
      <c r="M3" s="791"/>
      <c r="N3" s="791"/>
      <c r="O3" s="791"/>
      <c r="P3" s="793"/>
      <c r="Q3" s="793"/>
      <c r="R3" s="793"/>
      <c r="S3" s="793"/>
      <c r="T3" s="793"/>
      <c r="U3" s="793"/>
      <c r="V3" s="793"/>
      <c r="W3" s="793"/>
      <c r="X3" s="793"/>
      <c r="Y3" s="793"/>
      <c r="Z3" s="793"/>
      <c r="AA3" s="793"/>
      <c r="AB3" s="793"/>
      <c r="AC3" s="793"/>
      <c r="AD3" s="793"/>
      <c r="AE3" s="793"/>
      <c r="AF3" s="793"/>
      <c r="AG3" s="793"/>
      <c r="AH3" s="793"/>
      <c r="AI3" s="793"/>
      <c r="AJ3" s="793"/>
      <c r="AK3" s="793"/>
      <c r="AL3" s="793"/>
      <c r="AM3" s="791"/>
      <c r="AN3" s="793"/>
      <c r="AO3" s="807"/>
      <c r="AP3" s="793"/>
      <c r="AQ3" s="793"/>
      <c r="AR3" s="793"/>
      <c r="AS3" s="791"/>
      <c r="AT3" s="796"/>
      <c r="AU3" s="810"/>
    </row>
    <row r="4" spans="1:47" s="563" customFormat="1" ht="32.25" customHeight="1" thickBot="1" x14ac:dyDescent="0.3">
      <c r="A4" s="818"/>
      <c r="B4" s="821"/>
      <c r="C4" s="692"/>
      <c r="D4" s="803"/>
      <c r="E4" s="692"/>
      <c r="F4" s="801"/>
      <c r="G4" s="690"/>
      <c r="H4" s="804"/>
      <c r="I4" s="792"/>
      <c r="J4" s="792"/>
      <c r="K4" s="792"/>
      <c r="L4" s="792"/>
      <c r="M4" s="792"/>
      <c r="N4" s="792"/>
      <c r="O4" s="792"/>
      <c r="P4" s="794"/>
      <c r="Q4" s="794"/>
      <c r="R4" s="794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794"/>
      <c r="AD4" s="794"/>
      <c r="AE4" s="794"/>
      <c r="AF4" s="794"/>
      <c r="AG4" s="794"/>
      <c r="AH4" s="794"/>
      <c r="AI4" s="794"/>
      <c r="AJ4" s="794"/>
      <c r="AK4" s="794"/>
      <c r="AL4" s="794"/>
      <c r="AM4" s="792"/>
      <c r="AN4" s="794"/>
      <c r="AO4" s="808"/>
      <c r="AP4" s="794"/>
      <c r="AQ4" s="794"/>
      <c r="AR4" s="794"/>
      <c r="AS4" s="792"/>
      <c r="AT4" s="797"/>
      <c r="AU4" s="811"/>
    </row>
    <row r="5" spans="1:47" s="563" customFormat="1" ht="16.5" x14ac:dyDescent="0.25">
      <c r="A5" s="552" t="s">
        <v>115</v>
      </c>
      <c r="B5" s="553" t="s">
        <v>589</v>
      </c>
      <c r="C5" s="554">
        <v>24160497</v>
      </c>
      <c r="D5" s="555">
        <f>C5+74500+74500</f>
        <v>24309497</v>
      </c>
      <c r="E5" s="556">
        <f>AU5</f>
        <v>20798108</v>
      </c>
      <c r="F5" s="557">
        <f>E5/D5</f>
        <v>0.85555484755608069</v>
      </c>
      <c r="G5" s="558"/>
      <c r="H5" s="559"/>
      <c r="I5" s="693"/>
      <c r="J5" s="693"/>
      <c r="K5" s="693"/>
      <c r="L5" s="693"/>
      <c r="M5" s="693"/>
      <c r="N5" s="693">
        <v>160714</v>
      </c>
      <c r="O5" s="693"/>
      <c r="P5" s="693">
        <v>4681720</v>
      </c>
      <c r="Q5" s="693"/>
      <c r="R5" s="693"/>
      <c r="S5" s="693"/>
      <c r="T5" s="693"/>
      <c r="U5" s="693"/>
      <c r="V5" s="693"/>
      <c r="W5" s="693"/>
      <c r="X5" s="693">
        <v>4701541</v>
      </c>
      <c r="Y5" s="693"/>
      <c r="Z5" s="693">
        <v>817333</v>
      </c>
      <c r="AA5" s="693"/>
      <c r="AB5" s="693"/>
      <c r="AC5" s="693"/>
      <c r="AD5" s="693">
        <v>435501</v>
      </c>
      <c r="AE5" s="693"/>
      <c r="AF5" s="693"/>
      <c r="AG5" s="693"/>
      <c r="AH5" s="693"/>
      <c r="AI5" s="693"/>
      <c r="AJ5" s="693"/>
      <c r="AK5" s="693"/>
      <c r="AL5" s="693"/>
      <c r="AM5" s="693"/>
      <c r="AN5" s="693"/>
      <c r="AO5" s="601"/>
      <c r="AP5" s="601">
        <v>6450640</v>
      </c>
      <c r="AQ5" s="693">
        <v>1349349</v>
      </c>
      <c r="AR5" s="693"/>
      <c r="AS5" s="694"/>
      <c r="AT5" s="695">
        <v>2201310</v>
      </c>
      <c r="AU5" s="562">
        <f>SUM(H5:AT5)</f>
        <v>20798108</v>
      </c>
    </row>
    <row r="6" spans="1:47" s="563" customFormat="1" ht="16.5" x14ac:dyDescent="0.25">
      <c r="A6" s="536" t="s">
        <v>115</v>
      </c>
      <c r="B6" s="564" t="s">
        <v>590</v>
      </c>
      <c r="C6" s="530">
        <v>0</v>
      </c>
      <c r="D6" s="531">
        <f t="shared" ref="D6:D16" si="0">C6</f>
        <v>0</v>
      </c>
      <c r="E6" s="532">
        <f t="shared" ref="E6:E17" si="1">AU6</f>
        <v>0</v>
      </c>
      <c r="F6" s="565"/>
      <c r="G6" s="558"/>
      <c r="H6" s="566"/>
      <c r="I6" s="560"/>
      <c r="J6" s="560"/>
      <c r="K6" s="560"/>
      <c r="L6" s="560"/>
      <c r="M6" s="560"/>
      <c r="N6" s="560"/>
      <c r="O6" s="560"/>
      <c r="P6" s="560"/>
      <c r="Q6" s="560"/>
      <c r="R6" s="560"/>
      <c r="S6" s="560"/>
      <c r="T6" s="560"/>
      <c r="U6" s="560"/>
      <c r="V6" s="560"/>
      <c r="W6" s="560"/>
      <c r="X6" s="560"/>
      <c r="Y6" s="560"/>
      <c r="Z6" s="560"/>
      <c r="AA6" s="560"/>
      <c r="AB6" s="560"/>
      <c r="AC6" s="560"/>
      <c r="AD6" s="560"/>
      <c r="AE6" s="560"/>
      <c r="AF6" s="560"/>
      <c r="AG6" s="560"/>
      <c r="AH6" s="560"/>
      <c r="AI6" s="560"/>
      <c r="AJ6" s="560"/>
      <c r="AK6" s="560"/>
      <c r="AL6" s="560"/>
      <c r="AM6" s="560"/>
      <c r="AN6" s="560"/>
      <c r="AO6" s="561"/>
      <c r="AP6" s="560"/>
      <c r="AQ6" s="560"/>
      <c r="AR6" s="560"/>
      <c r="AS6" s="560"/>
      <c r="AT6" s="567"/>
      <c r="AU6" s="568">
        <f t="shared" ref="AU6:AU17" si="2">SUM(H6:AT6)</f>
        <v>0</v>
      </c>
    </row>
    <row r="7" spans="1:47" s="563" customFormat="1" ht="16.5" x14ac:dyDescent="0.25">
      <c r="A7" s="536" t="s">
        <v>117</v>
      </c>
      <c r="B7" s="564" t="s">
        <v>118</v>
      </c>
      <c r="C7" s="530">
        <v>0</v>
      </c>
      <c r="D7" s="531">
        <f t="shared" si="0"/>
        <v>0</v>
      </c>
      <c r="E7" s="532">
        <f t="shared" si="1"/>
        <v>0</v>
      </c>
      <c r="F7" s="565"/>
      <c r="G7" s="558"/>
      <c r="H7" s="566"/>
      <c r="I7" s="560"/>
      <c r="J7" s="560"/>
      <c r="K7" s="560"/>
      <c r="L7" s="560"/>
      <c r="M7" s="560"/>
      <c r="N7" s="560"/>
      <c r="O7" s="560"/>
      <c r="P7" s="560"/>
      <c r="Q7" s="560"/>
      <c r="R7" s="560"/>
      <c r="S7" s="560"/>
      <c r="T7" s="560"/>
      <c r="U7" s="560"/>
      <c r="V7" s="560"/>
      <c r="W7" s="560"/>
      <c r="X7" s="560"/>
      <c r="Y7" s="560"/>
      <c r="Z7" s="560"/>
      <c r="AA7" s="560"/>
      <c r="AB7" s="560"/>
      <c r="AC7" s="560"/>
      <c r="AD7" s="560"/>
      <c r="AE7" s="560"/>
      <c r="AF7" s="560"/>
      <c r="AG7" s="560"/>
      <c r="AH7" s="560"/>
      <c r="AI7" s="560"/>
      <c r="AJ7" s="560"/>
      <c r="AK7" s="560"/>
      <c r="AL7" s="560"/>
      <c r="AM7" s="560"/>
      <c r="AN7" s="560"/>
      <c r="AO7" s="561"/>
      <c r="AP7" s="560"/>
      <c r="AQ7" s="560"/>
      <c r="AR7" s="560"/>
      <c r="AS7" s="560"/>
      <c r="AT7" s="567"/>
      <c r="AU7" s="568">
        <f t="shared" si="2"/>
        <v>0</v>
      </c>
    </row>
    <row r="8" spans="1:47" s="563" customFormat="1" ht="16.5" x14ac:dyDescent="0.25">
      <c r="A8" s="536" t="s">
        <v>117</v>
      </c>
      <c r="B8" s="564" t="s">
        <v>591</v>
      </c>
      <c r="C8" s="530">
        <v>0</v>
      </c>
      <c r="D8" s="531">
        <f t="shared" si="0"/>
        <v>0</v>
      </c>
      <c r="E8" s="532">
        <f t="shared" si="1"/>
        <v>0</v>
      </c>
      <c r="F8" s="565"/>
      <c r="G8" s="558"/>
      <c r="H8" s="566"/>
      <c r="I8" s="560"/>
      <c r="J8" s="560"/>
      <c r="K8" s="560"/>
      <c r="L8" s="560"/>
      <c r="M8" s="560"/>
      <c r="N8" s="560"/>
      <c r="O8" s="560"/>
      <c r="P8" s="560"/>
      <c r="Q8" s="560"/>
      <c r="R8" s="560"/>
      <c r="S8" s="560"/>
      <c r="T8" s="560"/>
      <c r="U8" s="560"/>
      <c r="V8" s="560"/>
      <c r="W8" s="560"/>
      <c r="X8" s="560"/>
      <c r="Y8" s="560"/>
      <c r="Z8" s="560"/>
      <c r="AA8" s="560"/>
      <c r="AB8" s="560"/>
      <c r="AC8" s="560"/>
      <c r="AD8" s="560"/>
      <c r="AE8" s="560"/>
      <c r="AF8" s="560"/>
      <c r="AG8" s="560"/>
      <c r="AH8" s="560"/>
      <c r="AI8" s="560"/>
      <c r="AJ8" s="560"/>
      <c r="AK8" s="560"/>
      <c r="AL8" s="560"/>
      <c r="AM8" s="560"/>
      <c r="AN8" s="560"/>
      <c r="AO8" s="561"/>
      <c r="AP8" s="560"/>
      <c r="AQ8" s="560"/>
      <c r="AR8" s="560"/>
      <c r="AS8" s="560"/>
      <c r="AT8" s="567"/>
      <c r="AU8" s="568">
        <f t="shared" si="2"/>
        <v>0</v>
      </c>
    </row>
    <row r="9" spans="1:47" s="563" customFormat="1" ht="16.5" x14ac:dyDescent="0.25">
      <c r="A9" s="536" t="s">
        <v>119</v>
      </c>
      <c r="B9" s="564" t="s">
        <v>120</v>
      </c>
      <c r="C9" s="530">
        <v>1866265</v>
      </c>
      <c r="D9" s="531">
        <f>C9+946788</f>
        <v>2813053</v>
      </c>
      <c r="E9" s="532">
        <f t="shared" si="1"/>
        <v>877333</v>
      </c>
      <c r="F9" s="565">
        <f t="shared" ref="F9:F69" si="3">E9/D9</f>
        <v>0.31187929982122625</v>
      </c>
      <c r="G9" s="558"/>
      <c r="H9" s="566"/>
      <c r="I9" s="560"/>
      <c r="J9" s="560"/>
      <c r="K9" s="560"/>
      <c r="L9" s="560"/>
      <c r="M9" s="560"/>
      <c r="N9" s="560"/>
      <c r="O9" s="560"/>
      <c r="P9" s="560">
        <v>285080</v>
      </c>
      <c r="Q9" s="560"/>
      <c r="R9" s="560"/>
      <c r="S9" s="560"/>
      <c r="T9" s="560"/>
      <c r="U9" s="560"/>
      <c r="V9" s="560"/>
      <c r="W9" s="560"/>
      <c r="X9" s="566">
        <v>146250</v>
      </c>
      <c r="Y9" s="566"/>
      <c r="Z9" s="566">
        <v>37500</v>
      </c>
      <c r="AA9" s="566"/>
      <c r="AB9" s="566"/>
      <c r="AC9" s="566"/>
      <c r="AD9" s="566">
        <v>24400</v>
      </c>
      <c r="AE9" s="566"/>
      <c r="AF9" s="566"/>
      <c r="AG9" s="566"/>
      <c r="AH9" s="566"/>
      <c r="AI9" s="560"/>
      <c r="AJ9" s="560"/>
      <c r="AK9" s="560"/>
      <c r="AL9" s="560"/>
      <c r="AM9" s="560"/>
      <c r="AN9" s="560"/>
      <c r="AO9" s="561"/>
      <c r="AP9" s="560">
        <v>384103</v>
      </c>
      <c r="AQ9" s="560"/>
      <c r="AR9" s="560"/>
      <c r="AS9" s="560"/>
      <c r="AT9" s="567"/>
      <c r="AU9" s="568">
        <f t="shared" si="2"/>
        <v>877333</v>
      </c>
    </row>
    <row r="10" spans="1:47" s="563" customFormat="1" ht="16.5" x14ac:dyDescent="0.25">
      <c r="A10" s="536" t="s">
        <v>121</v>
      </c>
      <c r="B10" s="564" t="s">
        <v>122</v>
      </c>
      <c r="C10" s="530">
        <v>0</v>
      </c>
      <c r="D10" s="531">
        <f t="shared" si="0"/>
        <v>0</v>
      </c>
      <c r="E10" s="532">
        <f t="shared" si="1"/>
        <v>0</v>
      </c>
      <c r="F10" s="565"/>
      <c r="G10" s="558"/>
      <c r="H10" s="566"/>
      <c r="I10" s="560"/>
      <c r="J10" s="560"/>
      <c r="K10" s="560"/>
      <c r="L10" s="560"/>
      <c r="M10" s="560"/>
      <c r="N10" s="560"/>
      <c r="O10" s="560"/>
      <c r="P10" s="560"/>
      <c r="Q10" s="560"/>
      <c r="R10" s="560"/>
      <c r="S10" s="560"/>
      <c r="T10" s="560"/>
      <c r="U10" s="560"/>
      <c r="V10" s="560"/>
      <c r="W10" s="560"/>
      <c r="X10" s="560"/>
      <c r="Y10" s="560"/>
      <c r="Z10" s="560"/>
      <c r="AA10" s="560"/>
      <c r="AB10" s="560"/>
      <c r="AC10" s="560"/>
      <c r="AD10" s="560"/>
      <c r="AE10" s="560"/>
      <c r="AF10" s="560"/>
      <c r="AG10" s="560"/>
      <c r="AH10" s="560"/>
      <c r="AI10" s="560"/>
      <c r="AJ10" s="560"/>
      <c r="AK10" s="560"/>
      <c r="AL10" s="560"/>
      <c r="AM10" s="560"/>
      <c r="AN10" s="560"/>
      <c r="AO10" s="561"/>
      <c r="AP10" s="560"/>
      <c r="AQ10" s="560"/>
      <c r="AR10" s="560"/>
      <c r="AS10" s="560"/>
      <c r="AT10" s="567"/>
      <c r="AU10" s="568">
        <f t="shared" si="2"/>
        <v>0</v>
      </c>
    </row>
    <row r="11" spans="1:47" s="563" customFormat="1" ht="16.5" x14ac:dyDescent="0.25">
      <c r="A11" s="536" t="s">
        <v>123</v>
      </c>
      <c r="B11" s="564" t="s">
        <v>124</v>
      </c>
      <c r="C11" s="530">
        <v>666600</v>
      </c>
      <c r="D11" s="531">
        <f t="shared" si="0"/>
        <v>666600</v>
      </c>
      <c r="E11" s="532">
        <f t="shared" si="1"/>
        <v>0</v>
      </c>
      <c r="F11" s="565">
        <f t="shared" si="3"/>
        <v>0</v>
      </c>
      <c r="G11" s="558"/>
      <c r="H11" s="566"/>
      <c r="I11" s="560"/>
      <c r="J11" s="560"/>
      <c r="K11" s="560"/>
      <c r="L11" s="560"/>
      <c r="M11" s="560"/>
      <c r="N11" s="560"/>
      <c r="O11" s="560"/>
      <c r="P11" s="560"/>
      <c r="Q11" s="560"/>
      <c r="R11" s="560"/>
      <c r="S11" s="560"/>
      <c r="T11" s="560"/>
      <c r="U11" s="560"/>
      <c r="V11" s="560"/>
      <c r="W11" s="560"/>
      <c r="X11" s="560"/>
      <c r="Y11" s="560"/>
      <c r="Z11" s="560"/>
      <c r="AA11" s="560"/>
      <c r="AB11" s="560"/>
      <c r="AC11" s="560"/>
      <c r="AD11" s="560"/>
      <c r="AE11" s="560"/>
      <c r="AF11" s="560"/>
      <c r="AG11" s="560"/>
      <c r="AH11" s="560"/>
      <c r="AI11" s="560"/>
      <c r="AJ11" s="560"/>
      <c r="AK11" s="560"/>
      <c r="AL11" s="560"/>
      <c r="AM11" s="560"/>
      <c r="AN11" s="560"/>
      <c r="AO11" s="561"/>
      <c r="AP11" s="560"/>
      <c r="AQ11" s="560"/>
      <c r="AR11" s="560"/>
      <c r="AS11" s="560"/>
      <c r="AT11" s="567"/>
      <c r="AU11" s="568">
        <f t="shared" si="2"/>
        <v>0</v>
      </c>
    </row>
    <row r="12" spans="1:47" s="563" customFormat="1" ht="16.5" x14ac:dyDescent="0.25">
      <c r="A12" s="536" t="s">
        <v>125</v>
      </c>
      <c r="B12" s="564" t="s">
        <v>126</v>
      </c>
      <c r="C12" s="530">
        <v>1325900</v>
      </c>
      <c r="D12" s="531">
        <f t="shared" si="0"/>
        <v>1325900</v>
      </c>
      <c r="E12" s="532">
        <f t="shared" si="1"/>
        <v>1244014</v>
      </c>
      <c r="F12" s="565">
        <f t="shared" si="3"/>
        <v>0.93824119466023082</v>
      </c>
      <c r="G12" s="558"/>
      <c r="H12" s="566"/>
      <c r="I12" s="560"/>
      <c r="J12" s="560"/>
      <c r="K12" s="560"/>
      <c r="L12" s="560"/>
      <c r="M12" s="560"/>
      <c r="N12" s="560"/>
      <c r="O12" s="560"/>
      <c r="P12" s="560">
        <v>446097</v>
      </c>
      <c r="Q12" s="560"/>
      <c r="R12" s="560"/>
      <c r="S12" s="560"/>
      <c r="T12" s="560"/>
      <c r="U12" s="560"/>
      <c r="V12" s="560"/>
      <c r="W12" s="560"/>
      <c r="X12" s="560">
        <v>223049</v>
      </c>
      <c r="Y12" s="560"/>
      <c r="Z12" s="560">
        <v>61958</v>
      </c>
      <c r="AA12" s="560"/>
      <c r="AB12" s="560"/>
      <c r="AC12" s="560"/>
      <c r="AD12" s="560">
        <v>37175</v>
      </c>
      <c r="AE12" s="560"/>
      <c r="AF12" s="560"/>
      <c r="AG12" s="560"/>
      <c r="AH12" s="560"/>
      <c r="AI12" s="560"/>
      <c r="AJ12" s="560"/>
      <c r="AK12" s="560"/>
      <c r="AL12" s="560"/>
      <c r="AM12" s="560"/>
      <c r="AN12" s="560"/>
      <c r="AO12" s="561"/>
      <c r="AP12" s="560">
        <v>446097</v>
      </c>
      <c r="AQ12" s="560">
        <v>29638</v>
      </c>
      <c r="AR12" s="560"/>
      <c r="AS12" s="560"/>
      <c r="AT12" s="567"/>
      <c r="AU12" s="568">
        <f t="shared" si="2"/>
        <v>1244014</v>
      </c>
    </row>
    <row r="13" spans="1:47" s="563" customFormat="1" ht="16.5" x14ac:dyDescent="0.25">
      <c r="A13" s="536" t="s">
        <v>125</v>
      </c>
      <c r="B13" s="564" t="s">
        <v>449</v>
      </c>
      <c r="C13" s="530">
        <v>0</v>
      </c>
      <c r="D13" s="531">
        <f t="shared" si="0"/>
        <v>0</v>
      </c>
      <c r="E13" s="532">
        <f t="shared" si="1"/>
        <v>0</v>
      </c>
      <c r="F13" s="565"/>
      <c r="G13" s="558"/>
      <c r="H13" s="566"/>
      <c r="I13" s="560"/>
      <c r="J13" s="560"/>
      <c r="K13" s="560"/>
      <c r="L13" s="560"/>
      <c r="M13" s="560"/>
      <c r="N13" s="560"/>
      <c r="O13" s="560"/>
      <c r="P13" s="560"/>
      <c r="Q13" s="560"/>
      <c r="R13" s="560"/>
      <c r="S13" s="560"/>
      <c r="T13" s="560"/>
      <c r="U13" s="560"/>
      <c r="V13" s="560"/>
      <c r="W13" s="560"/>
      <c r="X13" s="560"/>
      <c r="Y13" s="560"/>
      <c r="Z13" s="560"/>
      <c r="AA13" s="560"/>
      <c r="AB13" s="560"/>
      <c r="AC13" s="560"/>
      <c r="AD13" s="560"/>
      <c r="AE13" s="560"/>
      <c r="AF13" s="560"/>
      <c r="AG13" s="560"/>
      <c r="AH13" s="560"/>
      <c r="AI13" s="560"/>
      <c r="AJ13" s="560"/>
      <c r="AK13" s="560"/>
      <c r="AL13" s="560"/>
      <c r="AM13" s="560"/>
      <c r="AN13" s="560"/>
      <c r="AO13" s="561"/>
      <c r="AP13" s="560"/>
      <c r="AQ13" s="560"/>
      <c r="AR13" s="560"/>
      <c r="AS13" s="560"/>
      <c r="AT13" s="567"/>
      <c r="AU13" s="568">
        <f t="shared" si="2"/>
        <v>0</v>
      </c>
    </row>
    <row r="14" spans="1:47" s="563" customFormat="1" ht="16.5" x14ac:dyDescent="0.25">
      <c r="A14" s="536" t="s">
        <v>127</v>
      </c>
      <c r="B14" s="564" t="s">
        <v>128</v>
      </c>
      <c r="C14" s="530">
        <v>75190</v>
      </c>
      <c r="D14" s="531">
        <f t="shared" si="0"/>
        <v>75190</v>
      </c>
      <c r="E14" s="532">
        <f t="shared" si="1"/>
        <v>0</v>
      </c>
      <c r="F14" s="565">
        <f t="shared" si="3"/>
        <v>0</v>
      </c>
      <c r="G14" s="558"/>
      <c r="H14" s="566"/>
      <c r="I14" s="560"/>
      <c r="J14" s="560"/>
      <c r="K14" s="560"/>
      <c r="L14" s="560"/>
      <c r="M14" s="560"/>
      <c r="N14" s="560"/>
      <c r="O14" s="560"/>
      <c r="P14" s="560"/>
      <c r="Q14" s="560"/>
      <c r="R14" s="560"/>
      <c r="S14" s="560"/>
      <c r="T14" s="560"/>
      <c r="U14" s="560"/>
      <c r="V14" s="560"/>
      <c r="W14" s="560"/>
      <c r="X14" s="560"/>
      <c r="Y14" s="560"/>
      <c r="Z14" s="560"/>
      <c r="AA14" s="560"/>
      <c r="AB14" s="560"/>
      <c r="AC14" s="560"/>
      <c r="AD14" s="560"/>
      <c r="AE14" s="560"/>
      <c r="AF14" s="560"/>
      <c r="AG14" s="560"/>
      <c r="AH14" s="560"/>
      <c r="AI14" s="560"/>
      <c r="AJ14" s="560"/>
      <c r="AK14" s="560"/>
      <c r="AL14" s="560"/>
      <c r="AM14" s="560"/>
      <c r="AN14" s="560"/>
      <c r="AO14" s="561"/>
      <c r="AP14" s="560"/>
      <c r="AQ14" s="560"/>
      <c r="AR14" s="560"/>
      <c r="AS14" s="560"/>
      <c r="AT14" s="567"/>
      <c r="AU14" s="568">
        <f t="shared" si="2"/>
        <v>0</v>
      </c>
    </row>
    <row r="15" spans="1:47" s="563" customFormat="1" ht="16.5" x14ac:dyDescent="0.25">
      <c r="A15" s="536" t="s">
        <v>129</v>
      </c>
      <c r="B15" s="564" t="s">
        <v>130</v>
      </c>
      <c r="C15" s="530">
        <v>70000</v>
      </c>
      <c r="D15" s="531">
        <f t="shared" si="0"/>
        <v>70000</v>
      </c>
      <c r="E15" s="532">
        <f t="shared" si="1"/>
        <v>0</v>
      </c>
      <c r="F15" s="565">
        <f t="shared" si="3"/>
        <v>0</v>
      </c>
      <c r="G15" s="558"/>
      <c r="H15" s="566"/>
      <c r="I15" s="560"/>
      <c r="J15" s="560"/>
      <c r="K15" s="560"/>
      <c r="L15" s="560"/>
      <c r="M15" s="560"/>
      <c r="N15" s="560"/>
      <c r="O15" s="560"/>
      <c r="P15" s="560"/>
      <c r="Q15" s="560"/>
      <c r="R15" s="560"/>
      <c r="S15" s="560"/>
      <c r="T15" s="560"/>
      <c r="U15" s="560"/>
      <c r="V15" s="560"/>
      <c r="W15" s="560"/>
      <c r="X15" s="560"/>
      <c r="Y15" s="560"/>
      <c r="Z15" s="560"/>
      <c r="AA15" s="560"/>
      <c r="AB15" s="560"/>
      <c r="AC15" s="560"/>
      <c r="AD15" s="560"/>
      <c r="AE15" s="560"/>
      <c r="AF15" s="560"/>
      <c r="AG15" s="560"/>
      <c r="AH15" s="560"/>
      <c r="AI15" s="560"/>
      <c r="AJ15" s="560"/>
      <c r="AK15" s="560"/>
      <c r="AL15" s="560"/>
      <c r="AM15" s="560"/>
      <c r="AN15" s="560"/>
      <c r="AO15" s="561"/>
      <c r="AP15" s="560"/>
      <c r="AQ15" s="560"/>
      <c r="AR15" s="560"/>
      <c r="AS15" s="560"/>
      <c r="AT15" s="567"/>
      <c r="AU15" s="568">
        <f t="shared" si="2"/>
        <v>0</v>
      </c>
    </row>
    <row r="16" spans="1:47" s="563" customFormat="1" ht="16.5" x14ac:dyDescent="0.25">
      <c r="A16" s="536" t="s">
        <v>131</v>
      </c>
      <c r="B16" s="564" t="s">
        <v>62</v>
      </c>
      <c r="C16" s="530">
        <v>0</v>
      </c>
      <c r="D16" s="531">
        <f t="shared" si="0"/>
        <v>0</v>
      </c>
      <c r="E16" s="532">
        <f t="shared" si="1"/>
        <v>0</v>
      </c>
      <c r="F16" s="565"/>
      <c r="G16" s="558"/>
      <c r="H16" s="566"/>
      <c r="I16" s="560"/>
      <c r="J16" s="560"/>
      <c r="K16" s="560"/>
      <c r="L16" s="560"/>
      <c r="M16" s="560"/>
      <c r="N16" s="560"/>
      <c r="O16" s="560"/>
      <c r="P16" s="560"/>
      <c r="Q16" s="560"/>
      <c r="R16" s="560"/>
      <c r="S16" s="560"/>
      <c r="T16" s="560"/>
      <c r="U16" s="560"/>
      <c r="V16" s="560"/>
      <c r="W16" s="560"/>
      <c r="X16" s="560"/>
      <c r="Y16" s="560"/>
      <c r="Z16" s="560"/>
      <c r="AA16" s="560"/>
      <c r="AB16" s="560"/>
      <c r="AC16" s="560"/>
      <c r="AD16" s="560"/>
      <c r="AE16" s="560"/>
      <c r="AF16" s="560"/>
      <c r="AG16" s="560"/>
      <c r="AH16" s="560"/>
      <c r="AI16" s="560"/>
      <c r="AJ16" s="560"/>
      <c r="AK16" s="560"/>
      <c r="AL16" s="560"/>
      <c r="AM16" s="560"/>
      <c r="AN16" s="560"/>
      <c r="AO16" s="561"/>
      <c r="AP16" s="560"/>
      <c r="AQ16" s="560"/>
      <c r="AR16" s="560"/>
      <c r="AS16" s="560"/>
      <c r="AT16" s="567"/>
      <c r="AU16" s="568">
        <f t="shared" si="2"/>
        <v>0</v>
      </c>
    </row>
    <row r="17" spans="1:47" s="563" customFormat="1" ht="16.5" x14ac:dyDescent="0.25">
      <c r="A17" s="536" t="s">
        <v>133</v>
      </c>
      <c r="B17" s="564" t="s">
        <v>587</v>
      </c>
      <c r="C17" s="530">
        <v>3125494</v>
      </c>
      <c r="D17" s="531">
        <f>C17+182000+131400</f>
        <v>3438894</v>
      </c>
      <c r="E17" s="532">
        <f t="shared" si="1"/>
        <v>2182157</v>
      </c>
      <c r="F17" s="565">
        <f t="shared" si="3"/>
        <v>0.63455198095666809</v>
      </c>
      <c r="G17" s="558"/>
      <c r="H17" s="566"/>
      <c r="I17" s="560"/>
      <c r="J17" s="560"/>
      <c r="K17" s="560"/>
      <c r="L17" s="560">
        <v>7025</v>
      </c>
      <c r="M17" s="560"/>
      <c r="N17" s="560"/>
      <c r="O17" s="560"/>
      <c r="P17" s="560"/>
      <c r="Q17" s="560"/>
      <c r="R17" s="560"/>
      <c r="S17" s="560"/>
      <c r="T17" s="560"/>
      <c r="U17" s="560"/>
      <c r="V17" s="560"/>
      <c r="W17" s="560">
        <v>583040</v>
      </c>
      <c r="X17" s="560">
        <v>56100</v>
      </c>
      <c r="Y17" s="560"/>
      <c r="Z17" s="560">
        <v>274732</v>
      </c>
      <c r="AA17" s="560"/>
      <c r="AB17" s="560"/>
      <c r="AC17" s="560"/>
      <c r="AD17" s="560"/>
      <c r="AE17" s="560"/>
      <c r="AF17" s="560"/>
      <c r="AG17" s="560"/>
      <c r="AH17" s="560"/>
      <c r="AI17" s="560"/>
      <c r="AJ17" s="560"/>
      <c r="AK17" s="560"/>
      <c r="AL17" s="560"/>
      <c r="AM17" s="560"/>
      <c r="AN17" s="560"/>
      <c r="AO17" s="561"/>
      <c r="AP17" s="560">
        <v>1052451</v>
      </c>
      <c r="AQ17" s="560">
        <v>208809</v>
      </c>
      <c r="AR17" s="560"/>
      <c r="AS17" s="560"/>
      <c r="AT17" s="567"/>
      <c r="AU17" s="568">
        <f t="shared" si="2"/>
        <v>2182157</v>
      </c>
    </row>
    <row r="18" spans="1:47" s="622" customFormat="1" ht="19.5" x14ac:dyDescent="0.35">
      <c r="A18" s="610" t="s">
        <v>139</v>
      </c>
      <c r="B18" s="611" t="s">
        <v>586</v>
      </c>
      <c r="C18" s="612">
        <f>SUM(C5:C17)</f>
        <v>31289946</v>
      </c>
      <c r="D18" s="613">
        <f>SUM(D5:D17)</f>
        <v>32699134</v>
      </c>
      <c r="E18" s="614">
        <f>SUM(E5:E17)</f>
        <v>25101612</v>
      </c>
      <c r="F18" s="615">
        <f t="shared" si="3"/>
        <v>0.76765372440750268</v>
      </c>
      <c r="G18" s="616"/>
      <c r="H18" s="617">
        <f t="shared" ref="H18:AU18" si="4">SUM(H5:H17)</f>
        <v>0</v>
      </c>
      <c r="I18" s="618">
        <f t="shared" si="4"/>
        <v>0</v>
      </c>
      <c r="J18" s="618">
        <f t="shared" si="4"/>
        <v>0</v>
      </c>
      <c r="K18" s="618">
        <f t="shared" si="4"/>
        <v>0</v>
      </c>
      <c r="L18" s="618">
        <f t="shared" si="4"/>
        <v>7025</v>
      </c>
      <c r="M18" s="618">
        <f t="shared" si="4"/>
        <v>0</v>
      </c>
      <c r="N18" s="618">
        <f t="shared" si="4"/>
        <v>160714</v>
      </c>
      <c r="O18" s="618">
        <f t="shared" si="4"/>
        <v>0</v>
      </c>
      <c r="P18" s="618">
        <f t="shared" si="4"/>
        <v>5412897</v>
      </c>
      <c r="Q18" s="618">
        <f t="shared" si="4"/>
        <v>0</v>
      </c>
      <c r="R18" s="618">
        <f t="shared" si="4"/>
        <v>0</v>
      </c>
      <c r="S18" s="618">
        <f t="shared" si="4"/>
        <v>0</v>
      </c>
      <c r="T18" s="618">
        <f t="shared" si="4"/>
        <v>0</v>
      </c>
      <c r="U18" s="618">
        <f t="shared" si="4"/>
        <v>0</v>
      </c>
      <c r="V18" s="618">
        <f t="shared" si="4"/>
        <v>0</v>
      </c>
      <c r="W18" s="618">
        <f t="shared" si="4"/>
        <v>583040</v>
      </c>
      <c r="X18" s="618">
        <f t="shared" si="4"/>
        <v>5126940</v>
      </c>
      <c r="Y18" s="618">
        <f t="shared" si="4"/>
        <v>0</v>
      </c>
      <c r="Z18" s="618">
        <f t="shared" si="4"/>
        <v>1191523</v>
      </c>
      <c r="AA18" s="618">
        <f t="shared" si="4"/>
        <v>0</v>
      </c>
      <c r="AB18" s="618">
        <f t="shared" si="4"/>
        <v>0</v>
      </c>
      <c r="AC18" s="618">
        <f t="shared" si="4"/>
        <v>0</v>
      </c>
      <c r="AD18" s="618">
        <f t="shared" si="4"/>
        <v>497076</v>
      </c>
      <c r="AE18" s="618">
        <f t="shared" si="4"/>
        <v>0</v>
      </c>
      <c r="AF18" s="618">
        <f t="shared" si="4"/>
        <v>0</v>
      </c>
      <c r="AG18" s="618">
        <f t="shared" si="4"/>
        <v>0</v>
      </c>
      <c r="AH18" s="618">
        <f t="shared" si="4"/>
        <v>0</v>
      </c>
      <c r="AI18" s="618">
        <f t="shared" si="4"/>
        <v>0</v>
      </c>
      <c r="AJ18" s="618">
        <f t="shared" si="4"/>
        <v>0</v>
      </c>
      <c r="AK18" s="618">
        <f t="shared" si="4"/>
        <v>0</v>
      </c>
      <c r="AL18" s="618">
        <f t="shared" si="4"/>
        <v>0</v>
      </c>
      <c r="AM18" s="618">
        <f t="shared" si="4"/>
        <v>0</v>
      </c>
      <c r="AN18" s="618">
        <f t="shared" si="4"/>
        <v>0</v>
      </c>
      <c r="AO18" s="619">
        <f t="shared" si="4"/>
        <v>0</v>
      </c>
      <c r="AP18" s="618">
        <f t="shared" si="4"/>
        <v>8333291</v>
      </c>
      <c r="AQ18" s="618">
        <f t="shared" si="4"/>
        <v>1587796</v>
      </c>
      <c r="AR18" s="618">
        <f t="shared" si="4"/>
        <v>0</v>
      </c>
      <c r="AS18" s="618">
        <f t="shared" si="4"/>
        <v>0</v>
      </c>
      <c r="AT18" s="620">
        <f t="shared" si="4"/>
        <v>2201310</v>
      </c>
      <c r="AU18" s="621">
        <f t="shared" si="4"/>
        <v>25101612</v>
      </c>
    </row>
    <row r="19" spans="1:47" s="563" customFormat="1" ht="16.5" x14ac:dyDescent="0.25">
      <c r="A19" s="528" t="s">
        <v>134</v>
      </c>
      <c r="B19" s="569" t="s">
        <v>137</v>
      </c>
      <c r="C19" s="530">
        <v>8547955</v>
      </c>
      <c r="D19" s="531">
        <f>C19-532361</f>
        <v>8015594</v>
      </c>
      <c r="E19" s="532">
        <f t="shared" ref="E19:E21" si="5">AU19</f>
        <v>5622162</v>
      </c>
      <c r="F19" s="565">
        <f t="shared" si="3"/>
        <v>0.7014030401240382</v>
      </c>
      <c r="G19" s="558"/>
      <c r="H19" s="566"/>
      <c r="I19" s="560"/>
      <c r="J19" s="560"/>
      <c r="K19" s="560"/>
      <c r="L19" s="560"/>
      <c r="M19" s="560"/>
      <c r="N19" s="560"/>
      <c r="O19" s="560"/>
      <c r="P19" s="560"/>
      <c r="Q19" s="560"/>
      <c r="R19" s="560"/>
      <c r="S19" s="560"/>
      <c r="T19" s="560"/>
      <c r="U19" s="560"/>
      <c r="V19" s="560"/>
      <c r="W19" s="560"/>
      <c r="X19" s="560"/>
      <c r="Y19" s="560"/>
      <c r="Z19" s="560"/>
      <c r="AA19" s="560"/>
      <c r="AB19" s="560"/>
      <c r="AC19" s="560"/>
      <c r="AD19" s="560"/>
      <c r="AE19" s="560"/>
      <c r="AF19" s="560"/>
      <c r="AG19" s="560"/>
      <c r="AH19" s="560"/>
      <c r="AI19" s="560"/>
      <c r="AJ19" s="560"/>
      <c r="AK19" s="560"/>
      <c r="AL19" s="560"/>
      <c r="AM19" s="560"/>
      <c r="AN19" s="560"/>
      <c r="AO19" s="561"/>
      <c r="AP19" s="560"/>
      <c r="AQ19" s="560">
        <v>5622162</v>
      </c>
      <c r="AR19" s="560"/>
      <c r="AS19" s="560"/>
      <c r="AT19" s="567"/>
      <c r="AU19" s="568">
        <f t="shared" ref="AU19:AU21" si="6">SUM(H19:AT19)</f>
        <v>5622162</v>
      </c>
    </row>
    <row r="20" spans="1:47" s="563" customFormat="1" ht="16.5" x14ac:dyDescent="0.25">
      <c r="A20" s="528" t="s">
        <v>135</v>
      </c>
      <c r="B20" s="569" t="s">
        <v>138</v>
      </c>
      <c r="C20" s="530">
        <v>165750</v>
      </c>
      <c r="D20" s="531">
        <f>C20+486453</f>
        <v>652203</v>
      </c>
      <c r="E20" s="532">
        <f t="shared" si="5"/>
        <v>629703</v>
      </c>
      <c r="F20" s="565">
        <f t="shared" si="3"/>
        <v>0.965501538631377</v>
      </c>
      <c r="G20" s="558"/>
      <c r="H20" s="566"/>
      <c r="I20" s="560"/>
      <c r="J20" s="560"/>
      <c r="K20" s="560"/>
      <c r="L20" s="560">
        <v>9057</v>
      </c>
      <c r="M20" s="560"/>
      <c r="N20" s="560"/>
      <c r="O20" s="560"/>
      <c r="P20" s="560"/>
      <c r="Q20" s="560"/>
      <c r="R20" s="560"/>
      <c r="S20" s="560"/>
      <c r="T20" s="560"/>
      <c r="U20" s="560"/>
      <c r="V20" s="560"/>
      <c r="W20" s="560"/>
      <c r="X20" s="560"/>
      <c r="Y20" s="560"/>
      <c r="Z20" s="560"/>
      <c r="AA20" s="560"/>
      <c r="AB20" s="560"/>
      <c r="AC20" s="560"/>
      <c r="AD20" s="560"/>
      <c r="AE20" s="560"/>
      <c r="AF20" s="560"/>
      <c r="AG20" s="560">
        <v>450000</v>
      </c>
      <c r="AH20" s="560"/>
      <c r="AI20" s="560">
        <v>46000</v>
      </c>
      <c r="AJ20" s="560"/>
      <c r="AK20" s="560"/>
      <c r="AL20" s="560"/>
      <c r="AM20" s="560"/>
      <c r="AN20" s="560"/>
      <c r="AO20" s="561"/>
      <c r="AP20" s="560"/>
      <c r="AQ20" s="560">
        <v>12146</v>
      </c>
      <c r="AR20" s="560">
        <v>112500</v>
      </c>
      <c r="AS20" s="560"/>
      <c r="AT20" s="567"/>
      <c r="AU20" s="568">
        <f t="shared" si="6"/>
        <v>629703</v>
      </c>
    </row>
    <row r="21" spans="1:47" s="575" customFormat="1" ht="16.5" x14ac:dyDescent="0.25">
      <c r="A21" s="528" t="s">
        <v>136</v>
      </c>
      <c r="B21" s="569" t="s">
        <v>165</v>
      </c>
      <c r="C21" s="530">
        <v>772000</v>
      </c>
      <c r="D21" s="531">
        <f>C21+50000-300000+1533124+76471-269950</f>
        <v>1861645</v>
      </c>
      <c r="E21" s="532">
        <f t="shared" si="5"/>
        <v>776221</v>
      </c>
      <c r="F21" s="565">
        <f t="shared" si="3"/>
        <v>0.41695436025665472</v>
      </c>
      <c r="G21" s="570"/>
      <c r="H21" s="571"/>
      <c r="I21" s="572"/>
      <c r="J21" s="572"/>
      <c r="K21" s="572"/>
      <c r="L21" s="572"/>
      <c r="M21" s="572"/>
      <c r="N21" s="572"/>
      <c r="O21" s="572"/>
      <c r="P21" s="572"/>
      <c r="Q21" s="572">
        <v>50000</v>
      </c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  <c r="AO21" s="572"/>
      <c r="AP21" s="572"/>
      <c r="AQ21" s="572">
        <v>726221</v>
      </c>
      <c r="AR21" s="572"/>
      <c r="AS21" s="572"/>
      <c r="AT21" s="573"/>
      <c r="AU21" s="574">
        <f t="shared" si="6"/>
        <v>776221</v>
      </c>
    </row>
    <row r="22" spans="1:47" s="622" customFormat="1" ht="19.5" x14ac:dyDescent="0.35">
      <c r="A22" s="610" t="s">
        <v>140</v>
      </c>
      <c r="B22" s="611" t="s">
        <v>588</v>
      </c>
      <c r="C22" s="612">
        <f>SUM(C19:C21)</f>
        <v>9485705</v>
      </c>
      <c r="D22" s="613">
        <f t="shared" ref="D22:E22" si="7">SUM(D19:D21)</f>
        <v>10529442</v>
      </c>
      <c r="E22" s="614">
        <f t="shared" si="7"/>
        <v>7028086</v>
      </c>
      <c r="F22" s="615">
        <f t="shared" si="3"/>
        <v>0.66746993810308275</v>
      </c>
      <c r="G22" s="616"/>
      <c r="H22" s="617">
        <f t="shared" ref="H22:AU22" si="8">SUM(H19:H21)</f>
        <v>0</v>
      </c>
      <c r="I22" s="618">
        <f t="shared" si="8"/>
        <v>0</v>
      </c>
      <c r="J22" s="618">
        <f t="shared" si="8"/>
        <v>0</v>
      </c>
      <c r="K22" s="618">
        <f t="shared" si="8"/>
        <v>0</v>
      </c>
      <c r="L22" s="618">
        <f t="shared" si="8"/>
        <v>9057</v>
      </c>
      <c r="M22" s="618">
        <f t="shared" si="8"/>
        <v>0</v>
      </c>
      <c r="N22" s="618">
        <f t="shared" si="8"/>
        <v>0</v>
      </c>
      <c r="O22" s="618">
        <f t="shared" si="8"/>
        <v>0</v>
      </c>
      <c r="P22" s="618">
        <f t="shared" si="8"/>
        <v>0</v>
      </c>
      <c r="Q22" s="618">
        <f t="shared" si="8"/>
        <v>50000</v>
      </c>
      <c r="R22" s="618">
        <f t="shared" si="8"/>
        <v>0</v>
      </c>
      <c r="S22" s="618">
        <f t="shared" si="8"/>
        <v>0</v>
      </c>
      <c r="T22" s="618">
        <f t="shared" si="8"/>
        <v>0</v>
      </c>
      <c r="U22" s="618">
        <f t="shared" si="8"/>
        <v>0</v>
      </c>
      <c r="V22" s="618">
        <f t="shared" si="8"/>
        <v>0</v>
      </c>
      <c r="W22" s="618">
        <f t="shared" si="8"/>
        <v>0</v>
      </c>
      <c r="X22" s="618">
        <f t="shared" si="8"/>
        <v>0</v>
      </c>
      <c r="Y22" s="618">
        <f t="shared" si="8"/>
        <v>0</v>
      </c>
      <c r="Z22" s="618">
        <f t="shared" si="8"/>
        <v>0</v>
      </c>
      <c r="AA22" s="618">
        <f t="shared" si="8"/>
        <v>0</v>
      </c>
      <c r="AB22" s="618">
        <f t="shared" si="8"/>
        <v>0</v>
      </c>
      <c r="AC22" s="618">
        <f t="shared" si="8"/>
        <v>0</v>
      </c>
      <c r="AD22" s="618">
        <f t="shared" si="8"/>
        <v>0</v>
      </c>
      <c r="AE22" s="618">
        <f t="shared" si="8"/>
        <v>0</v>
      </c>
      <c r="AF22" s="618">
        <f t="shared" si="8"/>
        <v>0</v>
      </c>
      <c r="AG22" s="618">
        <f t="shared" si="8"/>
        <v>450000</v>
      </c>
      <c r="AH22" s="618">
        <f t="shared" si="8"/>
        <v>0</v>
      </c>
      <c r="AI22" s="618">
        <f t="shared" si="8"/>
        <v>46000</v>
      </c>
      <c r="AJ22" s="618">
        <f t="shared" si="8"/>
        <v>0</v>
      </c>
      <c r="AK22" s="618">
        <f t="shared" si="8"/>
        <v>0</v>
      </c>
      <c r="AL22" s="618">
        <f t="shared" si="8"/>
        <v>0</v>
      </c>
      <c r="AM22" s="618">
        <f t="shared" si="8"/>
        <v>0</v>
      </c>
      <c r="AN22" s="618">
        <f t="shared" si="8"/>
        <v>0</v>
      </c>
      <c r="AO22" s="619">
        <f t="shared" si="8"/>
        <v>0</v>
      </c>
      <c r="AP22" s="618">
        <f t="shared" si="8"/>
        <v>0</v>
      </c>
      <c r="AQ22" s="618">
        <f t="shared" si="8"/>
        <v>6360529</v>
      </c>
      <c r="AR22" s="618">
        <f t="shared" si="8"/>
        <v>112500</v>
      </c>
      <c r="AS22" s="618">
        <f t="shared" si="8"/>
        <v>0</v>
      </c>
      <c r="AT22" s="620">
        <f t="shared" si="8"/>
        <v>0</v>
      </c>
      <c r="AU22" s="621">
        <f t="shared" si="8"/>
        <v>7028086</v>
      </c>
    </row>
    <row r="23" spans="1:47" s="647" customFormat="1" ht="19.5" x14ac:dyDescent="0.3">
      <c r="A23" s="635" t="s">
        <v>141</v>
      </c>
      <c r="B23" s="636" t="s">
        <v>148</v>
      </c>
      <c r="C23" s="637">
        <f>SUM(C22,C18)</f>
        <v>40775651</v>
      </c>
      <c r="D23" s="638">
        <f t="shared" ref="D23:E23" si="9">SUM(D22,D18)</f>
        <v>43228576</v>
      </c>
      <c r="E23" s="639">
        <f t="shared" si="9"/>
        <v>32129698</v>
      </c>
      <c r="F23" s="640">
        <f t="shared" si="3"/>
        <v>0.74325136224704691</v>
      </c>
      <c r="G23" s="641"/>
      <c r="H23" s="642">
        <f t="shared" ref="H23:AU23" si="10">SUM(H22,H18)</f>
        <v>0</v>
      </c>
      <c r="I23" s="643">
        <f t="shared" si="10"/>
        <v>0</v>
      </c>
      <c r="J23" s="643">
        <f t="shared" si="10"/>
        <v>0</v>
      </c>
      <c r="K23" s="643">
        <f t="shared" si="10"/>
        <v>0</v>
      </c>
      <c r="L23" s="643">
        <f t="shared" si="10"/>
        <v>16082</v>
      </c>
      <c r="M23" s="643">
        <f t="shared" si="10"/>
        <v>0</v>
      </c>
      <c r="N23" s="643">
        <f t="shared" si="10"/>
        <v>160714</v>
      </c>
      <c r="O23" s="643">
        <f t="shared" si="10"/>
        <v>0</v>
      </c>
      <c r="P23" s="643">
        <f t="shared" si="10"/>
        <v>5412897</v>
      </c>
      <c r="Q23" s="643">
        <f t="shared" si="10"/>
        <v>50000</v>
      </c>
      <c r="R23" s="643">
        <f t="shared" si="10"/>
        <v>0</v>
      </c>
      <c r="S23" s="643">
        <f t="shared" si="10"/>
        <v>0</v>
      </c>
      <c r="T23" s="643">
        <f t="shared" si="10"/>
        <v>0</v>
      </c>
      <c r="U23" s="643">
        <f t="shared" si="10"/>
        <v>0</v>
      </c>
      <c r="V23" s="643">
        <f t="shared" si="10"/>
        <v>0</v>
      </c>
      <c r="W23" s="643">
        <f t="shared" si="10"/>
        <v>583040</v>
      </c>
      <c r="X23" s="643">
        <f t="shared" si="10"/>
        <v>5126940</v>
      </c>
      <c r="Y23" s="643">
        <f t="shared" si="10"/>
        <v>0</v>
      </c>
      <c r="Z23" s="643">
        <f t="shared" si="10"/>
        <v>1191523</v>
      </c>
      <c r="AA23" s="643">
        <f t="shared" si="10"/>
        <v>0</v>
      </c>
      <c r="AB23" s="643">
        <f t="shared" si="10"/>
        <v>0</v>
      </c>
      <c r="AC23" s="643">
        <f t="shared" si="10"/>
        <v>0</v>
      </c>
      <c r="AD23" s="643">
        <f t="shared" si="10"/>
        <v>497076</v>
      </c>
      <c r="AE23" s="643">
        <f t="shared" si="10"/>
        <v>0</v>
      </c>
      <c r="AF23" s="643">
        <f t="shared" si="10"/>
        <v>0</v>
      </c>
      <c r="AG23" s="643">
        <f t="shared" si="10"/>
        <v>450000</v>
      </c>
      <c r="AH23" s="643">
        <f t="shared" si="10"/>
        <v>0</v>
      </c>
      <c r="AI23" s="643">
        <f t="shared" si="10"/>
        <v>46000</v>
      </c>
      <c r="AJ23" s="643">
        <f t="shared" si="10"/>
        <v>0</v>
      </c>
      <c r="AK23" s="643">
        <f t="shared" si="10"/>
        <v>0</v>
      </c>
      <c r="AL23" s="643">
        <f t="shared" si="10"/>
        <v>0</v>
      </c>
      <c r="AM23" s="643">
        <f t="shared" si="10"/>
        <v>0</v>
      </c>
      <c r="AN23" s="643">
        <f t="shared" si="10"/>
        <v>0</v>
      </c>
      <c r="AO23" s="644">
        <f t="shared" si="10"/>
        <v>0</v>
      </c>
      <c r="AP23" s="643">
        <f t="shared" si="10"/>
        <v>8333291</v>
      </c>
      <c r="AQ23" s="643">
        <f t="shared" si="10"/>
        <v>7948325</v>
      </c>
      <c r="AR23" s="643">
        <f t="shared" si="10"/>
        <v>112500</v>
      </c>
      <c r="AS23" s="643">
        <f t="shared" si="10"/>
        <v>0</v>
      </c>
      <c r="AT23" s="645">
        <f t="shared" si="10"/>
        <v>2201310</v>
      </c>
      <c r="AU23" s="646">
        <f t="shared" si="10"/>
        <v>32129698</v>
      </c>
    </row>
    <row r="24" spans="1:47" s="582" customFormat="1" ht="16.5" x14ac:dyDescent="0.2">
      <c r="A24" s="523" t="s">
        <v>142</v>
      </c>
      <c r="B24" s="524" t="s">
        <v>65</v>
      </c>
      <c r="C24" s="525">
        <v>7851759</v>
      </c>
      <c r="D24" s="526">
        <f>C24+45240+26250+13382+23872+26076-1037216+165691-52640</f>
        <v>7062414</v>
      </c>
      <c r="E24" s="527">
        <f t="shared" ref="E24:E27" si="11">AU24</f>
        <v>5934606</v>
      </c>
      <c r="F24" s="576">
        <f t="shared" si="3"/>
        <v>0.84030842711854614</v>
      </c>
      <c r="G24" s="577"/>
      <c r="H24" s="578"/>
      <c r="I24" s="579"/>
      <c r="J24" s="579"/>
      <c r="K24" s="579"/>
      <c r="L24" s="579">
        <v>3576</v>
      </c>
      <c r="M24" s="579"/>
      <c r="N24" s="579"/>
      <c r="O24" s="579"/>
      <c r="P24" s="579">
        <v>1032708</v>
      </c>
      <c r="Q24" s="579">
        <v>9750</v>
      </c>
      <c r="R24" s="579"/>
      <c r="S24" s="579"/>
      <c r="T24" s="579"/>
      <c r="U24" s="579"/>
      <c r="V24" s="579"/>
      <c r="W24" s="579">
        <v>109440</v>
      </c>
      <c r="X24" s="579">
        <v>979843</v>
      </c>
      <c r="Y24" s="579"/>
      <c r="Z24" s="579">
        <v>250010</v>
      </c>
      <c r="AA24" s="579"/>
      <c r="AB24" s="579"/>
      <c r="AC24" s="579"/>
      <c r="AD24" s="579">
        <v>94978</v>
      </c>
      <c r="AE24" s="579"/>
      <c r="AF24" s="579"/>
      <c r="AG24" s="579">
        <v>70875</v>
      </c>
      <c r="AH24" s="579"/>
      <c r="AI24" s="579">
        <v>8073</v>
      </c>
      <c r="AJ24" s="579"/>
      <c r="AK24" s="579"/>
      <c r="AL24" s="579"/>
      <c r="AM24" s="579"/>
      <c r="AN24" s="579"/>
      <c r="AO24" s="579"/>
      <c r="AP24" s="579">
        <v>1605197</v>
      </c>
      <c r="AQ24" s="579">
        <v>1542023</v>
      </c>
      <c r="AR24" s="579">
        <v>18396</v>
      </c>
      <c r="AS24" s="579"/>
      <c r="AT24" s="580">
        <v>209737</v>
      </c>
      <c r="AU24" s="581">
        <f t="shared" ref="AU24:AU27" si="12">SUM(H24:AT24)</f>
        <v>5934606</v>
      </c>
    </row>
    <row r="25" spans="1:47" s="563" customFormat="1" ht="16.5" x14ac:dyDescent="0.25">
      <c r="A25" s="528" t="s">
        <v>143</v>
      </c>
      <c r="B25" s="529" t="s">
        <v>66</v>
      </c>
      <c r="C25" s="530">
        <v>0</v>
      </c>
      <c r="D25" s="531">
        <f t="shared" ref="D25:D27" si="13">C25</f>
        <v>0</v>
      </c>
      <c r="E25" s="532">
        <f t="shared" si="11"/>
        <v>8262</v>
      </c>
      <c r="F25" s="565"/>
      <c r="G25" s="558"/>
      <c r="H25" s="566"/>
      <c r="I25" s="560"/>
      <c r="J25" s="560"/>
      <c r="K25" s="560"/>
      <c r="L25" s="560"/>
      <c r="M25" s="560"/>
      <c r="N25" s="560"/>
      <c r="O25" s="560"/>
      <c r="P25" s="560">
        <v>1377</v>
      </c>
      <c r="Q25" s="560"/>
      <c r="R25" s="560"/>
      <c r="S25" s="560"/>
      <c r="T25" s="560"/>
      <c r="U25" s="560"/>
      <c r="V25" s="560"/>
      <c r="W25" s="560"/>
      <c r="X25" s="560">
        <v>1377</v>
      </c>
      <c r="Y25" s="560"/>
      <c r="Z25" s="560">
        <v>1377</v>
      </c>
      <c r="AA25" s="560"/>
      <c r="AB25" s="560"/>
      <c r="AC25" s="560"/>
      <c r="AD25" s="560"/>
      <c r="AE25" s="560"/>
      <c r="AF25" s="560"/>
      <c r="AG25" s="560"/>
      <c r="AH25" s="560"/>
      <c r="AI25" s="560"/>
      <c r="AJ25" s="560"/>
      <c r="AK25" s="560"/>
      <c r="AL25" s="560"/>
      <c r="AM25" s="560"/>
      <c r="AN25" s="560"/>
      <c r="AO25" s="561"/>
      <c r="AP25" s="560">
        <v>2754</v>
      </c>
      <c r="AQ25" s="560">
        <v>1377</v>
      </c>
      <c r="AR25" s="560"/>
      <c r="AS25" s="560"/>
      <c r="AT25" s="567"/>
      <c r="AU25" s="568">
        <f t="shared" si="12"/>
        <v>8262</v>
      </c>
    </row>
    <row r="26" spans="1:47" s="563" customFormat="1" ht="16.5" x14ac:dyDescent="0.25">
      <c r="A26" s="528" t="s">
        <v>144</v>
      </c>
      <c r="B26" s="529" t="s">
        <v>59</v>
      </c>
      <c r="C26" s="530">
        <v>140000</v>
      </c>
      <c r="D26" s="531">
        <f t="shared" si="13"/>
        <v>140000</v>
      </c>
      <c r="E26" s="532">
        <f t="shared" si="11"/>
        <v>0</v>
      </c>
      <c r="F26" s="565">
        <f t="shared" si="3"/>
        <v>0</v>
      </c>
      <c r="G26" s="558"/>
      <c r="H26" s="566"/>
      <c r="I26" s="560"/>
      <c r="J26" s="560"/>
      <c r="K26" s="560"/>
      <c r="L26" s="560"/>
      <c r="M26" s="560"/>
      <c r="N26" s="560"/>
      <c r="O26" s="560"/>
      <c r="P26" s="560"/>
      <c r="Q26" s="560"/>
      <c r="R26" s="560"/>
      <c r="S26" s="560"/>
      <c r="T26" s="560"/>
      <c r="U26" s="560"/>
      <c r="V26" s="560"/>
      <c r="W26" s="560"/>
      <c r="X26" s="560"/>
      <c r="Y26" s="560"/>
      <c r="Z26" s="560"/>
      <c r="AA26" s="560"/>
      <c r="AB26" s="560"/>
      <c r="AC26" s="560"/>
      <c r="AD26" s="560"/>
      <c r="AE26" s="560"/>
      <c r="AF26" s="560"/>
      <c r="AG26" s="560"/>
      <c r="AH26" s="560"/>
      <c r="AI26" s="560"/>
      <c r="AJ26" s="560"/>
      <c r="AK26" s="560"/>
      <c r="AL26" s="560"/>
      <c r="AM26" s="560"/>
      <c r="AN26" s="560"/>
      <c r="AO26" s="561"/>
      <c r="AP26" s="560"/>
      <c r="AQ26" s="560"/>
      <c r="AR26" s="560"/>
      <c r="AS26" s="560"/>
      <c r="AT26" s="567"/>
      <c r="AU26" s="568">
        <f t="shared" si="12"/>
        <v>0</v>
      </c>
    </row>
    <row r="27" spans="1:47" s="563" customFormat="1" ht="16.5" x14ac:dyDescent="0.25">
      <c r="A27" s="528" t="s">
        <v>145</v>
      </c>
      <c r="B27" s="529" t="s">
        <v>63</v>
      </c>
      <c r="C27" s="530">
        <v>221189</v>
      </c>
      <c r="D27" s="531">
        <f t="shared" si="13"/>
        <v>221189</v>
      </c>
      <c r="E27" s="532">
        <f t="shared" si="11"/>
        <v>212183</v>
      </c>
      <c r="F27" s="565">
        <f t="shared" si="3"/>
        <v>0.95928368951439724</v>
      </c>
      <c r="G27" s="558"/>
      <c r="H27" s="566"/>
      <c r="I27" s="560"/>
      <c r="J27" s="560"/>
      <c r="K27" s="560"/>
      <c r="L27" s="560"/>
      <c r="M27" s="560"/>
      <c r="N27" s="560"/>
      <c r="O27" s="560"/>
      <c r="P27" s="560">
        <v>68390</v>
      </c>
      <c r="Q27" s="560"/>
      <c r="R27" s="560"/>
      <c r="S27" s="560"/>
      <c r="T27" s="560"/>
      <c r="U27" s="560"/>
      <c r="V27" s="560"/>
      <c r="W27" s="560"/>
      <c r="X27" s="560">
        <v>34933</v>
      </c>
      <c r="Y27" s="560"/>
      <c r="Z27" s="560">
        <v>10769</v>
      </c>
      <c r="AA27" s="560"/>
      <c r="AB27" s="560"/>
      <c r="AC27" s="560"/>
      <c r="AD27" s="560">
        <v>5576</v>
      </c>
      <c r="AE27" s="560"/>
      <c r="AF27" s="560"/>
      <c r="AG27" s="560"/>
      <c r="AH27" s="560"/>
      <c r="AI27" s="560"/>
      <c r="AJ27" s="560"/>
      <c r="AK27" s="560"/>
      <c r="AL27" s="560"/>
      <c r="AM27" s="560"/>
      <c r="AN27" s="560"/>
      <c r="AO27" s="561"/>
      <c r="AP27" s="560">
        <v>69865</v>
      </c>
      <c r="AQ27" s="560">
        <v>22650</v>
      </c>
      <c r="AR27" s="560"/>
      <c r="AS27" s="560"/>
      <c r="AT27" s="567"/>
      <c r="AU27" s="568">
        <f t="shared" si="12"/>
        <v>212183</v>
      </c>
    </row>
    <row r="28" spans="1:47" s="647" customFormat="1" ht="19.5" x14ac:dyDescent="0.3">
      <c r="A28" s="635" t="s">
        <v>146</v>
      </c>
      <c r="B28" s="636" t="s">
        <v>147</v>
      </c>
      <c r="C28" s="637">
        <f>SUM(C24:C27)</f>
        <v>8212948</v>
      </c>
      <c r="D28" s="638">
        <f t="shared" ref="D28:E28" si="14">SUM(D24:D27)</f>
        <v>7423603</v>
      </c>
      <c r="E28" s="639">
        <f t="shared" si="14"/>
        <v>6155051</v>
      </c>
      <c r="F28" s="640">
        <f t="shared" si="3"/>
        <v>0.82911909486539082</v>
      </c>
      <c r="G28" s="641"/>
      <c r="H28" s="642">
        <f t="shared" ref="H28:AU28" si="15">SUM(H24:H27)</f>
        <v>0</v>
      </c>
      <c r="I28" s="643">
        <f t="shared" si="15"/>
        <v>0</v>
      </c>
      <c r="J28" s="643">
        <f t="shared" si="15"/>
        <v>0</v>
      </c>
      <c r="K28" s="643">
        <f t="shared" si="15"/>
        <v>0</v>
      </c>
      <c r="L28" s="643">
        <f t="shared" si="15"/>
        <v>3576</v>
      </c>
      <c r="M28" s="643">
        <f t="shared" si="15"/>
        <v>0</v>
      </c>
      <c r="N28" s="643">
        <f t="shared" si="15"/>
        <v>0</v>
      </c>
      <c r="O28" s="643">
        <f t="shared" si="15"/>
        <v>0</v>
      </c>
      <c r="P28" s="643">
        <f t="shared" si="15"/>
        <v>1102475</v>
      </c>
      <c r="Q28" s="643">
        <f t="shared" si="15"/>
        <v>9750</v>
      </c>
      <c r="R28" s="643">
        <f t="shared" si="15"/>
        <v>0</v>
      </c>
      <c r="S28" s="643">
        <f t="shared" si="15"/>
        <v>0</v>
      </c>
      <c r="T28" s="643">
        <f t="shared" si="15"/>
        <v>0</v>
      </c>
      <c r="U28" s="643">
        <f t="shared" si="15"/>
        <v>0</v>
      </c>
      <c r="V28" s="643">
        <f t="shared" si="15"/>
        <v>0</v>
      </c>
      <c r="W28" s="643">
        <f t="shared" si="15"/>
        <v>109440</v>
      </c>
      <c r="X28" s="643">
        <f t="shared" si="15"/>
        <v>1016153</v>
      </c>
      <c r="Y28" s="643">
        <f t="shared" si="15"/>
        <v>0</v>
      </c>
      <c r="Z28" s="643">
        <f t="shared" si="15"/>
        <v>262156</v>
      </c>
      <c r="AA28" s="643">
        <f t="shared" si="15"/>
        <v>0</v>
      </c>
      <c r="AB28" s="643">
        <f t="shared" si="15"/>
        <v>0</v>
      </c>
      <c r="AC28" s="643">
        <f t="shared" si="15"/>
        <v>0</v>
      </c>
      <c r="AD28" s="643">
        <f t="shared" si="15"/>
        <v>100554</v>
      </c>
      <c r="AE28" s="643">
        <f t="shared" si="15"/>
        <v>0</v>
      </c>
      <c r="AF28" s="643">
        <f t="shared" si="15"/>
        <v>0</v>
      </c>
      <c r="AG28" s="643">
        <f t="shared" si="15"/>
        <v>70875</v>
      </c>
      <c r="AH28" s="643">
        <f t="shared" si="15"/>
        <v>0</v>
      </c>
      <c r="AI28" s="643">
        <f t="shared" si="15"/>
        <v>8073</v>
      </c>
      <c r="AJ28" s="643">
        <f t="shared" si="15"/>
        <v>0</v>
      </c>
      <c r="AK28" s="643">
        <f t="shared" si="15"/>
        <v>0</v>
      </c>
      <c r="AL28" s="643">
        <f t="shared" si="15"/>
        <v>0</v>
      </c>
      <c r="AM28" s="643">
        <f t="shared" si="15"/>
        <v>0</v>
      </c>
      <c r="AN28" s="643">
        <f t="shared" si="15"/>
        <v>0</v>
      </c>
      <c r="AO28" s="644">
        <f t="shared" si="15"/>
        <v>0</v>
      </c>
      <c r="AP28" s="643">
        <f t="shared" si="15"/>
        <v>1677816</v>
      </c>
      <c r="AQ28" s="643">
        <f t="shared" si="15"/>
        <v>1566050</v>
      </c>
      <c r="AR28" s="643">
        <f t="shared" si="15"/>
        <v>18396</v>
      </c>
      <c r="AS28" s="643">
        <f t="shared" si="15"/>
        <v>0</v>
      </c>
      <c r="AT28" s="645">
        <f t="shared" si="15"/>
        <v>209737</v>
      </c>
      <c r="AU28" s="646">
        <f t="shared" si="15"/>
        <v>6155051</v>
      </c>
    </row>
    <row r="29" spans="1:47" s="563" customFormat="1" ht="16.5" x14ac:dyDescent="0.25">
      <c r="A29" s="528" t="s">
        <v>150</v>
      </c>
      <c r="B29" s="564" t="s">
        <v>81</v>
      </c>
      <c r="C29" s="530">
        <v>900000</v>
      </c>
      <c r="D29" s="531">
        <f>C29</f>
        <v>900000</v>
      </c>
      <c r="E29" s="532">
        <f t="shared" ref="E29:E31" si="16">AU29</f>
        <v>805205</v>
      </c>
      <c r="F29" s="565">
        <f t="shared" si="3"/>
        <v>0.8946722222222222</v>
      </c>
      <c r="G29" s="558"/>
      <c r="H29" s="566"/>
      <c r="I29" s="560"/>
      <c r="J29" s="560"/>
      <c r="K29" s="560"/>
      <c r="L29" s="560"/>
      <c r="M29" s="560"/>
      <c r="N29" s="560"/>
      <c r="O29" s="560"/>
      <c r="P29" s="560">
        <v>9173</v>
      </c>
      <c r="Q29" s="560">
        <v>431097</v>
      </c>
      <c r="R29" s="560"/>
      <c r="S29" s="560"/>
      <c r="T29" s="560"/>
      <c r="U29" s="560"/>
      <c r="V29" s="560"/>
      <c r="W29" s="560"/>
      <c r="X29" s="560"/>
      <c r="Y29" s="560"/>
      <c r="Z29" s="560">
        <v>2511</v>
      </c>
      <c r="AA29" s="560"/>
      <c r="AB29" s="560"/>
      <c r="AC29" s="560"/>
      <c r="AD29" s="560">
        <v>3378</v>
      </c>
      <c r="AE29" s="560"/>
      <c r="AF29" s="560"/>
      <c r="AG29" s="560"/>
      <c r="AH29" s="560"/>
      <c r="AI29" s="560"/>
      <c r="AJ29" s="560"/>
      <c r="AK29" s="560"/>
      <c r="AL29" s="560"/>
      <c r="AM29" s="560"/>
      <c r="AN29" s="560"/>
      <c r="AO29" s="561"/>
      <c r="AP29" s="560">
        <v>359046</v>
      </c>
      <c r="AQ29" s="560"/>
      <c r="AR29" s="560"/>
      <c r="AS29" s="560"/>
      <c r="AT29" s="567"/>
      <c r="AU29" s="568">
        <f t="shared" ref="AU29:AU31" si="17">SUM(H29:AT29)</f>
        <v>805205</v>
      </c>
    </row>
    <row r="30" spans="1:47" s="563" customFormat="1" ht="16.5" x14ac:dyDescent="0.25">
      <c r="A30" s="528" t="s">
        <v>151</v>
      </c>
      <c r="B30" s="564" t="s">
        <v>152</v>
      </c>
      <c r="C30" s="530">
        <v>320000</v>
      </c>
      <c r="D30" s="531">
        <f t="shared" ref="D30:D31" si="18">C30</f>
        <v>320000</v>
      </c>
      <c r="E30" s="532">
        <f t="shared" si="16"/>
        <v>161821</v>
      </c>
      <c r="F30" s="565">
        <f t="shared" si="3"/>
        <v>0.50569062499999995</v>
      </c>
      <c r="G30" s="558"/>
      <c r="H30" s="566"/>
      <c r="I30" s="560"/>
      <c r="J30" s="560"/>
      <c r="K30" s="560"/>
      <c r="L30" s="560"/>
      <c r="M30" s="560"/>
      <c r="N30" s="560"/>
      <c r="O30" s="560"/>
      <c r="P30" s="560"/>
      <c r="Q30" s="560"/>
      <c r="R30" s="560"/>
      <c r="S30" s="560"/>
      <c r="T30" s="560"/>
      <c r="U30" s="560"/>
      <c r="V30" s="560"/>
      <c r="W30" s="560">
        <v>12087</v>
      </c>
      <c r="X30" s="560"/>
      <c r="Y30" s="560"/>
      <c r="Z30" s="560"/>
      <c r="AA30" s="560"/>
      <c r="AB30" s="560"/>
      <c r="AC30" s="560"/>
      <c r="AD30" s="560"/>
      <c r="AE30" s="560"/>
      <c r="AF30" s="560"/>
      <c r="AG30" s="560"/>
      <c r="AH30" s="560"/>
      <c r="AI30" s="560"/>
      <c r="AJ30" s="560"/>
      <c r="AK30" s="560"/>
      <c r="AL30" s="560"/>
      <c r="AM30" s="560"/>
      <c r="AN30" s="560"/>
      <c r="AO30" s="561"/>
      <c r="AP30" s="560"/>
      <c r="AQ30" s="560">
        <v>149734</v>
      </c>
      <c r="AR30" s="560"/>
      <c r="AS30" s="560"/>
      <c r="AT30" s="567"/>
      <c r="AU30" s="568">
        <f t="shared" si="17"/>
        <v>161821</v>
      </c>
    </row>
    <row r="31" spans="1:47" s="563" customFormat="1" ht="16.5" x14ac:dyDescent="0.25">
      <c r="A31" s="528" t="s">
        <v>451</v>
      </c>
      <c r="B31" s="564" t="s">
        <v>452</v>
      </c>
      <c r="C31" s="530">
        <v>780000</v>
      </c>
      <c r="D31" s="531">
        <f t="shared" si="18"/>
        <v>780000</v>
      </c>
      <c r="E31" s="532">
        <f t="shared" si="16"/>
        <v>285358</v>
      </c>
      <c r="F31" s="565">
        <f t="shared" si="3"/>
        <v>0.36584358974358977</v>
      </c>
      <c r="G31" s="558"/>
      <c r="H31" s="566"/>
      <c r="I31" s="560"/>
      <c r="J31" s="560"/>
      <c r="K31" s="560"/>
      <c r="L31" s="560"/>
      <c r="M31" s="560"/>
      <c r="N31" s="560"/>
      <c r="O31" s="560"/>
      <c r="P31" s="560"/>
      <c r="Q31" s="560">
        <v>23874</v>
      </c>
      <c r="R31" s="560"/>
      <c r="S31" s="560"/>
      <c r="T31" s="560"/>
      <c r="U31" s="560"/>
      <c r="V31" s="560"/>
      <c r="W31" s="560"/>
      <c r="X31" s="560">
        <v>12495</v>
      </c>
      <c r="Y31" s="560"/>
      <c r="Z31" s="560"/>
      <c r="AA31" s="560"/>
      <c r="AB31" s="560"/>
      <c r="AC31" s="560"/>
      <c r="AD31" s="560"/>
      <c r="AE31" s="560"/>
      <c r="AF31" s="560"/>
      <c r="AG31" s="560"/>
      <c r="AH31" s="560"/>
      <c r="AI31" s="560"/>
      <c r="AJ31" s="560"/>
      <c r="AK31" s="560"/>
      <c r="AL31" s="560"/>
      <c r="AM31" s="560"/>
      <c r="AN31" s="560"/>
      <c r="AO31" s="561"/>
      <c r="AP31" s="560">
        <v>247690</v>
      </c>
      <c r="AQ31" s="560">
        <v>1299</v>
      </c>
      <c r="AR31" s="560"/>
      <c r="AS31" s="560"/>
      <c r="AT31" s="567"/>
      <c r="AU31" s="568">
        <f t="shared" si="17"/>
        <v>285358</v>
      </c>
    </row>
    <row r="32" spans="1:47" s="622" customFormat="1" ht="19.5" x14ac:dyDescent="0.35">
      <c r="A32" s="623" t="s">
        <v>153</v>
      </c>
      <c r="B32" s="624" t="s">
        <v>592</v>
      </c>
      <c r="C32" s="625">
        <f>SUM(C29:C31)</f>
        <v>2000000</v>
      </c>
      <c r="D32" s="626">
        <f>SUM(D29:D31)</f>
        <v>2000000</v>
      </c>
      <c r="E32" s="627">
        <f>SUM(E29:E31)</f>
        <v>1252384</v>
      </c>
      <c r="F32" s="628">
        <f t="shared" si="3"/>
        <v>0.62619199999999997</v>
      </c>
      <c r="G32" s="616"/>
      <c r="H32" s="617">
        <f t="shared" ref="H32:AU32" si="19">SUM(H29:H31)</f>
        <v>0</v>
      </c>
      <c r="I32" s="618">
        <f t="shared" si="19"/>
        <v>0</v>
      </c>
      <c r="J32" s="618">
        <f t="shared" si="19"/>
        <v>0</v>
      </c>
      <c r="K32" s="618">
        <f t="shared" si="19"/>
        <v>0</v>
      </c>
      <c r="L32" s="618">
        <f t="shared" si="19"/>
        <v>0</v>
      </c>
      <c r="M32" s="618">
        <f t="shared" si="19"/>
        <v>0</v>
      </c>
      <c r="N32" s="618">
        <f t="shared" si="19"/>
        <v>0</v>
      </c>
      <c r="O32" s="618">
        <f t="shared" si="19"/>
        <v>0</v>
      </c>
      <c r="P32" s="618">
        <f t="shared" si="19"/>
        <v>9173</v>
      </c>
      <c r="Q32" s="618">
        <f t="shared" si="19"/>
        <v>454971</v>
      </c>
      <c r="R32" s="618">
        <f t="shared" si="19"/>
        <v>0</v>
      </c>
      <c r="S32" s="618">
        <f t="shared" si="19"/>
        <v>0</v>
      </c>
      <c r="T32" s="618">
        <f t="shared" si="19"/>
        <v>0</v>
      </c>
      <c r="U32" s="618">
        <f t="shared" si="19"/>
        <v>0</v>
      </c>
      <c r="V32" s="618">
        <f t="shared" si="19"/>
        <v>0</v>
      </c>
      <c r="W32" s="618">
        <f t="shared" si="19"/>
        <v>12087</v>
      </c>
      <c r="X32" s="618">
        <f t="shared" si="19"/>
        <v>12495</v>
      </c>
      <c r="Y32" s="618">
        <f t="shared" si="19"/>
        <v>0</v>
      </c>
      <c r="Z32" s="618">
        <f t="shared" si="19"/>
        <v>2511</v>
      </c>
      <c r="AA32" s="618">
        <f t="shared" si="19"/>
        <v>0</v>
      </c>
      <c r="AB32" s="618">
        <f t="shared" si="19"/>
        <v>0</v>
      </c>
      <c r="AC32" s="618">
        <f t="shared" si="19"/>
        <v>0</v>
      </c>
      <c r="AD32" s="618">
        <f t="shared" si="19"/>
        <v>3378</v>
      </c>
      <c r="AE32" s="618">
        <f t="shared" si="19"/>
        <v>0</v>
      </c>
      <c r="AF32" s="618">
        <f t="shared" si="19"/>
        <v>0</v>
      </c>
      <c r="AG32" s="618">
        <f t="shared" si="19"/>
        <v>0</v>
      </c>
      <c r="AH32" s="618">
        <f t="shared" si="19"/>
        <v>0</v>
      </c>
      <c r="AI32" s="618">
        <f t="shared" si="19"/>
        <v>0</v>
      </c>
      <c r="AJ32" s="618">
        <f t="shared" si="19"/>
        <v>0</v>
      </c>
      <c r="AK32" s="618">
        <f t="shared" si="19"/>
        <v>0</v>
      </c>
      <c r="AL32" s="618">
        <f t="shared" si="19"/>
        <v>0</v>
      </c>
      <c r="AM32" s="618">
        <f t="shared" si="19"/>
        <v>0</v>
      </c>
      <c r="AN32" s="618">
        <f t="shared" si="19"/>
        <v>0</v>
      </c>
      <c r="AO32" s="619">
        <f t="shared" si="19"/>
        <v>0</v>
      </c>
      <c r="AP32" s="618">
        <f t="shared" si="19"/>
        <v>606736</v>
      </c>
      <c r="AQ32" s="618">
        <f t="shared" si="19"/>
        <v>151033</v>
      </c>
      <c r="AR32" s="618">
        <f t="shared" si="19"/>
        <v>0</v>
      </c>
      <c r="AS32" s="618">
        <f t="shared" si="19"/>
        <v>0</v>
      </c>
      <c r="AT32" s="620">
        <f t="shared" si="19"/>
        <v>0</v>
      </c>
      <c r="AU32" s="621">
        <f t="shared" si="19"/>
        <v>1252384</v>
      </c>
    </row>
    <row r="33" spans="1:47" s="563" customFormat="1" ht="16.5" x14ac:dyDescent="0.25">
      <c r="A33" s="528" t="s">
        <v>157</v>
      </c>
      <c r="B33" s="564" t="s">
        <v>450</v>
      </c>
      <c r="C33" s="530">
        <v>1500000</v>
      </c>
      <c r="D33" s="531">
        <f>C33+2304000+93000+457200-1000000</f>
        <v>3354200</v>
      </c>
      <c r="E33" s="532">
        <f t="shared" ref="E33:E38" si="20">AU33</f>
        <v>951998</v>
      </c>
      <c r="F33" s="565">
        <f t="shared" si="3"/>
        <v>0.28382267008526624</v>
      </c>
      <c r="G33" s="558"/>
      <c r="H33" s="566"/>
      <c r="I33" s="560"/>
      <c r="J33" s="560"/>
      <c r="K33" s="560"/>
      <c r="L33" s="560"/>
      <c r="M33" s="560"/>
      <c r="N33" s="560"/>
      <c r="O33" s="560"/>
      <c r="P33" s="560"/>
      <c r="Q33" s="560"/>
      <c r="R33" s="560"/>
      <c r="S33" s="560">
        <v>869285</v>
      </c>
      <c r="T33" s="560"/>
      <c r="U33" s="560"/>
      <c r="V33" s="560"/>
      <c r="W33" s="560"/>
      <c r="X33" s="560"/>
      <c r="Y33" s="560"/>
      <c r="Z33" s="560"/>
      <c r="AA33" s="560"/>
      <c r="AB33" s="560"/>
      <c r="AC33" s="560"/>
      <c r="AD33" s="560"/>
      <c r="AE33" s="560"/>
      <c r="AF33" s="560"/>
      <c r="AG33" s="560"/>
      <c r="AH33" s="560">
        <v>82713</v>
      </c>
      <c r="AI33" s="560"/>
      <c r="AJ33" s="560"/>
      <c r="AK33" s="560"/>
      <c r="AL33" s="560"/>
      <c r="AM33" s="560"/>
      <c r="AN33" s="560"/>
      <c r="AO33" s="561"/>
      <c r="AP33" s="560"/>
      <c r="AQ33" s="560"/>
      <c r="AR33" s="560"/>
      <c r="AS33" s="560"/>
      <c r="AT33" s="567"/>
      <c r="AU33" s="568">
        <f t="shared" ref="AU33:AU38" si="21">SUM(H33:AT33)</f>
        <v>951998</v>
      </c>
    </row>
    <row r="34" spans="1:47" s="563" customFormat="1" ht="16.5" x14ac:dyDescent="0.25">
      <c r="A34" s="528" t="s">
        <v>158</v>
      </c>
      <c r="B34" s="564" t="s">
        <v>154</v>
      </c>
      <c r="C34" s="530">
        <v>380000</v>
      </c>
      <c r="D34" s="531">
        <f t="shared" ref="D34:D37" si="22">C34</f>
        <v>380000</v>
      </c>
      <c r="E34" s="532">
        <f t="shared" si="20"/>
        <v>231074</v>
      </c>
      <c r="F34" s="565">
        <f t="shared" si="3"/>
        <v>0.60808947368421051</v>
      </c>
      <c r="G34" s="558"/>
      <c r="H34" s="566"/>
      <c r="I34" s="560"/>
      <c r="J34" s="560"/>
      <c r="K34" s="560"/>
      <c r="L34" s="560"/>
      <c r="M34" s="560"/>
      <c r="N34" s="560"/>
      <c r="O34" s="560"/>
      <c r="P34" s="560"/>
      <c r="Q34" s="560"/>
      <c r="R34" s="560"/>
      <c r="S34" s="560"/>
      <c r="T34" s="560"/>
      <c r="U34" s="560"/>
      <c r="V34" s="560"/>
      <c r="W34" s="560"/>
      <c r="X34" s="560">
        <v>126622</v>
      </c>
      <c r="Y34" s="560"/>
      <c r="Z34" s="560"/>
      <c r="AA34" s="560"/>
      <c r="AB34" s="560"/>
      <c r="AC34" s="560"/>
      <c r="AD34" s="560"/>
      <c r="AE34" s="560"/>
      <c r="AF34" s="560"/>
      <c r="AG34" s="560"/>
      <c r="AH34" s="560"/>
      <c r="AI34" s="560"/>
      <c r="AJ34" s="560"/>
      <c r="AK34" s="560">
        <v>1417</v>
      </c>
      <c r="AL34" s="560"/>
      <c r="AM34" s="560"/>
      <c r="AN34" s="560"/>
      <c r="AO34" s="561"/>
      <c r="AP34" s="560">
        <v>77045</v>
      </c>
      <c r="AQ34" s="560">
        <v>25990</v>
      </c>
      <c r="AR34" s="560"/>
      <c r="AS34" s="560"/>
      <c r="AT34" s="567"/>
      <c r="AU34" s="568">
        <f t="shared" si="21"/>
        <v>231074</v>
      </c>
    </row>
    <row r="35" spans="1:47" s="563" customFormat="1" ht="16.5" x14ac:dyDescent="0.25">
      <c r="A35" s="528" t="s">
        <v>159</v>
      </c>
      <c r="B35" s="564" t="s">
        <v>155</v>
      </c>
      <c r="C35" s="530">
        <v>0</v>
      </c>
      <c r="D35" s="531">
        <f t="shared" si="22"/>
        <v>0</v>
      </c>
      <c r="E35" s="532">
        <f t="shared" si="20"/>
        <v>115376</v>
      </c>
      <c r="F35" s="565"/>
      <c r="G35" s="558"/>
      <c r="H35" s="566"/>
      <c r="I35" s="560"/>
      <c r="J35" s="560"/>
      <c r="K35" s="560"/>
      <c r="L35" s="560"/>
      <c r="M35" s="560"/>
      <c r="N35" s="560"/>
      <c r="O35" s="560"/>
      <c r="P35" s="560"/>
      <c r="Q35" s="560">
        <v>5800</v>
      </c>
      <c r="R35" s="560"/>
      <c r="S35" s="560"/>
      <c r="T35" s="560"/>
      <c r="U35" s="560"/>
      <c r="V35" s="560"/>
      <c r="W35" s="560"/>
      <c r="X35" s="560">
        <v>11567</v>
      </c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560"/>
      <c r="AJ35" s="560"/>
      <c r="AK35" s="560">
        <v>3929</v>
      </c>
      <c r="AL35" s="560"/>
      <c r="AM35" s="560"/>
      <c r="AN35" s="560"/>
      <c r="AO35" s="561"/>
      <c r="AP35" s="560">
        <v>67480</v>
      </c>
      <c r="AQ35" s="560">
        <v>26600</v>
      </c>
      <c r="AR35" s="560"/>
      <c r="AS35" s="560"/>
      <c r="AT35" s="567"/>
      <c r="AU35" s="568">
        <f t="shared" si="21"/>
        <v>115376</v>
      </c>
    </row>
    <row r="36" spans="1:47" s="563" customFormat="1" ht="16.5" x14ac:dyDescent="0.25">
      <c r="A36" s="528" t="s">
        <v>160</v>
      </c>
      <c r="B36" s="564" t="s">
        <v>61</v>
      </c>
      <c r="C36" s="530">
        <v>1000000</v>
      </c>
      <c r="D36" s="531">
        <f t="shared" si="22"/>
        <v>1000000</v>
      </c>
      <c r="E36" s="532">
        <f t="shared" si="20"/>
        <v>736473</v>
      </c>
      <c r="F36" s="565">
        <f t="shared" si="3"/>
        <v>0.73647300000000004</v>
      </c>
      <c r="G36" s="558"/>
      <c r="H36" s="566"/>
      <c r="I36" s="560"/>
      <c r="J36" s="560"/>
      <c r="K36" s="560"/>
      <c r="L36" s="560"/>
      <c r="M36" s="560"/>
      <c r="N36" s="560"/>
      <c r="O36" s="560"/>
      <c r="P36" s="560">
        <v>736473</v>
      </c>
      <c r="Q36" s="560"/>
      <c r="R36" s="560"/>
      <c r="S36" s="560"/>
      <c r="T36" s="560"/>
      <c r="U36" s="560"/>
      <c r="V36" s="560"/>
      <c r="W36" s="560"/>
      <c r="X36" s="560"/>
      <c r="Y36" s="560"/>
      <c r="Z36" s="560"/>
      <c r="AA36" s="560"/>
      <c r="AB36" s="560"/>
      <c r="AC36" s="560"/>
      <c r="AD36" s="560"/>
      <c r="AE36" s="560"/>
      <c r="AF36" s="560"/>
      <c r="AG36" s="560"/>
      <c r="AH36" s="560"/>
      <c r="AI36" s="560"/>
      <c r="AJ36" s="560"/>
      <c r="AK36" s="560"/>
      <c r="AL36" s="560"/>
      <c r="AM36" s="560"/>
      <c r="AN36" s="560"/>
      <c r="AO36" s="561"/>
      <c r="AP36" s="560"/>
      <c r="AQ36" s="560"/>
      <c r="AR36" s="560"/>
      <c r="AS36" s="560"/>
      <c r="AT36" s="567"/>
      <c r="AU36" s="568">
        <f t="shared" si="21"/>
        <v>736473</v>
      </c>
    </row>
    <row r="37" spans="1:47" s="563" customFormat="1" ht="16.5" x14ac:dyDescent="0.25">
      <c r="A37" s="528" t="s">
        <v>161</v>
      </c>
      <c r="B37" s="564" t="s">
        <v>67</v>
      </c>
      <c r="C37" s="530">
        <v>246870</v>
      </c>
      <c r="D37" s="531">
        <f t="shared" si="22"/>
        <v>246870</v>
      </c>
      <c r="E37" s="532">
        <f t="shared" si="20"/>
        <v>169939</v>
      </c>
      <c r="F37" s="565">
        <f t="shared" si="3"/>
        <v>0.68837444809008785</v>
      </c>
      <c r="G37" s="558"/>
      <c r="H37" s="566"/>
      <c r="I37" s="560"/>
      <c r="J37" s="560"/>
      <c r="K37" s="560"/>
      <c r="L37" s="560"/>
      <c r="M37" s="560"/>
      <c r="N37" s="560"/>
      <c r="O37" s="560"/>
      <c r="P37" s="560">
        <v>17651</v>
      </c>
      <c r="Q37" s="560"/>
      <c r="R37" s="560"/>
      <c r="S37" s="560"/>
      <c r="T37" s="560"/>
      <c r="U37" s="560"/>
      <c r="V37" s="560"/>
      <c r="W37" s="560"/>
      <c r="X37" s="560"/>
      <c r="Y37" s="560"/>
      <c r="Z37" s="560">
        <v>41725</v>
      </c>
      <c r="AA37" s="560"/>
      <c r="AB37" s="560"/>
      <c r="AC37" s="560"/>
      <c r="AD37" s="560"/>
      <c r="AE37" s="560"/>
      <c r="AF37" s="560"/>
      <c r="AG37" s="560"/>
      <c r="AH37" s="560"/>
      <c r="AI37" s="560">
        <v>15980</v>
      </c>
      <c r="AJ37" s="560"/>
      <c r="AK37" s="560">
        <v>57157</v>
      </c>
      <c r="AL37" s="560"/>
      <c r="AM37" s="560"/>
      <c r="AN37" s="560"/>
      <c r="AO37" s="561"/>
      <c r="AP37" s="560">
        <v>32986</v>
      </c>
      <c r="AQ37" s="560">
        <v>4440</v>
      </c>
      <c r="AR37" s="560"/>
      <c r="AS37" s="560"/>
      <c r="AT37" s="567"/>
      <c r="AU37" s="568">
        <f t="shared" si="21"/>
        <v>169939</v>
      </c>
    </row>
    <row r="38" spans="1:47" s="563" customFormat="1" ht="16.5" x14ac:dyDescent="0.25">
      <c r="A38" s="528" t="s">
        <v>162</v>
      </c>
      <c r="B38" s="564" t="s">
        <v>447</v>
      </c>
      <c r="C38" s="530">
        <v>4502370</v>
      </c>
      <c r="D38" s="531">
        <f>C38+21000+30000+78740+91299</f>
        <v>4723409</v>
      </c>
      <c r="E38" s="532">
        <f t="shared" si="20"/>
        <v>3067504</v>
      </c>
      <c r="F38" s="565">
        <f t="shared" si="3"/>
        <v>0.64942587017131059</v>
      </c>
      <c r="G38" s="558"/>
      <c r="H38" s="566"/>
      <c r="I38" s="560"/>
      <c r="J38" s="560"/>
      <c r="K38" s="560"/>
      <c r="L38" s="560"/>
      <c r="M38" s="560"/>
      <c r="N38" s="560">
        <v>143430</v>
      </c>
      <c r="O38" s="560"/>
      <c r="P38" s="560">
        <v>500151</v>
      </c>
      <c r="Q38" s="560"/>
      <c r="R38" s="560"/>
      <c r="S38" s="560"/>
      <c r="T38" s="560"/>
      <c r="U38" s="560"/>
      <c r="V38" s="560"/>
      <c r="W38" s="560"/>
      <c r="X38" s="560">
        <v>483398</v>
      </c>
      <c r="Y38" s="560"/>
      <c r="Z38" s="560">
        <v>132413</v>
      </c>
      <c r="AA38" s="560">
        <v>7724</v>
      </c>
      <c r="AB38" s="560"/>
      <c r="AC38" s="560"/>
      <c r="AD38" s="560"/>
      <c r="AE38" s="560">
        <v>4252</v>
      </c>
      <c r="AF38" s="560"/>
      <c r="AG38" s="560"/>
      <c r="AH38" s="560"/>
      <c r="AI38" s="560">
        <v>132929</v>
      </c>
      <c r="AJ38" s="560"/>
      <c r="AK38" s="560">
        <v>775653</v>
      </c>
      <c r="AL38" s="560"/>
      <c r="AM38" s="560"/>
      <c r="AN38" s="560"/>
      <c r="AO38" s="561"/>
      <c r="AP38" s="560">
        <v>103893</v>
      </c>
      <c r="AQ38" s="560">
        <v>783661</v>
      </c>
      <c r="AR38" s="560"/>
      <c r="AS38" s="560"/>
      <c r="AT38" s="567"/>
      <c r="AU38" s="568">
        <f t="shared" si="21"/>
        <v>3067504</v>
      </c>
    </row>
    <row r="39" spans="1:47" s="622" customFormat="1" ht="19.5" x14ac:dyDescent="0.35">
      <c r="A39" s="623" t="s">
        <v>163</v>
      </c>
      <c r="B39" s="624" t="s">
        <v>593</v>
      </c>
      <c r="C39" s="625">
        <f>SUM(C33:C38)</f>
        <v>7629240</v>
      </c>
      <c r="D39" s="626">
        <f t="shared" ref="D39:E39" si="23">SUM(D33:D38)</f>
        <v>9704479</v>
      </c>
      <c r="E39" s="627">
        <f t="shared" si="23"/>
        <v>5272364</v>
      </c>
      <c r="F39" s="628">
        <f t="shared" si="3"/>
        <v>0.5432918140170121</v>
      </c>
      <c r="G39" s="616"/>
      <c r="H39" s="617">
        <f t="shared" ref="H39:AU39" si="24">SUM(H33:H38)</f>
        <v>0</v>
      </c>
      <c r="I39" s="618">
        <f t="shared" si="24"/>
        <v>0</v>
      </c>
      <c r="J39" s="618">
        <f t="shared" si="24"/>
        <v>0</v>
      </c>
      <c r="K39" s="618">
        <f t="shared" si="24"/>
        <v>0</v>
      </c>
      <c r="L39" s="618">
        <f t="shared" si="24"/>
        <v>0</v>
      </c>
      <c r="M39" s="618">
        <f t="shared" si="24"/>
        <v>0</v>
      </c>
      <c r="N39" s="618">
        <f t="shared" si="24"/>
        <v>143430</v>
      </c>
      <c r="O39" s="618">
        <f t="shared" si="24"/>
        <v>0</v>
      </c>
      <c r="P39" s="618">
        <f t="shared" si="24"/>
        <v>1254275</v>
      </c>
      <c r="Q39" s="618">
        <f t="shared" si="24"/>
        <v>5800</v>
      </c>
      <c r="R39" s="618">
        <f t="shared" si="24"/>
        <v>0</v>
      </c>
      <c r="S39" s="618">
        <f t="shared" si="24"/>
        <v>869285</v>
      </c>
      <c r="T39" s="618">
        <f t="shared" si="24"/>
        <v>0</v>
      </c>
      <c r="U39" s="618">
        <f t="shared" si="24"/>
        <v>0</v>
      </c>
      <c r="V39" s="618">
        <f t="shared" si="24"/>
        <v>0</v>
      </c>
      <c r="W39" s="618">
        <f t="shared" si="24"/>
        <v>0</v>
      </c>
      <c r="X39" s="618">
        <f t="shared" si="24"/>
        <v>621587</v>
      </c>
      <c r="Y39" s="618">
        <f t="shared" si="24"/>
        <v>0</v>
      </c>
      <c r="Z39" s="618">
        <f t="shared" si="24"/>
        <v>174138</v>
      </c>
      <c r="AA39" s="618">
        <f t="shared" si="24"/>
        <v>7724</v>
      </c>
      <c r="AB39" s="618">
        <f t="shared" si="24"/>
        <v>0</v>
      </c>
      <c r="AC39" s="618">
        <f t="shared" si="24"/>
        <v>0</v>
      </c>
      <c r="AD39" s="618">
        <f t="shared" si="24"/>
        <v>0</v>
      </c>
      <c r="AE39" s="618">
        <f t="shared" si="24"/>
        <v>4252</v>
      </c>
      <c r="AF39" s="618">
        <f t="shared" si="24"/>
        <v>0</v>
      </c>
      <c r="AG39" s="618">
        <f t="shared" si="24"/>
        <v>0</v>
      </c>
      <c r="AH39" s="618">
        <f t="shared" si="24"/>
        <v>82713</v>
      </c>
      <c r="AI39" s="618">
        <f t="shared" si="24"/>
        <v>148909</v>
      </c>
      <c r="AJ39" s="618">
        <f t="shared" si="24"/>
        <v>0</v>
      </c>
      <c r="AK39" s="618">
        <f t="shared" si="24"/>
        <v>838156</v>
      </c>
      <c r="AL39" s="618">
        <f t="shared" si="24"/>
        <v>0</v>
      </c>
      <c r="AM39" s="618">
        <f t="shared" si="24"/>
        <v>0</v>
      </c>
      <c r="AN39" s="618">
        <f t="shared" si="24"/>
        <v>0</v>
      </c>
      <c r="AO39" s="619">
        <f t="shared" si="24"/>
        <v>0</v>
      </c>
      <c r="AP39" s="618">
        <f t="shared" si="24"/>
        <v>281404</v>
      </c>
      <c r="AQ39" s="618">
        <f t="shared" si="24"/>
        <v>840691</v>
      </c>
      <c r="AR39" s="618">
        <f t="shared" si="24"/>
        <v>0</v>
      </c>
      <c r="AS39" s="618">
        <f t="shared" si="24"/>
        <v>0</v>
      </c>
      <c r="AT39" s="620">
        <f t="shared" si="24"/>
        <v>0</v>
      </c>
      <c r="AU39" s="621">
        <f t="shared" si="24"/>
        <v>5272364</v>
      </c>
    </row>
    <row r="40" spans="1:47" s="622" customFormat="1" ht="19.5" x14ac:dyDescent="0.35">
      <c r="A40" s="610" t="s">
        <v>149</v>
      </c>
      <c r="B40" s="611" t="s">
        <v>594</v>
      </c>
      <c r="C40" s="612">
        <f>SUM(C39,C32)</f>
        <v>9629240</v>
      </c>
      <c r="D40" s="613">
        <f t="shared" ref="D40:E40" si="25">SUM(D39,D32)</f>
        <v>11704479</v>
      </c>
      <c r="E40" s="614">
        <f t="shared" si="25"/>
        <v>6524748</v>
      </c>
      <c r="F40" s="615">
        <f t="shared" si="3"/>
        <v>0.55745736311714511</v>
      </c>
      <c r="G40" s="616"/>
      <c r="H40" s="617">
        <f t="shared" ref="H40:AU40" si="26">SUM(H39,H32)</f>
        <v>0</v>
      </c>
      <c r="I40" s="618">
        <f t="shared" si="26"/>
        <v>0</v>
      </c>
      <c r="J40" s="618">
        <f t="shared" si="26"/>
        <v>0</v>
      </c>
      <c r="K40" s="618">
        <f t="shared" si="26"/>
        <v>0</v>
      </c>
      <c r="L40" s="618">
        <f t="shared" si="26"/>
        <v>0</v>
      </c>
      <c r="M40" s="618">
        <f t="shared" si="26"/>
        <v>0</v>
      </c>
      <c r="N40" s="618">
        <f t="shared" si="26"/>
        <v>143430</v>
      </c>
      <c r="O40" s="618">
        <f t="shared" si="26"/>
        <v>0</v>
      </c>
      <c r="P40" s="618">
        <f t="shared" si="26"/>
        <v>1263448</v>
      </c>
      <c r="Q40" s="618">
        <f t="shared" si="26"/>
        <v>460771</v>
      </c>
      <c r="R40" s="618">
        <f t="shared" si="26"/>
        <v>0</v>
      </c>
      <c r="S40" s="618">
        <f t="shared" si="26"/>
        <v>869285</v>
      </c>
      <c r="T40" s="618">
        <f t="shared" si="26"/>
        <v>0</v>
      </c>
      <c r="U40" s="618">
        <f t="shared" si="26"/>
        <v>0</v>
      </c>
      <c r="V40" s="618">
        <f t="shared" si="26"/>
        <v>0</v>
      </c>
      <c r="W40" s="618">
        <f t="shared" si="26"/>
        <v>12087</v>
      </c>
      <c r="X40" s="618">
        <f t="shared" si="26"/>
        <v>634082</v>
      </c>
      <c r="Y40" s="618">
        <f t="shared" si="26"/>
        <v>0</v>
      </c>
      <c r="Z40" s="618">
        <f t="shared" si="26"/>
        <v>176649</v>
      </c>
      <c r="AA40" s="618">
        <f t="shared" si="26"/>
        <v>7724</v>
      </c>
      <c r="AB40" s="618">
        <f t="shared" si="26"/>
        <v>0</v>
      </c>
      <c r="AC40" s="618">
        <f t="shared" si="26"/>
        <v>0</v>
      </c>
      <c r="AD40" s="618">
        <f t="shared" si="26"/>
        <v>3378</v>
      </c>
      <c r="AE40" s="618">
        <f t="shared" si="26"/>
        <v>4252</v>
      </c>
      <c r="AF40" s="618">
        <f t="shared" si="26"/>
        <v>0</v>
      </c>
      <c r="AG40" s="618">
        <f t="shared" si="26"/>
        <v>0</v>
      </c>
      <c r="AH40" s="618">
        <f t="shared" si="26"/>
        <v>82713</v>
      </c>
      <c r="AI40" s="618">
        <f t="shared" si="26"/>
        <v>148909</v>
      </c>
      <c r="AJ40" s="618">
        <f t="shared" si="26"/>
        <v>0</v>
      </c>
      <c r="AK40" s="618">
        <f t="shared" si="26"/>
        <v>838156</v>
      </c>
      <c r="AL40" s="618">
        <f t="shared" si="26"/>
        <v>0</v>
      </c>
      <c r="AM40" s="618">
        <f t="shared" si="26"/>
        <v>0</v>
      </c>
      <c r="AN40" s="618">
        <f t="shared" si="26"/>
        <v>0</v>
      </c>
      <c r="AO40" s="619">
        <f t="shared" si="26"/>
        <v>0</v>
      </c>
      <c r="AP40" s="618">
        <f t="shared" si="26"/>
        <v>888140</v>
      </c>
      <c r="AQ40" s="618">
        <f t="shared" si="26"/>
        <v>991724</v>
      </c>
      <c r="AR40" s="618">
        <f t="shared" si="26"/>
        <v>0</v>
      </c>
      <c r="AS40" s="618">
        <f t="shared" si="26"/>
        <v>0</v>
      </c>
      <c r="AT40" s="620">
        <f t="shared" si="26"/>
        <v>0</v>
      </c>
      <c r="AU40" s="621">
        <f t="shared" si="26"/>
        <v>6524748</v>
      </c>
    </row>
    <row r="41" spans="1:47" s="563" customFormat="1" ht="16.5" x14ac:dyDescent="0.25">
      <c r="A41" s="528" t="s">
        <v>166</v>
      </c>
      <c r="B41" s="569" t="s">
        <v>167</v>
      </c>
      <c r="C41" s="530">
        <v>240000</v>
      </c>
      <c r="D41" s="531">
        <f>C41</f>
        <v>240000</v>
      </c>
      <c r="E41" s="532">
        <f t="shared" ref="E41:E42" si="27">AU41</f>
        <v>180000</v>
      </c>
      <c r="F41" s="565">
        <f t="shared" si="3"/>
        <v>0.75</v>
      </c>
      <c r="G41" s="558"/>
      <c r="H41" s="566"/>
      <c r="I41" s="560"/>
      <c r="J41" s="560"/>
      <c r="K41" s="560"/>
      <c r="L41" s="560"/>
      <c r="M41" s="560"/>
      <c r="N41" s="560"/>
      <c r="O41" s="560"/>
      <c r="P41" s="560"/>
      <c r="Q41" s="560"/>
      <c r="R41" s="560"/>
      <c r="S41" s="560"/>
      <c r="T41" s="560"/>
      <c r="U41" s="560"/>
      <c r="V41" s="560"/>
      <c r="W41" s="560"/>
      <c r="X41" s="560">
        <v>160000</v>
      </c>
      <c r="Y41" s="560"/>
      <c r="Z41" s="560"/>
      <c r="AA41" s="560"/>
      <c r="AB41" s="560"/>
      <c r="AC41" s="560"/>
      <c r="AD41" s="560"/>
      <c r="AE41" s="560"/>
      <c r="AF41" s="560"/>
      <c r="AG41" s="560"/>
      <c r="AH41" s="560"/>
      <c r="AI41" s="560"/>
      <c r="AJ41" s="560"/>
      <c r="AK41" s="560"/>
      <c r="AL41" s="560"/>
      <c r="AM41" s="560"/>
      <c r="AN41" s="560"/>
      <c r="AO41" s="561"/>
      <c r="AP41" s="560"/>
      <c r="AQ41" s="560">
        <v>20000</v>
      </c>
      <c r="AR41" s="560"/>
      <c r="AS41" s="560"/>
      <c r="AT41" s="567"/>
      <c r="AU41" s="568">
        <f t="shared" ref="AU41:AU42" si="28">SUM(H41:AT41)</f>
        <v>180000</v>
      </c>
    </row>
    <row r="42" spans="1:47" s="563" customFormat="1" ht="18" customHeight="1" x14ac:dyDescent="0.25">
      <c r="A42" s="528" t="s">
        <v>168</v>
      </c>
      <c r="B42" s="569" t="s">
        <v>445</v>
      </c>
      <c r="C42" s="530">
        <v>834000</v>
      </c>
      <c r="D42" s="531">
        <f>C42</f>
        <v>834000</v>
      </c>
      <c r="E42" s="532">
        <f t="shared" si="27"/>
        <v>470573</v>
      </c>
      <c r="F42" s="565">
        <f t="shared" si="3"/>
        <v>0.56423621103117505</v>
      </c>
      <c r="G42" s="558"/>
      <c r="H42" s="566"/>
      <c r="I42" s="560"/>
      <c r="J42" s="560"/>
      <c r="K42" s="560"/>
      <c r="L42" s="560"/>
      <c r="M42" s="560"/>
      <c r="N42" s="560"/>
      <c r="O42" s="560"/>
      <c r="P42" s="560">
        <v>38466</v>
      </c>
      <c r="Q42" s="560">
        <v>48</v>
      </c>
      <c r="R42" s="560"/>
      <c r="S42" s="560"/>
      <c r="T42" s="560"/>
      <c r="U42" s="560"/>
      <c r="V42" s="560"/>
      <c r="W42" s="560"/>
      <c r="X42" s="560">
        <v>51099</v>
      </c>
      <c r="Y42" s="560"/>
      <c r="Z42" s="560">
        <v>13214</v>
      </c>
      <c r="AA42" s="560"/>
      <c r="AB42" s="560"/>
      <c r="AC42" s="560"/>
      <c r="AD42" s="560"/>
      <c r="AE42" s="560"/>
      <c r="AF42" s="560"/>
      <c r="AG42" s="560">
        <v>39597</v>
      </c>
      <c r="AH42" s="560">
        <v>75023</v>
      </c>
      <c r="AI42" s="560"/>
      <c r="AJ42" s="560"/>
      <c r="AK42" s="560"/>
      <c r="AL42" s="560"/>
      <c r="AM42" s="560"/>
      <c r="AN42" s="560"/>
      <c r="AO42" s="561"/>
      <c r="AP42" s="560">
        <v>43634</v>
      </c>
      <c r="AQ42" s="560">
        <v>209492</v>
      </c>
      <c r="AR42" s="560"/>
      <c r="AS42" s="560"/>
      <c r="AT42" s="567"/>
      <c r="AU42" s="568">
        <f t="shared" si="28"/>
        <v>470573</v>
      </c>
    </row>
    <row r="43" spans="1:47" s="622" customFormat="1" ht="19.5" x14ac:dyDescent="0.35">
      <c r="A43" s="610" t="s">
        <v>169</v>
      </c>
      <c r="B43" s="611" t="s">
        <v>595</v>
      </c>
      <c r="C43" s="612">
        <f>SUM(C41:C42)</f>
        <v>1074000</v>
      </c>
      <c r="D43" s="613">
        <f>SUM(D41:D42)</f>
        <v>1074000</v>
      </c>
      <c r="E43" s="614">
        <f>SUM(E41:E42)</f>
        <v>650573</v>
      </c>
      <c r="F43" s="615">
        <f t="shared" si="3"/>
        <v>0.60574767225325887</v>
      </c>
      <c r="G43" s="616"/>
      <c r="H43" s="617">
        <f t="shared" ref="H43:AU43" si="29">SUM(H41:H42)</f>
        <v>0</v>
      </c>
      <c r="I43" s="618">
        <f t="shared" si="29"/>
        <v>0</v>
      </c>
      <c r="J43" s="618">
        <f t="shared" si="29"/>
        <v>0</v>
      </c>
      <c r="K43" s="618">
        <f t="shared" si="29"/>
        <v>0</v>
      </c>
      <c r="L43" s="618">
        <f t="shared" si="29"/>
        <v>0</v>
      </c>
      <c r="M43" s="618">
        <f t="shared" si="29"/>
        <v>0</v>
      </c>
      <c r="N43" s="618">
        <f t="shared" si="29"/>
        <v>0</v>
      </c>
      <c r="O43" s="618">
        <f t="shared" si="29"/>
        <v>0</v>
      </c>
      <c r="P43" s="618">
        <f t="shared" si="29"/>
        <v>38466</v>
      </c>
      <c r="Q43" s="618">
        <f t="shared" si="29"/>
        <v>48</v>
      </c>
      <c r="R43" s="618">
        <f t="shared" si="29"/>
        <v>0</v>
      </c>
      <c r="S43" s="618">
        <f t="shared" si="29"/>
        <v>0</v>
      </c>
      <c r="T43" s="618">
        <f t="shared" si="29"/>
        <v>0</v>
      </c>
      <c r="U43" s="618">
        <f t="shared" si="29"/>
        <v>0</v>
      </c>
      <c r="V43" s="618">
        <f t="shared" si="29"/>
        <v>0</v>
      </c>
      <c r="W43" s="618">
        <f t="shared" si="29"/>
        <v>0</v>
      </c>
      <c r="X43" s="618">
        <f t="shared" si="29"/>
        <v>211099</v>
      </c>
      <c r="Y43" s="618">
        <f t="shared" si="29"/>
        <v>0</v>
      </c>
      <c r="Z43" s="618">
        <f t="shared" si="29"/>
        <v>13214</v>
      </c>
      <c r="AA43" s="618">
        <f t="shared" si="29"/>
        <v>0</v>
      </c>
      <c r="AB43" s="618">
        <f t="shared" si="29"/>
        <v>0</v>
      </c>
      <c r="AC43" s="618">
        <f t="shared" si="29"/>
        <v>0</v>
      </c>
      <c r="AD43" s="618">
        <f t="shared" si="29"/>
        <v>0</v>
      </c>
      <c r="AE43" s="618">
        <f t="shared" si="29"/>
        <v>0</v>
      </c>
      <c r="AF43" s="618">
        <f t="shared" si="29"/>
        <v>0</v>
      </c>
      <c r="AG43" s="618">
        <f t="shared" si="29"/>
        <v>39597</v>
      </c>
      <c r="AH43" s="618">
        <f t="shared" si="29"/>
        <v>75023</v>
      </c>
      <c r="AI43" s="618">
        <f t="shared" si="29"/>
        <v>0</v>
      </c>
      <c r="AJ43" s="618">
        <f t="shared" si="29"/>
        <v>0</v>
      </c>
      <c r="AK43" s="618">
        <f t="shared" si="29"/>
        <v>0</v>
      </c>
      <c r="AL43" s="618">
        <f t="shared" si="29"/>
        <v>0</v>
      </c>
      <c r="AM43" s="618">
        <f t="shared" si="29"/>
        <v>0</v>
      </c>
      <c r="AN43" s="618">
        <f t="shared" si="29"/>
        <v>0</v>
      </c>
      <c r="AO43" s="619">
        <f t="shared" si="29"/>
        <v>0</v>
      </c>
      <c r="AP43" s="618">
        <f t="shared" si="29"/>
        <v>43634</v>
      </c>
      <c r="AQ43" s="618">
        <f t="shared" si="29"/>
        <v>229492</v>
      </c>
      <c r="AR43" s="618">
        <f t="shared" si="29"/>
        <v>0</v>
      </c>
      <c r="AS43" s="618">
        <f t="shared" si="29"/>
        <v>0</v>
      </c>
      <c r="AT43" s="620">
        <f t="shared" si="29"/>
        <v>0</v>
      </c>
      <c r="AU43" s="621">
        <f t="shared" si="29"/>
        <v>650573</v>
      </c>
    </row>
    <row r="44" spans="1:47" s="563" customFormat="1" ht="16.5" x14ac:dyDescent="0.25">
      <c r="A44" s="528" t="s">
        <v>170</v>
      </c>
      <c r="B44" s="569" t="s">
        <v>367</v>
      </c>
      <c r="C44" s="530">
        <v>6350000</v>
      </c>
      <c r="D44" s="531">
        <f>C44-1922000</f>
        <v>4428000</v>
      </c>
      <c r="E44" s="532">
        <f t="shared" ref="E44:E50" si="30">AU44</f>
        <v>3398571</v>
      </c>
      <c r="F44" s="565">
        <f t="shared" si="3"/>
        <v>0.76751829268292682</v>
      </c>
      <c r="G44" s="558"/>
      <c r="H44" s="566"/>
      <c r="I44" s="560"/>
      <c r="J44" s="560"/>
      <c r="K44" s="560"/>
      <c r="L44" s="560"/>
      <c r="M44" s="560"/>
      <c r="N44" s="560">
        <v>216995</v>
      </c>
      <c r="O44" s="560"/>
      <c r="P44" s="560">
        <v>41900</v>
      </c>
      <c r="Q44" s="560"/>
      <c r="R44" s="560"/>
      <c r="S44" s="560"/>
      <c r="T44" s="560"/>
      <c r="U44" s="560"/>
      <c r="V44" s="560"/>
      <c r="W44" s="560"/>
      <c r="X44" s="560">
        <v>647056</v>
      </c>
      <c r="Y44" s="560"/>
      <c r="Z44" s="560">
        <v>27938</v>
      </c>
      <c r="AA44" s="560">
        <v>1140655</v>
      </c>
      <c r="AB44" s="560"/>
      <c r="AC44" s="560"/>
      <c r="AD44" s="560"/>
      <c r="AE44" s="560"/>
      <c r="AF44" s="560"/>
      <c r="AG44" s="560">
        <v>751706</v>
      </c>
      <c r="AH44" s="560"/>
      <c r="AI44" s="560"/>
      <c r="AJ44" s="560"/>
      <c r="AK44" s="560"/>
      <c r="AL44" s="560"/>
      <c r="AM44" s="560"/>
      <c r="AN44" s="560"/>
      <c r="AO44" s="561"/>
      <c r="AP44" s="560">
        <v>464958</v>
      </c>
      <c r="AQ44" s="560">
        <v>107363</v>
      </c>
      <c r="AR44" s="560"/>
      <c r="AS44" s="560"/>
      <c r="AT44" s="567"/>
      <c r="AU44" s="568">
        <f t="shared" ref="AU44:AU50" si="31">SUM(H44:AT44)</f>
        <v>3398571</v>
      </c>
    </row>
    <row r="45" spans="1:47" s="563" customFormat="1" ht="16.5" x14ac:dyDescent="0.25">
      <c r="A45" s="528" t="s">
        <v>597</v>
      </c>
      <c r="B45" s="569" t="s">
        <v>180</v>
      </c>
      <c r="C45" s="530">
        <v>6808000</v>
      </c>
      <c r="D45" s="531">
        <f t="shared" ref="D45" si="32">C45</f>
        <v>6808000</v>
      </c>
      <c r="E45" s="532">
        <f t="shared" si="30"/>
        <v>5361820</v>
      </c>
      <c r="F45" s="565">
        <f t="shared" si="3"/>
        <v>0.78757638072855463</v>
      </c>
      <c r="G45" s="558"/>
      <c r="H45" s="566"/>
      <c r="I45" s="560"/>
      <c r="J45" s="560"/>
      <c r="K45" s="560"/>
      <c r="L45" s="560"/>
      <c r="M45" s="560">
        <v>5361820</v>
      </c>
      <c r="N45" s="560"/>
      <c r="O45" s="560"/>
      <c r="P45" s="560"/>
      <c r="Q45" s="560"/>
      <c r="R45" s="560"/>
      <c r="S45" s="560"/>
      <c r="T45" s="560"/>
      <c r="U45" s="560"/>
      <c r="V45" s="560"/>
      <c r="W45" s="560"/>
      <c r="X45" s="560"/>
      <c r="Y45" s="560"/>
      <c r="Z45" s="560"/>
      <c r="AA45" s="560"/>
      <c r="AB45" s="560"/>
      <c r="AC45" s="560"/>
      <c r="AD45" s="560"/>
      <c r="AE45" s="560"/>
      <c r="AF45" s="560"/>
      <c r="AG45" s="560"/>
      <c r="AH45" s="560"/>
      <c r="AI45" s="560"/>
      <c r="AJ45" s="560"/>
      <c r="AK45" s="560"/>
      <c r="AL45" s="560"/>
      <c r="AM45" s="560"/>
      <c r="AN45" s="560"/>
      <c r="AO45" s="561"/>
      <c r="AP45" s="560"/>
      <c r="AQ45" s="560"/>
      <c r="AR45" s="560"/>
      <c r="AS45" s="560"/>
      <c r="AT45" s="567"/>
      <c r="AU45" s="568">
        <f t="shared" si="31"/>
        <v>5361820</v>
      </c>
    </row>
    <row r="46" spans="1:47" s="563" customFormat="1" ht="16.5" x14ac:dyDescent="0.25">
      <c r="A46" s="528" t="s">
        <v>171</v>
      </c>
      <c r="B46" s="569" t="s">
        <v>446</v>
      </c>
      <c r="C46" s="530">
        <v>160200</v>
      </c>
      <c r="D46" s="531">
        <f>C46+250605+18000</f>
        <v>428805</v>
      </c>
      <c r="E46" s="532">
        <f t="shared" si="30"/>
        <v>245030</v>
      </c>
      <c r="F46" s="565">
        <f t="shared" si="3"/>
        <v>0.57142523991091521</v>
      </c>
      <c r="G46" s="558"/>
      <c r="H46" s="566"/>
      <c r="I46" s="560"/>
      <c r="J46" s="560"/>
      <c r="K46" s="560"/>
      <c r="L46" s="560"/>
      <c r="M46" s="560"/>
      <c r="N46" s="560"/>
      <c r="O46" s="560"/>
      <c r="P46" s="560"/>
      <c r="Q46" s="560"/>
      <c r="R46" s="560"/>
      <c r="S46" s="560"/>
      <c r="T46" s="560"/>
      <c r="U46" s="560"/>
      <c r="V46" s="560"/>
      <c r="W46" s="560"/>
      <c r="X46" s="560">
        <v>147380</v>
      </c>
      <c r="Y46" s="560"/>
      <c r="Z46" s="560">
        <v>97650</v>
      </c>
      <c r="AA46" s="560"/>
      <c r="AB46" s="560"/>
      <c r="AC46" s="560"/>
      <c r="AD46" s="560"/>
      <c r="AE46" s="560"/>
      <c r="AF46" s="560"/>
      <c r="AG46" s="560"/>
      <c r="AH46" s="560"/>
      <c r="AI46" s="560"/>
      <c r="AJ46" s="560"/>
      <c r="AK46" s="560"/>
      <c r="AL46" s="560"/>
      <c r="AM46" s="560"/>
      <c r="AN46" s="560"/>
      <c r="AO46" s="561"/>
      <c r="AP46" s="560"/>
      <c r="AQ46" s="560"/>
      <c r="AR46" s="560"/>
      <c r="AS46" s="560"/>
      <c r="AT46" s="567"/>
      <c r="AU46" s="568">
        <f t="shared" si="31"/>
        <v>245030</v>
      </c>
    </row>
    <row r="47" spans="1:47" s="563" customFormat="1" ht="16.5" x14ac:dyDescent="0.25">
      <c r="A47" s="528" t="s">
        <v>173</v>
      </c>
      <c r="B47" s="569" t="s">
        <v>174</v>
      </c>
      <c r="C47" s="530">
        <v>6134000</v>
      </c>
      <c r="D47" s="531">
        <f>C47+30000-18000</f>
        <v>6146000</v>
      </c>
      <c r="E47" s="532">
        <f t="shared" si="30"/>
        <v>1550317</v>
      </c>
      <c r="F47" s="565">
        <f t="shared" si="3"/>
        <v>0.25224812886430198</v>
      </c>
      <c r="G47" s="558"/>
      <c r="H47" s="566"/>
      <c r="I47" s="560"/>
      <c r="J47" s="560">
        <v>181118</v>
      </c>
      <c r="K47" s="560"/>
      <c r="L47" s="560"/>
      <c r="M47" s="560"/>
      <c r="N47" s="560">
        <v>108500</v>
      </c>
      <c r="O47" s="560"/>
      <c r="P47" s="560">
        <v>186302</v>
      </c>
      <c r="Q47" s="560"/>
      <c r="R47" s="560"/>
      <c r="S47" s="560"/>
      <c r="T47" s="560"/>
      <c r="U47" s="560"/>
      <c r="V47" s="560"/>
      <c r="W47" s="560"/>
      <c r="X47" s="560">
        <v>89625</v>
      </c>
      <c r="Y47" s="560"/>
      <c r="Z47" s="560"/>
      <c r="AA47" s="560">
        <v>745250</v>
      </c>
      <c r="AB47" s="560"/>
      <c r="AC47" s="560"/>
      <c r="AD47" s="560"/>
      <c r="AE47" s="560"/>
      <c r="AF47" s="560"/>
      <c r="AG47" s="560"/>
      <c r="AH47" s="560"/>
      <c r="AI47" s="560">
        <v>135000</v>
      </c>
      <c r="AJ47" s="560"/>
      <c r="AK47" s="560"/>
      <c r="AL47" s="560"/>
      <c r="AM47" s="560"/>
      <c r="AN47" s="560"/>
      <c r="AO47" s="561"/>
      <c r="AP47" s="560">
        <v>4510</v>
      </c>
      <c r="AQ47" s="560">
        <v>100012</v>
      </c>
      <c r="AR47" s="560"/>
      <c r="AS47" s="560"/>
      <c r="AT47" s="567"/>
      <c r="AU47" s="568">
        <f t="shared" si="31"/>
        <v>1550317</v>
      </c>
    </row>
    <row r="48" spans="1:47" s="563" customFormat="1" ht="16.5" x14ac:dyDescent="0.25">
      <c r="A48" s="528" t="s">
        <v>175</v>
      </c>
      <c r="B48" s="569" t="s">
        <v>176</v>
      </c>
      <c r="C48" s="530">
        <v>0</v>
      </c>
      <c r="D48" s="531">
        <f>C48+2922000+30000</f>
        <v>2952000</v>
      </c>
      <c r="E48" s="532">
        <f t="shared" si="30"/>
        <v>1999762</v>
      </c>
      <c r="F48" s="565"/>
      <c r="G48" s="558"/>
      <c r="H48" s="566"/>
      <c r="I48" s="560"/>
      <c r="J48" s="560"/>
      <c r="K48" s="560"/>
      <c r="L48" s="560"/>
      <c r="M48" s="560"/>
      <c r="N48" s="560"/>
      <c r="O48" s="560"/>
      <c r="P48" s="560"/>
      <c r="Q48" s="560"/>
      <c r="R48" s="560"/>
      <c r="S48" s="560"/>
      <c r="T48" s="560"/>
      <c r="U48" s="560"/>
      <c r="V48" s="560"/>
      <c r="W48" s="560"/>
      <c r="X48" s="560"/>
      <c r="Y48" s="560"/>
      <c r="Z48" s="560"/>
      <c r="AA48" s="560"/>
      <c r="AB48" s="560"/>
      <c r="AC48" s="560"/>
      <c r="AD48" s="560"/>
      <c r="AE48" s="560"/>
      <c r="AF48" s="560"/>
      <c r="AG48" s="560">
        <v>1128116</v>
      </c>
      <c r="AH48" s="560">
        <v>841646</v>
      </c>
      <c r="AI48" s="560"/>
      <c r="AJ48" s="560"/>
      <c r="AK48" s="560"/>
      <c r="AL48" s="560"/>
      <c r="AM48" s="560"/>
      <c r="AN48" s="560"/>
      <c r="AO48" s="561"/>
      <c r="AP48" s="560"/>
      <c r="AQ48" s="560">
        <v>30000</v>
      </c>
      <c r="AR48" s="560"/>
      <c r="AS48" s="560"/>
      <c r="AT48" s="567"/>
      <c r="AU48" s="568">
        <f t="shared" si="31"/>
        <v>1999762</v>
      </c>
    </row>
    <row r="49" spans="1:47" s="563" customFormat="1" ht="16.5" x14ac:dyDescent="0.25">
      <c r="A49" s="528" t="s">
        <v>177</v>
      </c>
      <c r="B49" s="569" t="s">
        <v>448</v>
      </c>
      <c r="C49" s="530">
        <v>615000</v>
      </c>
      <c r="D49" s="531">
        <f>C49+500000</f>
        <v>1115000</v>
      </c>
      <c r="E49" s="532">
        <f t="shared" si="30"/>
        <v>656481</v>
      </c>
      <c r="F49" s="565">
        <f t="shared" si="3"/>
        <v>0.58877219730941699</v>
      </c>
      <c r="G49" s="558"/>
      <c r="H49" s="566"/>
      <c r="I49" s="560"/>
      <c r="J49" s="560"/>
      <c r="K49" s="560"/>
      <c r="L49" s="560"/>
      <c r="M49" s="560"/>
      <c r="N49" s="560">
        <v>67500</v>
      </c>
      <c r="O49" s="560"/>
      <c r="P49" s="560"/>
      <c r="Q49" s="560">
        <v>200000</v>
      </c>
      <c r="R49" s="560"/>
      <c r="S49" s="560"/>
      <c r="T49" s="560"/>
      <c r="U49" s="560"/>
      <c r="V49" s="560"/>
      <c r="W49" s="560"/>
      <c r="X49" s="560"/>
      <c r="Y49" s="560"/>
      <c r="Z49" s="560"/>
      <c r="AA49" s="560"/>
      <c r="AB49" s="560"/>
      <c r="AC49" s="560"/>
      <c r="AD49" s="560"/>
      <c r="AE49" s="560"/>
      <c r="AF49" s="560"/>
      <c r="AG49" s="560"/>
      <c r="AH49" s="560"/>
      <c r="AI49" s="560"/>
      <c r="AJ49" s="560"/>
      <c r="AK49" s="560"/>
      <c r="AL49" s="560"/>
      <c r="AM49" s="560"/>
      <c r="AN49" s="560"/>
      <c r="AO49" s="561"/>
      <c r="AP49" s="560">
        <v>100000</v>
      </c>
      <c r="AQ49" s="560">
        <v>288981</v>
      </c>
      <c r="AR49" s="560"/>
      <c r="AS49" s="560"/>
      <c r="AT49" s="567"/>
      <c r="AU49" s="568">
        <f t="shared" si="31"/>
        <v>656481</v>
      </c>
    </row>
    <row r="50" spans="1:47" s="582" customFormat="1" ht="33" x14ac:dyDescent="0.2">
      <c r="A50" s="523" t="s">
        <v>178</v>
      </c>
      <c r="B50" s="583" t="s">
        <v>596</v>
      </c>
      <c r="C50" s="525">
        <v>20308490</v>
      </c>
      <c r="D50" s="526">
        <f>C50+450000-500000+250000+500000+60400-30000+2306913</f>
        <v>23345803</v>
      </c>
      <c r="E50" s="527">
        <f t="shared" si="30"/>
        <v>20624579</v>
      </c>
      <c r="F50" s="576">
        <f t="shared" si="3"/>
        <v>0.88343840646646421</v>
      </c>
      <c r="G50" s="577"/>
      <c r="H50" s="578"/>
      <c r="I50" s="579">
        <v>1548382</v>
      </c>
      <c r="J50" s="579"/>
      <c r="K50" s="579">
        <v>270000</v>
      </c>
      <c r="L50" s="579">
        <v>194000</v>
      </c>
      <c r="M50" s="579"/>
      <c r="N50" s="579">
        <v>5577525</v>
      </c>
      <c r="O50" s="579"/>
      <c r="P50" s="579">
        <v>487137</v>
      </c>
      <c r="Q50" s="579"/>
      <c r="R50" s="579"/>
      <c r="S50" s="579">
        <v>240000</v>
      </c>
      <c r="T50" s="579">
        <v>104000</v>
      </c>
      <c r="U50" s="579"/>
      <c r="V50" s="579"/>
      <c r="W50" s="579"/>
      <c r="X50" s="579">
        <v>2489062</v>
      </c>
      <c r="Y50" s="579"/>
      <c r="Z50" s="579">
        <v>763595</v>
      </c>
      <c r="AA50" s="579">
        <v>1620000</v>
      </c>
      <c r="AB50" s="579"/>
      <c r="AC50" s="579"/>
      <c r="AD50" s="579"/>
      <c r="AE50" s="579">
        <v>250000</v>
      </c>
      <c r="AF50" s="579"/>
      <c r="AG50" s="579"/>
      <c r="AH50" s="579">
        <v>10394</v>
      </c>
      <c r="AI50" s="579">
        <v>144000</v>
      </c>
      <c r="AJ50" s="579"/>
      <c r="AK50" s="579">
        <v>3350944</v>
      </c>
      <c r="AL50" s="579"/>
      <c r="AM50" s="579"/>
      <c r="AN50" s="579"/>
      <c r="AO50" s="579"/>
      <c r="AP50" s="579">
        <v>170814</v>
      </c>
      <c r="AQ50" s="579">
        <v>3403889</v>
      </c>
      <c r="AR50" s="579"/>
      <c r="AS50" s="578"/>
      <c r="AT50" s="580">
        <v>837</v>
      </c>
      <c r="AU50" s="581">
        <f t="shared" si="31"/>
        <v>20624579</v>
      </c>
    </row>
    <row r="51" spans="1:47" s="622" customFormat="1" ht="19.5" x14ac:dyDescent="0.35">
      <c r="A51" s="610" t="s">
        <v>601</v>
      </c>
      <c r="B51" s="611" t="s">
        <v>598</v>
      </c>
      <c r="C51" s="612">
        <f>SUM(C44:C50)</f>
        <v>40375690</v>
      </c>
      <c r="D51" s="613">
        <f t="shared" ref="D51:E51" si="33">SUM(D44:D50)</f>
        <v>45223608</v>
      </c>
      <c r="E51" s="614">
        <f t="shared" si="33"/>
        <v>33836560</v>
      </c>
      <c r="F51" s="615">
        <f t="shared" si="3"/>
        <v>0.74820567169253727</v>
      </c>
      <c r="G51" s="616"/>
      <c r="H51" s="617">
        <f t="shared" ref="H51:AU51" si="34">SUM(H44:H50)</f>
        <v>0</v>
      </c>
      <c r="I51" s="618">
        <f t="shared" si="34"/>
        <v>1548382</v>
      </c>
      <c r="J51" s="618">
        <f t="shared" si="34"/>
        <v>181118</v>
      </c>
      <c r="K51" s="618">
        <f t="shared" si="34"/>
        <v>270000</v>
      </c>
      <c r="L51" s="618">
        <f t="shared" si="34"/>
        <v>194000</v>
      </c>
      <c r="M51" s="618">
        <f t="shared" si="34"/>
        <v>5361820</v>
      </c>
      <c r="N51" s="618">
        <f t="shared" si="34"/>
        <v>5970520</v>
      </c>
      <c r="O51" s="618">
        <f t="shared" si="34"/>
        <v>0</v>
      </c>
      <c r="P51" s="618">
        <f t="shared" si="34"/>
        <v>715339</v>
      </c>
      <c r="Q51" s="618">
        <f t="shared" si="34"/>
        <v>200000</v>
      </c>
      <c r="R51" s="618">
        <f t="shared" si="34"/>
        <v>0</v>
      </c>
      <c r="S51" s="618">
        <f t="shared" si="34"/>
        <v>240000</v>
      </c>
      <c r="T51" s="618">
        <f t="shared" si="34"/>
        <v>104000</v>
      </c>
      <c r="U51" s="618">
        <f t="shared" si="34"/>
        <v>0</v>
      </c>
      <c r="V51" s="618">
        <f t="shared" si="34"/>
        <v>0</v>
      </c>
      <c r="W51" s="618">
        <f t="shared" si="34"/>
        <v>0</v>
      </c>
      <c r="X51" s="618">
        <f t="shared" si="34"/>
        <v>3373123</v>
      </c>
      <c r="Y51" s="618">
        <f t="shared" si="34"/>
        <v>0</v>
      </c>
      <c r="Z51" s="618">
        <f t="shared" si="34"/>
        <v>889183</v>
      </c>
      <c r="AA51" s="618">
        <f t="shared" si="34"/>
        <v>3505905</v>
      </c>
      <c r="AB51" s="618">
        <f t="shared" si="34"/>
        <v>0</v>
      </c>
      <c r="AC51" s="618">
        <f t="shared" si="34"/>
        <v>0</v>
      </c>
      <c r="AD51" s="618">
        <f t="shared" si="34"/>
        <v>0</v>
      </c>
      <c r="AE51" s="618">
        <f t="shared" si="34"/>
        <v>250000</v>
      </c>
      <c r="AF51" s="618">
        <f t="shared" si="34"/>
        <v>0</v>
      </c>
      <c r="AG51" s="618">
        <f t="shared" si="34"/>
        <v>1879822</v>
      </c>
      <c r="AH51" s="618">
        <f t="shared" si="34"/>
        <v>852040</v>
      </c>
      <c r="AI51" s="618">
        <f t="shared" si="34"/>
        <v>279000</v>
      </c>
      <c r="AJ51" s="618">
        <f t="shared" si="34"/>
        <v>0</v>
      </c>
      <c r="AK51" s="618">
        <f t="shared" si="34"/>
        <v>3350944</v>
      </c>
      <c r="AL51" s="618">
        <f t="shared" si="34"/>
        <v>0</v>
      </c>
      <c r="AM51" s="618">
        <f t="shared" si="34"/>
        <v>0</v>
      </c>
      <c r="AN51" s="618">
        <f t="shared" si="34"/>
        <v>0</v>
      </c>
      <c r="AO51" s="619">
        <f t="shared" si="34"/>
        <v>0</v>
      </c>
      <c r="AP51" s="618">
        <f t="shared" si="34"/>
        <v>740282</v>
      </c>
      <c r="AQ51" s="618">
        <f t="shared" si="34"/>
        <v>3930245</v>
      </c>
      <c r="AR51" s="618">
        <f t="shared" si="34"/>
        <v>0</v>
      </c>
      <c r="AS51" s="617">
        <f t="shared" si="34"/>
        <v>0</v>
      </c>
      <c r="AT51" s="620">
        <f t="shared" si="34"/>
        <v>837</v>
      </c>
      <c r="AU51" s="621">
        <f t="shared" si="34"/>
        <v>33836560</v>
      </c>
    </row>
    <row r="52" spans="1:47" s="563" customFormat="1" ht="16.5" x14ac:dyDescent="0.25">
      <c r="A52" s="528" t="s">
        <v>181</v>
      </c>
      <c r="B52" s="569" t="s">
        <v>184</v>
      </c>
      <c r="C52" s="530">
        <v>250000</v>
      </c>
      <c r="D52" s="531">
        <f>C52</f>
        <v>250000</v>
      </c>
      <c r="E52" s="532">
        <f t="shared" ref="E52:E53" si="35">AU52</f>
        <v>88795</v>
      </c>
      <c r="F52" s="565">
        <f t="shared" si="3"/>
        <v>0.35518</v>
      </c>
      <c r="G52" s="558"/>
      <c r="H52" s="566"/>
      <c r="I52" s="560"/>
      <c r="J52" s="560"/>
      <c r="K52" s="560"/>
      <c r="L52" s="560"/>
      <c r="M52" s="560"/>
      <c r="N52" s="560"/>
      <c r="O52" s="560"/>
      <c r="P52" s="560"/>
      <c r="Q52" s="560"/>
      <c r="R52" s="560"/>
      <c r="S52" s="560"/>
      <c r="T52" s="560"/>
      <c r="U52" s="560"/>
      <c r="V52" s="560"/>
      <c r="W52" s="560"/>
      <c r="X52" s="560">
        <v>88795</v>
      </c>
      <c r="Y52" s="560"/>
      <c r="Z52" s="560"/>
      <c r="AA52" s="560"/>
      <c r="AB52" s="560"/>
      <c r="AC52" s="560"/>
      <c r="AD52" s="560"/>
      <c r="AE52" s="560"/>
      <c r="AF52" s="560"/>
      <c r="AG52" s="560"/>
      <c r="AH52" s="560"/>
      <c r="AI52" s="560"/>
      <c r="AJ52" s="560"/>
      <c r="AK52" s="560"/>
      <c r="AL52" s="560"/>
      <c r="AM52" s="560"/>
      <c r="AN52" s="560"/>
      <c r="AO52" s="561"/>
      <c r="AP52" s="560"/>
      <c r="AQ52" s="560"/>
      <c r="AR52" s="560"/>
      <c r="AS52" s="566"/>
      <c r="AT52" s="567"/>
      <c r="AU52" s="568">
        <f t="shared" ref="AU52:AU53" si="36">SUM(H52:AT52)</f>
        <v>88795</v>
      </c>
    </row>
    <row r="53" spans="1:47" s="563" customFormat="1" ht="16.5" x14ac:dyDescent="0.25">
      <c r="A53" s="528" t="s">
        <v>182</v>
      </c>
      <c r="B53" s="569" t="s">
        <v>185</v>
      </c>
      <c r="C53" s="530">
        <v>50000</v>
      </c>
      <c r="D53" s="531">
        <f>C53</f>
        <v>50000</v>
      </c>
      <c r="E53" s="532">
        <f t="shared" si="35"/>
        <v>9381</v>
      </c>
      <c r="F53" s="565">
        <f t="shared" si="3"/>
        <v>0.18762000000000001</v>
      </c>
      <c r="G53" s="558"/>
      <c r="H53" s="566"/>
      <c r="I53" s="560"/>
      <c r="J53" s="560"/>
      <c r="K53" s="560"/>
      <c r="L53" s="560"/>
      <c r="M53" s="560"/>
      <c r="N53" s="560"/>
      <c r="O53" s="560"/>
      <c r="P53" s="560"/>
      <c r="Q53" s="560"/>
      <c r="R53" s="560"/>
      <c r="S53" s="560"/>
      <c r="T53" s="560"/>
      <c r="U53" s="560"/>
      <c r="V53" s="560"/>
      <c r="W53" s="560"/>
      <c r="X53" s="560"/>
      <c r="Y53" s="560"/>
      <c r="Z53" s="560"/>
      <c r="AA53" s="560"/>
      <c r="AB53" s="560"/>
      <c r="AC53" s="560"/>
      <c r="AD53" s="560"/>
      <c r="AE53" s="560"/>
      <c r="AF53" s="560"/>
      <c r="AG53" s="560"/>
      <c r="AH53" s="560"/>
      <c r="AI53" s="560"/>
      <c r="AJ53" s="560"/>
      <c r="AK53" s="560"/>
      <c r="AL53" s="560"/>
      <c r="AM53" s="560"/>
      <c r="AN53" s="560"/>
      <c r="AO53" s="561"/>
      <c r="AP53" s="560"/>
      <c r="AQ53" s="560">
        <v>9381</v>
      </c>
      <c r="AR53" s="560"/>
      <c r="AS53" s="566"/>
      <c r="AT53" s="567"/>
      <c r="AU53" s="568">
        <f t="shared" si="36"/>
        <v>9381</v>
      </c>
    </row>
    <row r="54" spans="1:47" s="622" customFormat="1" ht="19.5" x14ac:dyDescent="0.35">
      <c r="A54" s="610" t="s">
        <v>186</v>
      </c>
      <c r="B54" s="611" t="s">
        <v>599</v>
      </c>
      <c r="C54" s="612">
        <f>SUM(C52:C53)</f>
        <v>300000</v>
      </c>
      <c r="D54" s="613">
        <f t="shared" ref="D54:E54" si="37">SUM(D52:D53)</f>
        <v>300000</v>
      </c>
      <c r="E54" s="614">
        <f t="shared" si="37"/>
        <v>98176</v>
      </c>
      <c r="F54" s="615">
        <f t="shared" si="3"/>
        <v>0.32725333333333334</v>
      </c>
      <c r="G54" s="616"/>
      <c r="H54" s="617">
        <f t="shared" ref="H54:AU54" si="38">SUM(H52:H53)</f>
        <v>0</v>
      </c>
      <c r="I54" s="618">
        <f t="shared" si="38"/>
        <v>0</v>
      </c>
      <c r="J54" s="618">
        <f t="shared" si="38"/>
        <v>0</v>
      </c>
      <c r="K54" s="618">
        <f t="shared" si="38"/>
        <v>0</v>
      </c>
      <c r="L54" s="618">
        <f t="shared" si="38"/>
        <v>0</v>
      </c>
      <c r="M54" s="618">
        <f t="shared" si="38"/>
        <v>0</v>
      </c>
      <c r="N54" s="618">
        <f t="shared" si="38"/>
        <v>0</v>
      </c>
      <c r="O54" s="618">
        <f t="shared" si="38"/>
        <v>0</v>
      </c>
      <c r="P54" s="618">
        <f t="shared" si="38"/>
        <v>0</v>
      </c>
      <c r="Q54" s="618">
        <f t="shared" si="38"/>
        <v>0</v>
      </c>
      <c r="R54" s="618">
        <f t="shared" si="38"/>
        <v>0</v>
      </c>
      <c r="S54" s="618">
        <f t="shared" si="38"/>
        <v>0</v>
      </c>
      <c r="T54" s="618">
        <f t="shared" si="38"/>
        <v>0</v>
      </c>
      <c r="U54" s="618">
        <f t="shared" si="38"/>
        <v>0</v>
      </c>
      <c r="V54" s="618">
        <f t="shared" si="38"/>
        <v>0</v>
      </c>
      <c r="W54" s="618">
        <f t="shared" si="38"/>
        <v>0</v>
      </c>
      <c r="X54" s="618">
        <f t="shared" si="38"/>
        <v>88795</v>
      </c>
      <c r="Y54" s="618">
        <f t="shared" si="38"/>
        <v>0</v>
      </c>
      <c r="Z54" s="618">
        <f t="shared" si="38"/>
        <v>0</v>
      </c>
      <c r="AA54" s="618">
        <f t="shared" si="38"/>
        <v>0</v>
      </c>
      <c r="AB54" s="618">
        <f t="shared" si="38"/>
        <v>0</v>
      </c>
      <c r="AC54" s="618">
        <f t="shared" si="38"/>
        <v>0</v>
      </c>
      <c r="AD54" s="618">
        <f t="shared" si="38"/>
        <v>0</v>
      </c>
      <c r="AE54" s="618">
        <f t="shared" si="38"/>
        <v>0</v>
      </c>
      <c r="AF54" s="618">
        <f t="shared" si="38"/>
        <v>0</v>
      </c>
      <c r="AG54" s="618">
        <f t="shared" si="38"/>
        <v>0</v>
      </c>
      <c r="AH54" s="618">
        <f t="shared" si="38"/>
        <v>0</v>
      </c>
      <c r="AI54" s="618">
        <f t="shared" si="38"/>
        <v>0</v>
      </c>
      <c r="AJ54" s="618">
        <f t="shared" si="38"/>
        <v>0</v>
      </c>
      <c r="AK54" s="618">
        <f t="shared" si="38"/>
        <v>0</v>
      </c>
      <c r="AL54" s="618">
        <f t="shared" si="38"/>
        <v>0</v>
      </c>
      <c r="AM54" s="618">
        <f t="shared" si="38"/>
        <v>0</v>
      </c>
      <c r="AN54" s="618">
        <f t="shared" si="38"/>
        <v>0</v>
      </c>
      <c r="AO54" s="619">
        <f t="shared" si="38"/>
        <v>0</v>
      </c>
      <c r="AP54" s="618">
        <f t="shared" si="38"/>
        <v>0</v>
      </c>
      <c r="AQ54" s="618">
        <f t="shared" si="38"/>
        <v>9381</v>
      </c>
      <c r="AR54" s="618">
        <f t="shared" si="38"/>
        <v>0</v>
      </c>
      <c r="AS54" s="617">
        <f t="shared" si="38"/>
        <v>0</v>
      </c>
      <c r="AT54" s="620">
        <f t="shared" si="38"/>
        <v>0</v>
      </c>
      <c r="AU54" s="621">
        <f t="shared" si="38"/>
        <v>98176</v>
      </c>
    </row>
    <row r="55" spans="1:47" s="563" customFormat="1" ht="16.5" x14ac:dyDescent="0.25">
      <c r="A55" s="528" t="s">
        <v>187</v>
      </c>
      <c r="B55" s="569" t="s">
        <v>192</v>
      </c>
      <c r="C55" s="530">
        <v>12908766</v>
      </c>
      <c r="D55" s="531">
        <f>C55+289120</f>
        <v>13197886</v>
      </c>
      <c r="E55" s="532">
        <f t="shared" ref="E55:E59" si="39">AU55</f>
        <v>7676968</v>
      </c>
      <c r="F55" s="565">
        <f t="shared" si="3"/>
        <v>0.58168164204479411</v>
      </c>
      <c r="G55" s="558"/>
      <c r="H55" s="566"/>
      <c r="I55" s="560">
        <v>402388</v>
      </c>
      <c r="J55" s="560">
        <v>48902</v>
      </c>
      <c r="K55" s="560">
        <v>72900</v>
      </c>
      <c r="L55" s="560">
        <v>52380</v>
      </c>
      <c r="M55" s="560">
        <v>1447692</v>
      </c>
      <c r="N55" s="560">
        <v>865075</v>
      </c>
      <c r="O55" s="560"/>
      <c r="P55" s="560">
        <v>527798</v>
      </c>
      <c r="Q55" s="560">
        <v>29580</v>
      </c>
      <c r="R55" s="560"/>
      <c r="S55" s="560">
        <v>299507</v>
      </c>
      <c r="T55" s="560">
        <v>28080</v>
      </c>
      <c r="U55" s="560"/>
      <c r="V55" s="560"/>
      <c r="W55" s="560">
        <v>603</v>
      </c>
      <c r="X55" s="560">
        <v>598021</v>
      </c>
      <c r="Y55" s="560"/>
      <c r="Z55" s="560">
        <v>288451</v>
      </c>
      <c r="AA55" s="560">
        <v>488254</v>
      </c>
      <c r="AB55" s="560"/>
      <c r="AC55" s="560"/>
      <c r="AD55" s="560">
        <v>912</v>
      </c>
      <c r="AE55" s="560">
        <v>68648</v>
      </c>
      <c r="AF55" s="560"/>
      <c r="AG55" s="560">
        <v>511442</v>
      </c>
      <c r="AH55" s="560">
        <v>271075</v>
      </c>
      <c r="AI55" s="560">
        <v>115536</v>
      </c>
      <c r="AJ55" s="560"/>
      <c r="AK55" s="560">
        <v>594381</v>
      </c>
      <c r="AL55" s="560"/>
      <c r="AM55" s="560">
        <v>22994</v>
      </c>
      <c r="AN55" s="560"/>
      <c r="AO55" s="561"/>
      <c r="AP55" s="560">
        <v>305761</v>
      </c>
      <c r="AQ55" s="560">
        <v>636588</v>
      </c>
      <c r="AR55" s="560"/>
      <c r="AS55" s="566"/>
      <c r="AT55" s="567"/>
      <c r="AU55" s="568">
        <f t="shared" ref="AU55:AU59" si="40">SUM(H55:AT55)</f>
        <v>7676968</v>
      </c>
    </row>
    <row r="56" spans="1:47" s="563" customFormat="1" ht="16.5" x14ac:dyDescent="0.25">
      <c r="A56" s="528" t="s">
        <v>188</v>
      </c>
      <c r="B56" s="569" t="s">
        <v>687</v>
      </c>
      <c r="C56" s="530">
        <v>0</v>
      </c>
      <c r="D56" s="531">
        <f>C56+5670000+601</f>
        <v>5670601</v>
      </c>
      <c r="E56" s="532">
        <f t="shared" si="39"/>
        <v>5670000</v>
      </c>
      <c r="F56" s="565">
        <f t="shared" si="3"/>
        <v>0.99989401476139828</v>
      </c>
      <c r="G56" s="558"/>
      <c r="H56" s="566"/>
      <c r="I56" s="560"/>
      <c r="J56" s="560"/>
      <c r="K56" s="560"/>
      <c r="L56" s="560"/>
      <c r="M56" s="560"/>
      <c r="N56" s="560"/>
      <c r="O56" s="560"/>
      <c r="P56" s="560"/>
      <c r="Q56" s="560"/>
      <c r="R56" s="560"/>
      <c r="S56" s="560"/>
      <c r="T56" s="560"/>
      <c r="U56" s="560"/>
      <c r="V56" s="560"/>
      <c r="W56" s="560"/>
      <c r="X56" s="560"/>
      <c r="Y56" s="560"/>
      <c r="Z56" s="560"/>
      <c r="AA56" s="560"/>
      <c r="AB56" s="560"/>
      <c r="AC56" s="560"/>
      <c r="AD56" s="560"/>
      <c r="AE56" s="560"/>
      <c r="AF56" s="560"/>
      <c r="AG56" s="560"/>
      <c r="AH56" s="560"/>
      <c r="AI56" s="560"/>
      <c r="AJ56" s="560"/>
      <c r="AK56" s="560"/>
      <c r="AL56" s="560"/>
      <c r="AM56" s="560"/>
      <c r="AN56" s="560"/>
      <c r="AO56" s="561"/>
      <c r="AP56" s="560"/>
      <c r="AQ56" s="560">
        <v>5670000</v>
      </c>
      <c r="AR56" s="560"/>
      <c r="AS56" s="566"/>
      <c r="AT56" s="567"/>
      <c r="AU56" s="568">
        <f t="shared" si="40"/>
        <v>5670000</v>
      </c>
    </row>
    <row r="57" spans="1:47" s="563" customFormat="1" ht="16.5" x14ac:dyDescent="0.25">
      <c r="A57" s="528" t="s">
        <v>189</v>
      </c>
      <c r="B57" s="569" t="s">
        <v>194</v>
      </c>
      <c r="C57" s="530">
        <v>0</v>
      </c>
      <c r="D57" s="531">
        <f t="shared" ref="D57:D58" si="41">C57</f>
        <v>0</v>
      </c>
      <c r="E57" s="532">
        <f t="shared" si="39"/>
        <v>0</v>
      </c>
      <c r="F57" s="565"/>
      <c r="G57" s="558"/>
      <c r="H57" s="566"/>
      <c r="I57" s="560"/>
      <c r="J57" s="560"/>
      <c r="K57" s="560"/>
      <c r="L57" s="560"/>
      <c r="M57" s="560"/>
      <c r="N57" s="560"/>
      <c r="O57" s="560"/>
      <c r="P57" s="560"/>
      <c r="Q57" s="560"/>
      <c r="R57" s="560"/>
      <c r="S57" s="560"/>
      <c r="T57" s="560"/>
      <c r="U57" s="560"/>
      <c r="V57" s="560"/>
      <c r="W57" s="560"/>
      <c r="X57" s="560"/>
      <c r="Y57" s="560"/>
      <c r="Z57" s="560"/>
      <c r="AA57" s="560"/>
      <c r="AB57" s="560"/>
      <c r="AC57" s="560"/>
      <c r="AD57" s="560"/>
      <c r="AE57" s="560"/>
      <c r="AF57" s="560"/>
      <c r="AG57" s="560"/>
      <c r="AH57" s="560"/>
      <c r="AI57" s="560"/>
      <c r="AJ57" s="560"/>
      <c r="AK57" s="560"/>
      <c r="AL57" s="560"/>
      <c r="AM57" s="560"/>
      <c r="AN57" s="560"/>
      <c r="AO57" s="561"/>
      <c r="AP57" s="560"/>
      <c r="AQ57" s="560"/>
      <c r="AR57" s="560"/>
      <c r="AS57" s="566"/>
      <c r="AT57" s="567"/>
      <c r="AU57" s="568">
        <f t="shared" si="40"/>
        <v>0</v>
      </c>
    </row>
    <row r="58" spans="1:47" s="563" customFormat="1" ht="16.5" x14ac:dyDescent="0.25">
      <c r="A58" s="528" t="s">
        <v>190</v>
      </c>
      <c r="B58" s="569" t="s">
        <v>195</v>
      </c>
      <c r="C58" s="530">
        <v>0</v>
      </c>
      <c r="D58" s="531">
        <f t="shared" si="41"/>
        <v>0</v>
      </c>
      <c r="E58" s="532">
        <f t="shared" si="39"/>
        <v>0</v>
      </c>
      <c r="F58" s="565"/>
      <c r="G58" s="558"/>
      <c r="H58" s="566"/>
      <c r="I58" s="560"/>
      <c r="J58" s="560"/>
      <c r="K58" s="560"/>
      <c r="L58" s="560"/>
      <c r="M58" s="560"/>
      <c r="N58" s="560"/>
      <c r="O58" s="560"/>
      <c r="P58" s="560"/>
      <c r="Q58" s="560"/>
      <c r="R58" s="560"/>
      <c r="S58" s="560"/>
      <c r="T58" s="560"/>
      <c r="U58" s="560"/>
      <c r="V58" s="560"/>
      <c r="W58" s="560"/>
      <c r="X58" s="560"/>
      <c r="Y58" s="560"/>
      <c r="Z58" s="560"/>
      <c r="AA58" s="560"/>
      <c r="AB58" s="560"/>
      <c r="AC58" s="560"/>
      <c r="AD58" s="560"/>
      <c r="AE58" s="560"/>
      <c r="AF58" s="560"/>
      <c r="AG58" s="560"/>
      <c r="AH58" s="560"/>
      <c r="AI58" s="560"/>
      <c r="AJ58" s="560"/>
      <c r="AK58" s="560"/>
      <c r="AL58" s="560"/>
      <c r="AM58" s="560"/>
      <c r="AN58" s="560"/>
      <c r="AO58" s="561"/>
      <c r="AP58" s="560"/>
      <c r="AQ58" s="560"/>
      <c r="AR58" s="560"/>
      <c r="AS58" s="566"/>
      <c r="AT58" s="567"/>
      <c r="AU58" s="568">
        <f t="shared" si="40"/>
        <v>0</v>
      </c>
    </row>
    <row r="59" spans="1:47" s="563" customFormat="1" ht="16.5" x14ac:dyDescent="0.25">
      <c r="A59" s="528" t="s">
        <v>191</v>
      </c>
      <c r="B59" s="569" t="s">
        <v>196</v>
      </c>
      <c r="C59" s="530">
        <v>500000</v>
      </c>
      <c r="D59" s="531">
        <f>C59-450000+1000000</f>
        <v>1050000</v>
      </c>
      <c r="E59" s="532">
        <f t="shared" si="39"/>
        <v>1036907</v>
      </c>
      <c r="F59" s="565">
        <f t="shared" si="3"/>
        <v>0.98753047619047618</v>
      </c>
      <c r="G59" s="558"/>
      <c r="H59" s="566"/>
      <c r="I59" s="560"/>
      <c r="J59" s="560"/>
      <c r="K59" s="560"/>
      <c r="L59" s="560"/>
      <c r="M59" s="560"/>
      <c r="N59" s="560">
        <v>1000000</v>
      </c>
      <c r="O59" s="560"/>
      <c r="P59" s="560"/>
      <c r="Q59" s="560"/>
      <c r="R59" s="560"/>
      <c r="S59" s="560"/>
      <c r="T59" s="560"/>
      <c r="U59" s="560"/>
      <c r="V59" s="560"/>
      <c r="W59" s="560"/>
      <c r="X59" s="560">
        <v>3</v>
      </c>
      <c r="Y59" s="560"/>
      <c r="Z59" s="560"/>
      <c r="AA59" s="560"/>
      <c r="AB59" s="560"/>
      <c r="AC59" s="560"/>
      <c r="AD59" s="560"/>
      <c r="AE59" s="560"/>
      <c r="AF59" s="560"/>
      <c r="AG59" s="560"/>
      <c r="AH59" s="560"/>
      <c r="AI59" s="560"/>
      <c r="AJ59" s="560"/>
      <c r="AK59" s="560">
        <v>17</v>
      </c>
      <c r="AL59" s="560"/>
      <c r="AM59" s="560"/>
      <c r="AN59" s="560"/>
      <c r="AO59" s="561"/>
      <c r="AP59" s="560"/>
      <c r="AQ59" s="560">
        <v>36887</v>
      </c>
      <c r="AR59" s="560"/>
      <c r="AS59" s="566"/>
      <c r="AT59" s="567"/>
      <c r="AU59" s="568">
        <f t="shared" si="40"/>
        <v>1036907</v>
      </c>
    </row>
    <row r="60" spans="1:47" s="622" customFormat="1" ht="19.5" x14ac:dyDescent="0.35">
      <c r="A60" s="610" t="s">
        <v>197</v>
      </c>
      <c r="B60" s="611" t="s">
        <v>600</v>
      </c>
      <c r="C60" s="612">
        <f>SUM(C55:C59)</f>
        <v>13408766</v>
      </c>
      <c r="D60" s="613">
        <f t="shared" ref="D60:E60" si="42">SUM(D55:D59)</f>
        <v>19918487</v>
      </c>
      <c r="E60" s="614">
        <f t="shared" si="42"/>
        <v>14383875</v>
      </c>
      <c r="F60" s="615">
        <f t="shared" si="3"/>
        <v>0.72213692736802748</v>
      </c>
      <c r="G60" s="616"/>
      <c r="H60" s="617">
        <f t="shared" ref="H60:AU60" si="43">SUM(H55:H59)</f>
        <v>0</v>
      </c>
      <c r="I60" s="618">
        <f t="shared" si="43"/>
        <v>402388</v>
      </c>
      <c r="J60" s="618">
        <f t="shared" si="43"/>
        <v>48902</v>
      </c>
      <c r="K60" s="618">
        <f t="shared" si="43"/>
        <v>72900</v>
      </c>
      <c r="L60" s="618">
        <f t="shared" si="43"/>
        <v>52380</v>
      </c>
      <c r="M60" s="618">
        <f t="shared" si="43"/>
        <v>1447692</v>
      </c>
      <c r="N60" s="618">
        <f t="shared" si="43"/>
        <v>1865075</v>
      </c>
      <c r="O60" s="618">
        <f t="shared" si="43"/>
        <v>0</v>
      </c>
      <c r="P60" s="618">
        <f t="shared" si="43"/>
        <v>527798</v>
      </c>
      <c r="Q60" s="618">
        <f t="shared" si="43"/>
        <v>29580</v>
      </c>
      <c r="R60" s="618">
        <f t="shared" si="43"/>
        <v>0</v>
      </c>
      <c r="S60" s="618">
        <f t="shared" si="43"/>
        <v>299507</v>
      </c>
      <c r="T60" s="618">
        <f t="shared" si="43"/>
        <v>28080</v>
      </c>
      <c r="U60" s="618">
        <f t="shared" si="43"/>
        <v>0</v>
      </c>
      <c r="V60" s="618">
        <f t="shared" si="43"/>
        <v>0</v>
      </c>
      <c r="W60" s="618">
        <f t="shared" si="43"/>
        <v>603</v>
      </c>
      <c r="X60" s="618">
        <f t="shared" si="43"/>
        <v>598024</v>
      </c>
      <c r="Y60" s="618">
        <f t="shared" si="43"/>
        <v>0</v>
      </c>
      <c r="Z60" s="618">
        <f t="shared" si="43"/>
        <v>288451</v>
      </c>
      <c r="AA60" s="618">
        <f t="shared" si="43"/>
        <v>488254</v>
      </c>
      <c r="AB60" s="618">
        <f t="shared" si="43"/>
        <v>0</v>
      </c>
      <c r="AC60" s="618">
        <f t="shared" si="43"/>
        <v>0</v>
      </c>
      <c r="AD60" s="618">
        <f t="shared" si="43"/>
        <v>912</v>
      </c>
      <c r="AE60" s="618">
        <f t="shared" si="43"/>
        <v>68648</v>
      </c>
      <c r="AF60" s="618">
        <f t="shared" si="43"/>
        <v>0</v>
      </c>
      <c r="AG60" s="618">
        <f t="shared" si="43"/>
        <v>511442</v>
      </c>
      <c r="AH60" s="618">
        <f t="shared" si="43"/>
        <v>271075</v>
      </c>
      <c r="AI60" s="618">
        <f t="shared" si="43"/>
        <v>115536</v>
      </c>
      <c r="AJ60" s="618">
        <f t="shared" si="43"/>
        <v>0</v>
      </c>
      <c r="AK60" s="618">
        <f t="shared" si="43"/>
        <v>594398</v>
      </c>
      <c r="AL60" s="618">
        <f t="shared" si="43"/>
        <v>0</v>
      </c>
      <c r="AM60" s="618">
        <f t="shared" si="43"/>
        <v>22994</v>
      </c>
      <c r="AN60" s="618">
        <f t="shared" si="43"/>
        <v>0</v>
      </c>
      <c r="AO60" s="619">
        <f t="shared" si="43"/>
        <v>0</v>
      </c>
      <c r="AP60" s="618">
        <f t="shared" si="43"/>
        <v>305761</v>
      </c>
      <c r="AQ60" s="618">
        <f t="shared" si="43"/>
        <v>6343475</v>
      </c>
      <c r="AR60" s="618">
        <f t="shared" si="43"/>
        <v>0</v>
      </c>
      <c r="AS60" s="617">
        <f t="shared" si="43"/>
        <v>0</v>
      </c>
      <c r="AT60" s="620">
        <f t="shared" si="43"/>
        <v>0</v>
      </c>
      <c r="AU60" s="621">
        <f t="shared" si="43"/>
        <v>14383875</v>
      </c>
    </row>
    <row r="61" spans="1:47" s="647" customFormat="1" ht="19.5" x14ac:dyDescent="0.3">
      <c r="A61" s="635" t="s">
        <v>198</v>
      </c>
      <c r="B61" s="636" t="s">
        <v>199</v>
      </c>
      <c r="C61" s="637">
        <f>SUM(C40,C43,C51,C54,C60)</f>
        <v>64787696</v>
      </c>
      <c r="D61" s="638">
        <f>D40+D43+D51+D54+D60</f>
        <v>78220574</v>
      </c>
      <c r="E61" s="639">
        <f>E40+E43+E51+E54+E60</f>
        <v>55493932</v>
      </c>
      <c r="F61" s="640">
        <f t="shared" si="3"/>
        <v>0.70945442052112784</v>
      </c>
      <c r="G61" s="641"/>
      <c r="H61" s="642">
        <f t="shared" ref="H61:AU61" si="44">H40+H43+H51+H54+H60</f>
        <v>0</v>
      </c>
      <c r="I61" s="643">
        <f t="shared" si="44"/>
        <v>1950770</v>
      </c>
      <c r="J61" s="643">
        <f t="shared" si="44"/>
        <v>230020</v>
      </c>
      <c r="K61" s="643">
        <f t="shared" si="44"/>
        <v>342900</v>
      </c>
      <c r="L61" s="643">
        <f t="shared" si="44"/>
        <v>246380</v>
      </c>
      <c r="M61" s="643">
        <f t="shared" si="44"/>
        <v>6809512</v>
      </c>
      <c r="N61" s="643">
        <f t="shared" si="44"/>
        <v>7979025</v>
      </c>
      <c r="O61" s="643">
        <f t="shared" si="44"/>
        <v>0</v>
      </c>
      <c r="P61" s="643">
        <f t="shared" si="44"/>
        <v>2545051</v>
      </c>
      <c r="Q61" s="643">
        <f t="shared" si="44"/>
        <v>690399</v>
      </c>
      <c r="R61" s="643">
        <f t="shared" si="44"/>
        <v>0</v>
      </c>
      <c r="S61" s="643">
        <f t="shared" si="44"/>
        <v>1408792</v>
      </c>
      <c r="T61" s="643">
        <f t="shared" si="44"/>
        <v>132080</v>
      </c>
      <c r="U61" s="643">
        <f t="shared" si="44"/>
        <v>0</v>
      </c>
      <c r="V61" s="643">
        <f t="shared" si="44"/>
        <v>0</v>
      </c>
      <c r="W61" s="643">
        <f t="shared" si="44"/>
        <v>12690</v>
      </c>
      <c r="X61" s="643">
        <f t="shared" si="44"/>
        <v>4905123</v>
      </c>
      <c r="Y61" s="643">
        <f t="shared" si="44"/>
        <v>0</v>
      </c>
      <c r="Z61" s="643">
        <f t="shared" si="44"/>
        <v>1367497</v>
      </c>
      <c r="AA61" s="643">
        <f t="shared" si="44"/>
        <v>4001883</v>
      </c>
      <c r="AB61" s="643">
        <f t="shared" si="44"/>
        <v>0</v>
      </c>
      <c r="AC61" s="643">
        <f t="shared" si="44"/>
        <v>0</v>
      </c>
      <c r="AD61" s="643">
        <f t="shared" si="44"/>
        <v>4290</v>
      </c>
      <c r="AE61" s="643">
        <f t="shared" si="44"/>
        <v>322900</v>
      </c>
      <c r="AF61" s="643">
        <f t="shared" si="44"/>
        <v>0</v>
      </c>
      <c r="AG61" s="643">
        <f t="shared" si="44"/>
        <v>2430861</v>
      </c>
      <c r="AH61" s="643">
        <f t="shared" si="44"/>
        <v>1280851</v>
      </c>
      <c r="AI61" s="643">
        <f t="shared" si="44"/>
        <v>543445</v>
      </c>
      <c r="AJ61" s="643">
        <f t="shared" si="44"/>
        <v>0</v>
      </c>
      <c r="AK61" s="643">
        <f t="shared" si="44"/>
        <v>4783498</v>
      </c>
      <c r="AL61" s="643">
        <f t="shared" si="44"/>
        <v>0</v>
      </c>
      <c r="AM61" s="643">
        <f t="shared" si="44"/>
        <v>22994</v>
      </c>
      <c r="AN61" s="643">
        <f t="shared" si="44"/>
        <v>0</v>
      </c>
      <c r="AO61" s="644">
        <f t="shared" si="44"/>
        <v>0</v>
      </c>
      <c r="AP61" s="643">
        <f t="shared" si="44"/>
        <v>1977817</v>
      </c>
      <c r="AQ61" s="643">
        <f t="shared" si="44"/>
        <v>11504317</v>
      </c>
      <c r="AR61" s="643">
        <f t="shared" si="44"/>
        <v>0</v>
      </c>
      <c r="AS61" s="642">
        <f t="shared" si="44"/>
        <v>0</v>
      </c>
      <c r="AT61" s="645">
        <f t="shared" si="44"/>
        <v>837</v>
      </c>
      <c r="AU61" s="646">
        <f t="shared" si="44"/>
        <v>55493932</v>
      </c>
    </row>
    <row r="62" spans="1:47" s="647" customFormat="1" ht="19.5" x14ac:dyDescent="0.3">
      <c r="A62" s="635" t="s">
        <v>215</v>
      </c>
      <c r="B62" s="636" t="s">
        <v>253</v>
      </c>
      <c r="C62" s="637">
        <f>'Szoc.jutt. - 8. mell.'!C28</f>
        <v>7000800</v>
      </c>
      <c r="D62" s="638">
        <f>'Szoc.jutt. - 8. mell.'!D28</f>
        <v>4696800</v>
      </c>
      <c r="E62" s="639">
        <f t="shared" ref="E62:E67" si="45">AU62</f>
        <v>3237476</v>
      </c>
      <c r="F62" s="640">
        <f t="shared" si="3"/>
        <v>0.6892939873956736</v>
      </c>
      <c r="G62" s="648"/>
      <c r="H62" s="642"/>
      <c r="I62" s="643"/>
      <c r="J62" s="643"/>
      <c r="K62" s="643"/>
      <c r="L62" s="643"/>
      <c r="M62" s="643"/>
      <c r="N62" s="643"/>
      <c r="O62" s="643"/>
      <c r="P62" s="643"/>
      <c r="Q62" s="643"/>
      <c r="R62" s="643"/>
      <c r="S62" s="643">
        <v>3057476</v>
      </c>
      <c r="T62" s="643"/>
      <c r="U62" s="643">
        <v>180000</v>
      </c>
      <c r="V62" s="643"/>
      <c r="W62" s="643"/>
      <c r="X62" s="643"/>
      <c r="Y62" s="643"/>
      <c r="Z62" s="643"/>
      <c r="AA62" s="643"/>
      <c r="AB62" s="643"/>
      <c r="AC62" s="643"/>
      <c r="AD62" s="643"/>
      <c r="AE62" s="643"/>
      <c r="AF62" s="643"/>
      <c r="AG62" s="643"/>
      <c r="AH62" s="643"/>
      <c r="AI62" s="643"/>
      <c r="AJ62" s="643"/>
      <c r="AK62" s="643"/>
      <c r="AL62" s="643"/>
      <c r="AM62" s="643"/>
      <c r="AN62" s="643"/>
      <c r="AO62" s="644"/>
      <c r="AP62" s="643"/>
      <c r="AQ62" s="643"/>
      <c r="AR62" s="643"/>
      <c r="AS62" s="642"/>
      <c r="AT62" s="645"/>
      <c r="AU62" s="646">
        <f t="shared" ref="AU62:AU67" si="46">SUM(H62:AT62)</f>
        <v>3237476</v>
      </c>
    </row>
    <row r="63" spans="1:47" s="563" customFormat="1" ht="16.5" x14ac:dyDescent="0.25">
      <c r="A63" s="584" t="s">
        <v>216</v>
      </c>
      <c r="B63" s="569" t="s">
        <v>217</v>
      </c>
      <c r="C63" s="458">
        <f>'Pénze.átadás - 7. mell.'!C5</f>
        <v>18163453</v>
      </c>
      <c r="D63" s="174">
        <f>'Pénze.átadás - 7. mell.'!D5</f>
        <v>18163453</v>
      </c>
      <c r="E63" s="436">
        <f t="shared" si="45"/>
        <v>14088923</v>
      </c>
      <c r="F63" s="585">
        <f t="shared" si="3"/>
        <v>0.7756742619368685</v>
      </c>
      <c r="G63" s="586"/>
      <c r="H63" s="566"/>
      <c r="I63" s="560"/>
      <c r="J63" s="560"/>
      <c r="K63" s="560"/>
      <c r="L63" s="560"/>
      <c r="M63" s="560"/>
      <c r="N63" s="560"/>
      <c r="O63" s="560"/>
      <c r="P63" s="560"/>
      <c r="Q63" s="560"/>
      <c r="R63" s="560"/>
      <c r="S63" s="560"/>
      <c r="T63" s="560"/>
      <c r="U63" s="560"/>
      <c r="V63" s="560"/>
      <c r="W63" s="560"/>
      <c r="X63" s="560"/>
      <c r="Y63" s="560"/>
      <c r="Z63" s="560"/>
      <c r="AA63" s="560"/>
      <c r="AB63" s="560"/>
      <c r="AC63" s="560"/>
      <c r="AD63" s="560"/>
      <c r="AE63" s="560"/>
      <c r="AF63" s="560"/>
      <c r="AG63" s="560"/>
      <c r="AH63" s="560"/>
      <c r="AI63" s="560"/>
      <c r="AJ63" s="560"/>
      <c r="AK63" s="560"/>
      <c r="AL63" s="560"/>
      <c r="AM63" s="560"/>
      <c r="AN63" s="560"/>
      <c r="AO63" s="561">
        <v>14088923</v>
      </c>
      <c r="AP63" s="560"/>
      <c r="AQ63" s="560"/>
      <c r="AR63" s="560"/>
      <c r="AS63" s="566"/>
      <c r="AT63" s="567"/>
      <c r="AU63" s="568">
        <f t="shared" si="46"/>
        <v>14088923</v>
      </c>
    </row>
    <row r="64" spans="1:47" s="563" customFormat="1" ht="16.5" x14ac:dyDescent="0.25">
      <c r="A64" s="584" t="s">
        <v>218</v>
      </c>
      <c r="B64" s="569" t="s">
        <v>250</v>
      </c>
      <c r="C64" s="458">
        <f>'Pénze.átadás - 7. mell.'!C11</f>
        <v>21152748</v>
      </c>
      <c r="D64" s="174">
        <f>'Pénze.átadás - 7. mell.'!D11</f>
        <v>21152748</v>
      </c>
      <c r="E64" s="436">
        <f t="shared" si="45"/>
        <v>11707090</v>
      </c>
      <c r="F64" s="585">
        <f t="shared" si="3"/>
        <v>0.55345480407557446</v>
      </c>
      <c r="G64" s="586"/>
      <c r="H64" s="566"/>
      <c r="I64" s="560">
        <v>256360</v>
      </c>
      <c r="J64" s="560"/>
      <c r="K64" s="560"/>
      <c r="L64" s="560"/>
      <c r="M64" s="560"/>
      <c r="N64" s="560"/>
      <c r="O64" s="560"/>
      <c r="P64" s="560"/>
      <c r="Q64" s="560"/>
      <c r="R64" s="560"/>
      <c r="S64" s="560"/>
      <c r="T64" s="560"/>
      <c r="U64" s="560"/>
      <c r="V64" s="560"/>
      <c r="W64" s="560"/>
      <c r="X64" s="560"/>
      <c r="Y64" s="560"/>
      <c r="Z64" s="560"/>
      <c r="AA64" s="560"/>
      <c r="AB64" s="560"/>
      <c r="AC64" s="560"/>
      <c r="AD64" s="560"/>
      <c r="AE64" s="560"/>
      <c r="AF64" s="560"/>
      <c r="AG64" s="560"/>
      <c r="AH64" s="560"/>
      <c r="AI64" s="560"/>
      <c r="AJ64" s="560"/>
      <c r="AK64" s="560"/>
      <c r="AL64" s="560"/>
      <c r="AM64" s="560"/>
      <c r="AN64" s="560">
        <v>9411838</v>
      </c>
      <c r="AO64" s="561"/>
      <c r="AP64" s="560"/>
      <c r="AQ64" s="560">
        <v>2038892</v>
      </c>
      <c r="AR64" s="560"/>
      <c r="AS64" s="566"/>
      <c r="AT64" s="567"/>
      <c r="AU64" s="568">
        <f t="shared" si="46"/>
        <v>11707090</v>
      </c>
    </row>
    <row r="65" spans="1:47" s="563" customFormat="1" ht="16.5" x14ac:dyDescent="0.25">
      <c r="A65" s="584" t="s">
        <v>220</v>
      </c>
      <c r="B65" s="587" t="s">
        <v>251</v>
      </c>
      <c r="C65" s="458">
        <f>'Pénze.átadás - 7. mell.'!C12</f>
        <v>0</v>
      </c>
      <c r="D65" s="174">
        <f>'Pénze.átadás - 7. mell.'!D12</f>
        <v>0</v>
      </c>
      <c r="E65" s="436">
        <f t="shared" si="45"/>
        <v>0</v>
      </c>
      <c r="F65" s="585"/>
      <c r="G65" s="586"/>
      <c r="H65" s="566"/>
      <c r="I65" s="560"/>
      <c r="J65" s="560"/>
      <c r="K65" s="560"/>
      <c r="L65" s="560"/>
      <c r="M65" s="560"/>
      <c r="N65" s="560"/>
      <c r="O65" s="560"/>
      <c r="P65" s="560"/>
      <c r="Q65" s="560"/>
      <c r="R65" s="560"/>
      <c r="S65" s="560"/>
      <c r="T65" s="560"/>
      <c r="U65" s="560"/>
      <c r="V65" s="560"/>
      <c r="W65" s="560"/>
      <c r="X65" s="560"/>
      <c r="Y65" s="560"/>
      <c r="Z65" s="560"/>
      <c r="AA65" s="560"/>
      <c r="AB65" s="560"/>
      <c r="AC65" s="560"/>
      <c r="AD65" s="560"/>
      <c r="AE65" s="560"/>
      <c r="AF65" s="560"/>
      <c r="AG65" s="560"/>
      <c r="AH65" s="560"/>
      <c r="AI65" s="560"/>
      <c r="AJ65" s="560"/>
      <c r="AK65" s="560"/>
      <c r="AL65" s="560"/>
      <c r="AM65" s="560"/>
      <c r="AN65" s="560"/>
      <c r="AO65" s="561"/>
      <c r="AP65" s="560"/>
      <c r="AQ65" s="560"/>
      <c r="AR65" s="560"/>
      <c r="AS65" s="566"/>
      <c r="AT65" s="567"/>
      <c r="AU65" s="568">
        <f t="shared" si="46"/>
        <v>0</v>
      </c>
    </row>
    <row r="66" spans="1:47" s="563" customFormat="1" ht="16.5" x14ac:dyDescent="0.25">
      <c r="A66" s="584" t="s">
        <v>223</v>
      </c>
      <c r="B66" s="569" t="s">
        <v>252</v>
      </c>
      <c r="C66" s="458">
        <f>'Pénze.átadás - 7. mell.'!C29</f>
        <v>15246654</v>
      </c>
      <c r="D66" s="174">
        <f>'Pénze.átadás - 7. mell.'!D29</f>
        <v>15083154</v>
      </c>
      <c r="E66" s="436">
        <f t="shared" si="45"/>
        <v>10504705</v>
      </c>
      <c r="F66" s="585">
        <f t="shared" si="3"/>
        <v>0.69645281086435895</v>
      </c>
      <c r="G66" s="588"/>
      <c r="H66" s="566"/>
      <c r="I66" s="560"/>
      <c r="J66" s="560"/>
      <c r="K66" s="560"/>
      <c r="L66" s="560"/>
      <c r="M66" s="560"/>
      <c r="N66" s="560"/>
      <c r="O66" s="560"/>
      <c r="P66" s="560"/>
      <c r="Q66" s="560"/>
      <c r="R66" s="560"/>
      <c r="S66" s="560"/>
      <c r="T66" s="560"/>
      <c r="U66" s="560"/>
      <c r="V66" s="560"/>
      <c r="W66" s="560"/>
      <c r="X66" s="560"/>
      <c r="Y66" s="560">
        <v>1434841</v>
      </c>
      <c r="Z66" s="560"/>
      <c r="AA66" s="560"/>
      <c r="AB66" s="560">
        <v>3906696</v>
      </c>
      <c r="AC66" s="560"/>
      <c r="AD66" s="560"/>
      <c r="AE66" s="560">
        <v>2100000</v>
      </c>
      <c r="AF66" s="560"/>
      <c r="AG66" s="560"/>
      <c r="AH66" s="560"/>
      <c r="AI66" s="560"/>
      <c r="AJ66" s="560"/>
      <c r="AK66" s="560">
        <v>154000</v>
      </c>
      <c r="AL66" s="560"/>
      <c r="AM66" s="560"/>
      <c r="AN66" s="560">
        <v>25000</v>
      </c>
      <c r="AO66" s="561"/>
      <c r="AP66" s="560"/>
      <c r="AQ66" s="560">
        <v>2884168</v>
      </c>
      <c r="AR66" s="560"/>
      <c r="AS66" s="566"/>
      <c r="AT66" s="567"/>
      <c r="AU66" s="568">
        <f t="shared" si="46"/>
        <v>10504705</v>
      </c>
    </row>
    <row r="67" spans="1:47" s="563" customFormat="1" ht="16.5" x14ac:dyDescent="0.25">
      <c r="A67" s="584" t="s">
        <v>578</v>
      </c>
      <c r="B67" s="569" t="s">
        <v>224</v>
      </c>
      <c r="C67" s="458">
        <f>'Pénze.átadás - 7. mell.'!C36</f>
        <v>52314000</v>
      </c>
      <c r="D67" s="174">
        <f>'Pénze.átadás - 7. mell.'!D36</f>
        <v>40609201</v>
      </c>
      <c r="E67" s="436">
        <f t="shared" si="45"/>
        <v>0</v>
      </c>
      <c r="F67" s="585">
        <f t="shared" si="3"/>
        <v>0</v>
      </c>
      <c r="G67" s="586"/>
      <c r="H67" s="566"/>
      <c r="I67" s="560"/>
      <c r="J67" s="560"/>
      <c r="K67" s="560"/>
      <c r="L67" s="560"/>
      <c r="M67" s="560"/>
      <c r="N67" s="560"/>
      <c r="O67" s="560"/>
      <c r="P67" s="560"/>
      <c r="Q67" s="560"/>
      <c r="R67" s="560"/>
      <c r="S67" s="560"/>
      <c r="T67" s="560"/>
      <c r="U67" s="560"/>
      <c r="V67" s="560"/>
      <c r="W67" s="560"/>
      <c r="X67" s="560"/>
      <c r="Y67" s="560"/>
      <c r="Z67" s="560"/>
      <c r="AA67" s="560"/>
      <c r="AB67" s="560"/>
      <c r="AC67" s="560"/>
      <c r="AD67" s="560"/>
      <c r="AE67" s="560"/>
      <c r="AF67" s="560"/>
      <c r="AG67" s="560"/>
      <c r="AH67" s="560"/>
      <c r="AI67" s="560"/>
      <c r="AJ67" s="560"/>
      <c r="AK67" s="560"/>
      <c r="AL67" s="560"/>
      <c r="AM67" s="560"/>
      <c r="AN67" s="560"/>
      <c r="AO67" s="561"/>
      <c r="AP67" s="560"/>
      <c r="AQ67" s="560"/>
      <c r="AR67" s="560"/>
      <c r="AS67" s="566"/>
      <c r="AT67" s="567"/>
      <c r="AU67" s="568">
        <f t="shared" si="46"/>
        <v>0</v>
      </c>
    </row>
    <row r="68" spans="1:47" s="647" customFormat="1" ht="19.5" x14ac:dyDescent="0.3">
      <c r="A68" s="635" t="s">
        <v>225</v>
      </c>
      <c r="B68" s="636" t="s">
        <v>226</v>
      </c>
      <c r="C68" s="637">
        <f>SUM(C63:C67)</f>
        <v>106876855</v>
      </c>
      <c r="D68" s="638">
        <f t="shared" ref="D68:E68" si="47">SUM(D63:D67)</f>
        <v>95008556</v>
      </c>
      <c r="E68" s="639">
        <f t="shared" si="47"/>
        <v>36300718</v>
      </c>
      <c r="F68" s="640">
        <f t="shared" si="3"/>
        <v>0.38207840986447578</v>
      </c>
      <c r="G68" s="649"/>
      <c r="H68" s="642">
        <f t="shared" ref="H68:AU68" si="48">SUM(H63:H67)</f>
        <v>0</v>
      </c>
      <c r="I68" s="650">
        <f t="shared" si="48"/>
        <v>256360</v>
      </c>
      <c r="J68" s="650">
        <f t="shared" si="48"/>
        <v>0</v>
      </c>
      <c r="K68" s="650">
        <f t="shared" si="48"/>
        <v>0</v>
      </c>
      <c r="L68" s="650">
        <f t="shared" si="48"/>
        <v>0</v>
      </c>
      <c r="M68" s="650">
        <f t="shared" si="48"/>
        <v>0</v>
      </c>
      <c r="N68" s="650">
        <f t="shared" si="48"/>
        <v>0</v>
      </c>
      <c r="O68" s="650">
        <f t="shared" si="48"/>
        <v>0</v>
      </c>
      <c r="P68" s="650">
        <f t="shared" si="48"/>
        <v>0</v>
      </c>
      <c r="Q68" s="650">
        <f t="shared" si="48"/>
        <v>0</v>
      </c>
      <c r="R68" s="650">
        <f t="shared" si="48"/>
        <v>0</v>
      </c>
      <c r="S68" s="650">
        <f t="shared" si="48"/>
        <v>0</v>
      </c>
      <c r="T68" s="650">
        <f t="shared" si="48"/>
        <v>0</v>
      </c>
      <c r="U68" s="650">
        <f t="shared" si="48"/>
        <v>0</v>
      </c>
      <c r="V68" s="650">
        <f t="shared" si="48"/>
        <v>0</v>
      </c>
      <c r="W68" s="650">
        <f t="shared" si="48"/>
        <v>0</v>
      </c>
      <c r="X68" s="650">
        <f t="shared" si="48"/>
        <v>0</v>
      </c>
      <c r="Y68" s="650">
        <f t="shared" si="48"/>
        <v>1434841</v>
      </c>
      <c r="Z68" s="650">
        <f t="shared" si="48"/>
        <v>0</v>
      </c>
      <c r="AA68" s="650">
        <f t="shared" si="48"/>
        <v>0</v>
      </c>
      <c r="AB68" s="650">
        <f t="shared" si="48"/>
        <v>3906696</v>
      </c>
      <c r="AC68" s="650">
        <f t="shared" si="48"/>
        <v>0</v>
      </c>
      <c r="AD68" s="650">
        <f t="shared" si="48"/>
        <v>0</v>
      </c>
      <c r="AE68" s="650">
        <f t="shared" si="48"/>
        <v>2100000</v>
      </c>
      <c r="AF68" s="650">
        <f t="shared" si="48"/>
        <v>0</v>
      </c>
      <c r="AG68" s="650">
        <f t="shared" si="48"/>
        <v>0</v>
      </c>
      <c r="AH68" s="650">
        <f t="shared" si="48"/>
        <v>0</v>
      </c>
      <c r="AI68" s="650">
        <f t="shared" si="48"/>
        <v>0</v>
      </c>
      <c r="AJ68" s="650">
        <f t="shared" si="48"/>
        <v>0</v>
      </c>
      <c r="AK68" s="650">
        <f t="shared" si="48"/>
        <v>154000</v>
      </c>
      <c r="AL68" s="650">
        <f t="shared" si="48"/>
        <v>0</v>
      </c>
      <c r="AM68" s="650">
        <f t="shared" si="48"/>
        <v>0</v>
      </c>
      <c r="AN68" s="650">
        <f t="shared" si="48"/>
        <v>9436838</v>
      </c>
      <c r="AO68" s="651">
        <f t="shared" si="48"/>
        <v>14088923</v>
      </c>
      <c r="AP68" s="650">
        <f t="shared" si="48"/>
        <v>0</v>
      </c>
      <c r="AQ68" s="650">
        <f t="shared" si="48"/>
        <v>4923060</v>
      </c>
      <c r="AR68" s="650">
        <f t="shared" si="48"/>
        <v>0</v>
      </c>
      <c r="AS68" s="642">
        <f t="shared" si="48"/>
        <v>0</v>
      </c>
      <c r="AT68" s="645">
        <f t="shared" si="48"/>
        <v>0</v>
      </c>
      <c r="AU68" s="646">
        <f t="shared" si="48"/>
        <v>36300718</v>
      </c>
    </row>
    <row r="69" spans="1:47" s="647" customFormat="1" ht="19.5" x14ac:dyDescent="0.3">
      <c r="A69" s="635" t="s">
        <v>206</v>
      </c>
      <c r="B69" s="636" t="s">
        <v>254</v>
      </c>
      <c r="C69" s="637">
        <f>'Ber.-felú. - 6. mell.'!C35</f>
        <v>98787800</v>
      </c>
      <c r="D69" s="638">
        <f>'Ber.-felú. - 6. mell.'!D35</f>
        <v>116802877</v>
      </c>
      <c r="E69" s="639">
        <f t="shared" ref="E69:E73" si="49">AU69</f>
        <v>43111763</v>
      </c>
      <c r="F69" s="640">
        <f t="shared" si="3"/>
        <v>0.36909846835365195</v>
      </c>
      <c r="G69" s="649"/>
      <c r="H69" s="642"/>
      <c r="I69" s="650"/>
      <c r="J69" s="650">
        <v>488950</v>
      </c>
      <c r="K69" s="650"/>
      <c r="L69" s="650"/>
      <c r="M69" s="650"/>
      <c r="N69" s="650">
        <v>41792606</v>
      </c>
      <c r="O69" s="650"/>
      <c r="P69" s="650"/>
      <c r="Q69" s="650"/>
      <c r="R69" s="650"/>
      <c r="S69" s="650"/>
      <c r="T69" s="650"/>
      <c r="U69" s="650"/>
      <c r="V69" s="650"/>
      <c r="W69" s="650"/>
      <c r="X69" s="650">
        <v>451085</v>
      </c>
      <c r="Y69" s="650"/>
      <c r="Z69" s="650">
        <v>134121</v>
      </c>
      <c r="AA69" s="650"/>
      <c r="AB69" s="650"/>
      <c r="AC69" s="650"/>
      <c r="AD69" s="650">
        <v>47560</v>
      </c>
      <c r="AE69" s="650"/>
      <c r="AF69" s="650"/>
      <c r="AG69" s="650"/>
      <c r="AH69" s="650"/>
      <c r="AI69" s="650"/>
      <c r="AJ69" s="650"/>
      <c r="AK69" s="650"/>
      <c r="AL69" s="650"/>
      <c r="AM69" s="650"/>
      <c r="AN69" s="650"/>
      <c r="AO69" s="651"/>
      <c r="AP69" s="650">
        <v>76270</v>
      </c>
      <c r="AQ69" s="650">
        <v>121171</v>
      </c>
      <c r="AR69" s="650"/>
      <c r="AS69" s="642"/>
      <c r="AT69" s="645"/>
      <c r="AU69" s="646">
        <f t="shared" ref="AU69:AU73" si="50">SUM(H69:AT69)</f>
        <v>43111763</v>
      </c>
    </row>
    <row r="70" spans="1:47" s="647" customFormat="1" ht="19.5" x14ac:dyDescent="0.3">
      <c r="A70" s="635" t="s">
        <v>209</v>
      </c>
      <c r="B70" s="636" t="s">
        <v>255</v>
      </c>
      <c r="C70" s="637">
        <f>'Ber.-felú. - 6. mell.'!C49</f>
        <v>37310978</v>
      </c>
      <c r="D70" s="638">
        <f>'Ber.-felú. - 6. mell.'!D49</f>
        <v>47105913</v>
      </c>
      <c r="E70" s="639">
        <f t="shared" si="49"/>
        <v>39775081</v>
      </c>
      <c r="F70" s="640">
        <f t="shared" ref="F70:F132" si="51">E70/D70</f>
        <v>0.84437554580462115</v>
      </c>
      <c r="G70" s="649"/>
      <c r="H70" s="642"/>
      <c r="I70" s="650"/>
      <c r="J70" s="650">
        <v>24192491</v>
      </c>
      <c r="K70" s="650"/>
      <c r="L70" s="650"/>
      <c r="M70" s="650"/>
      <c r="N70" s="650">
        <v>15582590</v>
      </c>
      <c r="O70" s="650"/>
      <c r="P70" s="650"/>
      <c r="Q70" s="650"/>
      <c r="R70" s="650"/>
      <c r="S70" s="650"/>
      <c r="T70" s="650"/>
      <c r="U70" s="650"/>
      <c r="V70" s="650"/>
      <c r="W70" s="650"/>
      <c r="X70" s="650"/>
      <c r="Y70" s="650"/>
      <c r="Z70" s="650"/>
      <c r="AA70" s="650"/>
      <c r="AB70" s="650"/>
      <c r="AC70" s="650"/>
      <c r="AD70" s="650"/>
      <c r="AE70" s="650"/>
      <c r="AF70" s="650"/>
      <c r="AG70" s="650"/>
      <c r="AH70" s="650"/>
      <c r="AI70" s="650"/>
      <c r="AJ70" s="650"/>
      <c r="AK70" s="650"/>
      <c r="AL70" s="650"/>
      <c r="AM70" s="650"/>
      <c r="AN70" s="650"/>
      <c r="AO70" s="651"/>
      <c r="AP70" s="650"/>
      <c r="AQ70" s="650"/>
      <c r="AR70" s="650"/>
      <c r="AS70" s="642"/>
      <c r="AT70" s="645"/>
      <c r="AU70" s="646">
        <f t="shared" si="50"/>
        <v>39775081</v>
      </c>
    </row>
    <row r="71" spans="1:47" s="563" customFormat="1" ht="16.5" x14ac:dyDescent="0.25">
      <c r="A71" s="535" t="s">
        <v>210</v>
      </c>
      <c r="B71" s="529" t="s">
        <v>257</v>
      </c>
      <c r="C71" s="458">
        <v>0</v>
      </c>
      <c r="D71" s="174">
        <f>C71</f>
        <v>0</v>
      </c>
      <c r="E71" s="436">
        <f t="shared" si="49"/>
        <v>0</v>
      </c>
      <c r="F71" s="585"/>
      <c r="G71" s="586"/>
      <c r="H71" s="566"/>
      <c r="I71" s="560"/>
      <c r="J71" s="560"/>
      <c r="K71" s="560"/>
      <c r="L71" s="560"/>
      <c r="M71" s="560"/>
      <c r="N71" s="560"/>
      <c r="O71" s="560"/>
      <c r="P71" s="560"/>
      <c r="Q71" s="560"/>
      <c r="R71" s="560"/>
      <c r="S71" s="560"/>
      <c r="T71" s="560"/>
      <c r="U71" s="560"/>
      <c r="V71" s="560"/>
      <c r="W71" s="560"/>
      <c r="X71" s="560"/>
      <c r="Y71" s="560"/>
      <c r="Z71" s="560"/>
      <c r="AA71" s="560"/>
      <c r="AB71" s="560"/>
      <c r="AC71" s="560"/>
      <c r="AD71" s="560"/>
      <c r="AE71" s="560"/>
      <c r="AF71" s="560"/>
      <c r="AG71" s="560"/>
      <c r="AH71" s="560"/>
      <c r="AI71" s="560"/>
      <c r="AJ71" s="560"/>
      <c r="AK71" s="560"/>
      <c r="AL71" s="560"/>
      <c r="AM71" s="560"/>
      <c r="AN71" s="560"/>
      <c r="AO71" s="561"/>
      <c r="AP71" s="560"/>
      <c r="AQ71" s="560"/>
      <c r="AR71" s="560"/>
      <c r="AS71" s="566"/>
      <c r="AT71" s="567"/>
      <c r="AU71" s="568">
        <f t="shared" si="50"/>
        <v>0</v>
      </c>
    </row>
    <row r="72" spans="1:47" s="563" customFormat="1" ht="16.5" x14ac:dyDescent="0.25">
      <c r="A72" s="535" t="s">
        <v>211</v>
      </c>
      <c r="B72" s="529" t="s">
        <v>258</v>
      </c>
      <c r="C72" s="458">
        <v>0</v>
      </c>
      <c r="D72" s="174">
        <f t="shared" ref="D72:D73" si="52">C72</f>
        <v>0</v>
      </c>
      <c r="E72" s="436">
        <f t="shared" si="49"/>
        <v>0</v>
      </c>
      <c r="F72" s="585"/>
      <c r="G72" s="586"/>
      <c r="H72" s="566"/>
      <c r="I72" s="560"/>
      <c r="J72" s="560"/>
      <c r="K72" s="560"/>
      <c r="L72" s="560"/>
      <c r="M72" s="560"/>
      <c r="N72" s="560"/>
      <c r="O72" s="560"/>
      <c r="P72" s="560"/>
      <c r="Q72" s="560"/>
      <c r="R72" s="560"/>
      <c r="S72" s="560"/>
      <c r="T72" s="560"/>
      <c r="U72" s="560"/>
      <c r="V72" s="560"/>
      <c r="W72" s="560"/>
      <c r="X72" s="560"/>
      <c r="Y72" s="560"/>
      <c r="Z72" s="560"/>
      <c r="AA72" s="560"/>
      <c r="AB72" s="560"/>
      <c r="AC72" s="560"/>
      <c r="AD72" s="560"/>
      <c r="AE72" s="560"/>
      <c r="AF72" s="560"/>
      <c r="AG72" s="560"/>
      <c r="AH72" s="560"/>
      <c r="AI72" s="560"/>
      <c r="AJ72" s="560"/>
      <c r="AK72" s="560"/>
      <c r="AL72" s="560"/>
      <c r="AM72" s="560"/>
      <c r="AN72" s="560"/>
      <c r="AO72" s="561"/>
      <c r="AP72" s="560"/>
      <c r="AQ72" s="560"/>
      <c r="AR72" s="560"/>
      <c r="AS72" s="566"/>
      <c r="AT72" s="567"/>
      <c r="AU72" s="568">
        <f t="shared" si="50"/>
        <v>0</v>
      </c>
    </row>
    <row r="73" spans="1:47" s="563" customFormat="1" ht="16.5" x14ac:dyDescent="0.25">
      <c r="A73" s="535" t="s">
        <v>212</v>
      </c>
      <c r="B73" s="529" t="s">
        <v>259</v>
      </c>
      <c r="C73" s="458">
        <v>0</v>
      </c>
      <c r="D73" s="174">
        <f t="shared" si="52"/>
        <v>0</v>
      </c>
      <c r="E73" s="436">
        <f t="shared" si="49"/>
        <v>0</v>
      </c>
      <c r="F73" s="585"/>
      <c r="G73" s="586"/>
      <c r="H73" s="566"/>
      <c r="I73" s="560"/>
      <c r="J73" s="560"/>
      <c r="K73" s="560"/>
      <c r="L73" s="560"/>
      <c r="M73" s="560"/>
      <c r="N73" s="560"/>
      <c r="O73" s="560"/>
      <c r="P73" s="560"/>
      <c r="Q73" s="560"/>
      <c r="R73" s="560"/>
      <c r="S73" s="560"/>
      <c r="T73" s="560"/>
      <c r="U73" s="560"/>
      <c r="V73" s="560"/>
      <c r="W73" s="560"/>
      <c r="X73" s="560"/>
      <c r="Y73" s="560"/>
      <c r="Z73" s="560"/>
      <c r="AA73" s="560"/>
      <c r="AB73" s="560"/>
      <c r="AC73" s="560"/>
      <c r="AD73" s="560"/>
      <c r="AE73" s="560"/>
      <c r="AF73" s="560"/>
      <c r="AG73" s="560"/>
      <c r="AH73" s="560"/>
      <c r="AI73" s="560"/>
      <c r="AJ73" s="560"/>
      <c r="AK73" s="560"/>
      <c r="AL73" s="560"/>
      <c r="AM73" s="560"/>
      <c r="AN73" s="560"/>
      <c r="AO73" s="561"/>
      <c r="AP73" s="560"/>
      <c r="AQ73" s="560"/>
      <c r="AR73" s="560"/>
      <c r="AS73" s="566"/>
      <c r="AT73" s="567"/>
      <c r="AU73" s="568">
        <f t="shared" si="50"/>
        <v>0</v>
      </c>
    </row>
    <row r="74" spans="1:47" s="647" customFormat="1" ht="19.5" x14ac:dyDescent="0.3">
      <c r="A74" s="635" t="s">
        <v>213</v>
      </c>
      <c r="B74" s="636" t="s">
        <v>256</v>
      </c>
      <c r="C74" s="637">
        <f>SUM(C71:C73)</f>
        <v>0</v>
      </c>
      <c r="D74" s="638">
        <f t="shared" ref="D74:E74" si="53">SUM(D71:D73)</f>
        <v>0</v>
      </c>
      <c r="E74" s="639">
        <f t="shared" si="53"/>
        <v>0</v>
      </c>
      <c r="F74" s="640"/>
      <c r="G74" s="649"/>
      <c r="H74" s="642">
        <f t="shared" ref="H74:AU74" si="54">SUM(H71:H73)</f>
        <v>0</v>
      </c>
      <c r="I74" s="650">
        <f t="shared" si="54"/>
        <v>0</v>
      </c>
      <c r="J74" s="650">
        <f t="shared" si="54"/>
        <v>0</v>
      </c>
      <c r="K74" s="650">
        <f t="shared" si="54"/>
        <v>0</v>
      </c>
      <c r="L74" s="650">
        <f t="shared" si="54"/>
        <v>0</v>
      </c>
      <c r="M74" s="650">
        <f t="shared" si="54"/>
        <v>0</v>
      </c>
      <c r="N74" s="650">
        <f t="shared" si="54"/>
        <v>0</v>
      </c>
      <c r="O74" s="650">
        <f t="shared" si="54"/>
        <v>0</v>
      </c>
      <c r="P74" s="650">
        <f t="shared" si="54"/>
        <v>0</v>
      </c>
      <c r="Q74" s="650">
        <f t="shared" si="54"/>
        <v>0</v>
      </c>
      <c r="R74" s="650">
        <f t="shared" si="54"/>
        <v>0</v>
      </c>
      <c r="S74" s="650">
        <f t="shared" si="54"/>
        <v>0</v>
      </c>
      <c r="T74" s="650">
        <f t="shared" si="54"/>
        <v>0</v>
      </c>
      <c r="U74" s="650">
        <f t="shared" si="54"/>
        <v>0</v>
      </c>
      <c r="V74" s="650">
        <f t="shared" si="54"/>
        <v>0</v>
      </c>
      <c r="W74" s="650">
        <f t="shared" si="54"/>
        <v>0</v>
      </c>
      <c r="X74" s="650">
        <f t="shared" si="54"/>
        <v>0</v>
      </c>
      <c r="Y74" s="650">
        <f t="shared" si="54"/>
        <v>0</v>
      </c>
      <c r="Z74" s="650">
        <f t="shared" si="54"/>
        <v>0</v>
      </c>
      <c r="AA74" s="650">
        <f t="shared" si="54"/>
        <v>0</v>
      </c>
      <c r="AB74" s="650">
        <f t="shared" si="54"/>
        <v>0</v>
      </c>
      <c r="AC74" s="650">
        <f t="shared" si="54"/>
        <v>0</v>
      </c>
      <c r="AD74" s="650">
        <f t="shared" si="54"/>
        <v>0</v>
      </c>
      <c r="AE74" s="650">
        <f t="shared" si="54"/>
        <v>0</v>
      </c>
      <c r="AF74" s="650">
        <f t="shared" si="54"/>
        <v>0</v>
      </c>
      <c r="AG74" s="650">
        <f t="shared" si="54"/>
        <v>0</v>
      </c>
      <c r="AH74" s="650">
        <f t="shared" si="54"/>
        <v>0</v>
      </c>
      <c r="AI74" s="650">
        <f t="shared" si="54"/>
        <v>0</v>
      </c>
      <c r="AJ74" s="650">
        <f t="shared" si="54"/>
        <v>0</v>
      </c>
      <c r="AK74" s="650">
        <f t="shared" si="54"/>
        <v>0</v>
      </c>
      <c r="AL74" s="650">
        <f t="shared" si="54"/>
        <v>0</v>
      </c>
      <c r="AM74" s="650">
        <f t="shared" si="54"/>
        <v>0</v>
      </c>
      <c r="AN74" s="650">
        <f t="shared" si="54"/>
        <v>0</v>
      </c>
      <c r="AO74" s="651">
        <f t="shared" si="54"/>
        <v>0</v>
      </c>
      <c r="AP74" s="650">
        <f t="shared" si="54"/>
        <v>0</v>
      </c>
      <c r="AQ74" s="650">
        <f t="shared" si="54"/>
        <v>0</v>
      </c>
      <c r="AR74" s="650">
        <f t="shared" si="54"/>
        <v>0</v>
      </c>
      <c r="AS74" s="642">
        <f t="shared" si="54"/>
        <v>0</v>
      </c>
      <c r="AT74" s="645">
        <f t="shared" si="54"/>
        <v>0</v>
      </c>
      <c r="AU74" s="646">
        <f t="shared" si="54"/>
        <v>0</v>
      </c>
    </row>
    <row r="75" spans="1:47" s="677" customFormat="1" ht="20.25" x14ac:dyDescent="0.3">
      <c r="A75" s="814" t="s">
        <v>602</v>
      </c>
      <c r="B75" s="815"/>
      <c r="C75" s="667">
        <f>SUM(C23,C28,C61,C62,C68,C69,C70,C74)</f>
        <v>363752728</v>
      </c>
      <c r="D75" s="668">
        <f t="shared" ref="D75:E75" si="55">SUM(D23,D28,D61,D62,D68,D69,D70,D74)</f>
        <v>392486899</v>
      </c>
      <c r="E75" s="669">
        <f t="shared" si="55"/>
        <v>216203719</v>
      </c>
      <c r="F75" s="670">
        <f t="shared" si="51"/>
        <v>0.55085588729421509</v>
      </c>
      <c r="G75" s="671"/>
      <c r="H75" s="672">
        <f t="shared" ref="H75:AU75" si="56">SUM(H23,H28,H61,H62,H68,H69,H70,H74)</f>
        <v>0</v>
      </c>
      <c r="I75" s="673">
        <f t="shared" si="56"/>
        <v>2207130</v>
      </c>
      <c r="J75" s="673">
        <f t="shared" si="56"/>
        <v>24911461</v>
      </c>
      <c r="K75" s="673">
        <f t="shared" si="56"/>
        <v>342900</v>
      </c>
      <c r="L75" s="673">
        <f t="shared" si="56"/>
        <v>266038</v>
      </c>
      <c r="M75" s="673">
        <f t="shared" si="56"/>
        <v>6809512</v>
      </c>
      <c r="N75" s="673">
        <f t="shared" si="56"/>
        <v>65514935</v>
      </c>
      <c r="O75" s="673">
        <f t="shared" si="56"/>
        <v>0</v>
      </c>
      <c r="P75" s="673">
        <f t="shared" si="56"/>
        <v>9060423</v>
      </c>
      <c r="Q75" s="673">
        <f t="shared" si="56"/>
        <v>750149</v>
      </c>
      <c r="R75" s="673">
        <f t="shared" si="56"/>
        <v>0</v>
      </c>
      <c r="S75" s="673">
        <f t="shared" si="56"/>
        <v>4466268</v>
      </c>
      <c r="T75" s="673">
        <f t="shared" si="56"/>
        <v>132080</v>
      </c>
      <c r="U75" s="673">
        <f t="shared" si="56"/>
        <v>180000</v>
      </c>
      <c r="V75" s="673">
        <f t="shared" si="56"/>
        <v>0</v>
      </c>
      <c r="W75" s="673">
        <f t="shared" si="56"/>
        <v>705170</v>
      </c>
      <c r="X75" s="673">
        <f t="shared" si="56"/>
        <v>11499301</v>
      </c>
      <c r="Y75" s="673">
        <f t="shared" si="56"/>
        <v>1434841</v>
      </c>
      <c r="Z75" s="673">
        <f t="shared" si="56"/>
        <v>2955297</v>
      </c>
      <c r="AA75" s="673">
        <f t="shared" si="56"/>
        <v>4001883</v>
      </c>
      <c r="AB75" s="673">
        <f t="shared" si="56"/>
        <v>3906696</v>
      </c>
      <c r="AC75" s="673">
        <f t="shared" si="56"/>
        <v>0</v>
      </c>
      <c r="AD75" s="673">
        <f t="shared" si="56"/>
        <v>649480</v>
      </c>
      <c r="AE75" s="673">
        <f t="shared" si="56"/>
        <v>2422900</v>
      </c>
      <c r="AF75" s="673">
        <f t="shared" si="56"/>
        <v>0</v>
      </c>
      <c r="AG75" s="673">
        <f t="shared" si="56"/>
        <v>2951736</v>
      </c>
      <c r="AH75" s="673">
        <f t="shared" si="56"/>
        <v>1280851</v>
      </c>
      <c r="AI75" s="673">
        <f t="shared" si="56"/>
        <v>597518</v>
      </c>
      <c r="AJ75" s="673">
        <f t="shared" si="56"/>
        <v>0</v>
      </c>
      <c r="AK75" s="673">
        <f t="shared" si="56"/>
        <v>4937498</v>
      </c>
      <c r="AL75" s="673">
        <f t="shared" si="56"/>
        <v>0</v>
      </c>
      <c r="AM75" s="673">
        <f t="shared" si="56"/>
        <v>22994</v>
      </c>
      <c r="AN75" s="673">
        <f t="shared" si="56"/>
        <v>9436838</v>
      </c>
      <c r="AO75" s="674">
        <f t="shared" si="56"/>
        <v>14088923</v>
      </c>
      <c r="AP75" s="673">
        <f t="shared" si="56"/>
        <v>12065194</v>
      </c>
      <c r="AQ75" s="673">
        <f t="shared" si="56"/>
        <v>26062923</v>
      </c>
      <c r="AR75" s="673">
        <f t="shared" si="56"/>
        <v>130896</v>
      </c>
      <c r="AS75" s="672">
        <f t="shared" si="56"/>
        <v>0</v>
      </c>
      <c r="AT75" s="675">
        <f t="shared" si="56"/>
        <v>2411884</v>
      </c>
      <c r="AU75" s="676">
        <f t="shared" si="56"/>
        <v>216203719</v>
      </c>
    </row>
    <row r="76" spans="1:47" s="563" customFormat="1" ht="16.5" x14ac:dyDescent="0.25">
      <c r="A76" s="528" t="s">
        <v>500</v>
      </c>
      <c r="B76" s="569" t="s">
        <v>501</v>
      </c>
      <c r="C76" s="458">
        <v>524833</v>
      </c>
      <c r="D76" s="174">
        <f>C76</f>
        <v>524833</v>
      </c>
      <c r="E76" s="436">
        <f t="shared" ref="E76:E78" si="57">AU76</f>
        <v>524833</v>
      </c>
      <c r="F76" s="585">
        <f t="shared" si="51"/>
        <v>1</v>
      </c>
      <c r="G76" s="586"/>
      <c r="H76" s="566"/>
      <c r="I76" s="560"/>
      <c r="J76" s="560"/>
      <c r="K76" s="560"/>
      <c r="L76" s="560"/>
      <c r="M76" s="560"/>
      <c r="N76" s="560"/>
      <c r="O76" s="560"/>
      <c r="P76" s="560"/>
      <c r="Q76" s="560"/>
      <c r="R76" s="560"/>
      <c r="S76" s="560"/>
      <c r="T76" s="560"/>
      <c r="U76" s="560"/>
      <c r="V76" s="560"/>
      <c r="W76" s="560"/>
      <c r="X76" s="560"/>
      <c r="Y76" s="560"/>
      <c r="Z76" s="560"/>
      <c r="AA76" s="560"/>
      <c r="AB76" s="560"/>
      <c r="AC76" s="560"/>
      <c r="AD76" s="560"/>
      <c r="AE76" s="560"/>
      <c r="AF76" s="560"/>
      <c r="AG76" s="560"/>
      <c r="AH76" s="560"/>
      <c r="AI76" s="560"/>
      <c r="AJ76" s="560"/>
      <c r="AK76" s="560"/>
      <c r="AL76" s="560"/>
      <c r="AM76" s="560"/>
      <c r="AN76" s="560"/>
      <c r="AO76" s="561">
        <v>524833</v>
      </c>
      <c r="AP76" s="560"/>
      <c r="AQ76" s="560"/>
      <c r="AR76" s="560"/>
      <c r="AS76" s="566"/>
      <c r="AT76" s="567"/>
      <c r="AU76" s="568">
        <f t="shared" ref="AU76:AU78" si="58">SUM(H76:AT76)</f>
        <v>524833</v>
      </c>
    </row>
    <row r="77" spans="1:47" s="563" customFormat="1" ht="16.5" x14ac:dyDescent="0.25">
      <c r="A77" s="528" t="s">
        <v>249</v>
      </c>
      <c r="B77" s="569" t="s">
        <v>68</v>
      </c>
      <c r="C77" s="458">
        <v>69183233</v>
      </c>
      <c r="D77" s="174">
        <f>C77+18641+10279</f>
        <v>69212153</v>
      </c>
      <c r="E77" s="436">
        <f t="shared" si="57"/>
        <v>43604709</v>
      </c>
      <c r="F77" s="585">
        <f t="shared" si="51"/>
        <v>0.63001520845623749</v>
      </c>
      <c r="G77" s="586"/>
      <c r="H77" s="566"/>
      <c r="I77" s="560"/>
      <c r="J77" s="560"/>
      <c r="K77" s="560"/>
      <c r="L77" s="560"/>
      <c r="M77" s="560"/>
      <c r="N77" s="560"/>
      <c r="O77" s="560"/>
      <c r="P77" s="560"/>
      <c r="Q77" s="560"/>
      <c r="R77" s="560"/>
      <c r="S77" s="560"/>
      <c r="T77" s="560"/>
      <c r="U77" s="560"/>
      <c r="V77" s="560"/>
      <c r="W77" s="560"/>
      <c r="X77" s="560"/>
      <c r="Y77" s="560"/>
      <c r="Z77" s="560"/>
      <c r="AA77" s="560"/>
      <c r="AB77" s="560"/>
      <c r="AC77" s="560"/>
      <c r="AD77" s="560"/>
      <c r="AE77" s="560"/>
      <c r="AF77" s="560"/>
      <c r="AG77" s="560"/>
      <c r="AH77" s="560"/>
      <c r="AI77" s="560"/>
      <c r="AJ77" s="560"/>
      <c r="AK77" s="560"/>
      <c r="AL77" s="560"/>
      <c r="AM77" s="560"/>
      <c r="AN77" s="560">
        <v>43604709</v>
      </c>
      <c r="AO77" s="561"/>
      <c r="AP77" s="560"/>
      <c r="AQ77" s="560"/>
      <c r="AR77" s="560"/>
      <c r="AS77" s="566"/>
      <c r="AT77" s="567"/>
      <c r="AU77" s="568">
        <f t="shared" si="58"/>
        <v>43604709</v>
      </c>
    </row>
    <row r="78" spans="1:47" s="563" customFormat="1" ht="16.5" x14ac:dyDescent="0.25">
      <c r="A78" s="589" t="s">
        <v>498</v>
      </c>
      <c r="B78" s="590" t="s">
        <v>692</v>
      </c>
      <c r="C78" s="591">
        <v>332434</v>
      </c>
      <c r="D78" s="174">
        <f>C78-247271</f>
        <v>85163</v>
      </c>
      <c r="E78" s="592">
        <f t="shared" si="57"/>
        <v>85163</v>
      </c>
      <c r="F78" s="593">
        <f t="shared" si="51"/>
        <v>1</v>
      </c>
      <c r="G78" s="586"/>
      <c r="H78" s="566"/>
      <c r="I78" s="560"/>
      <c r="J78" s="560"/>
      <c r="K78" s="560"/>
      <c r="L78" s="560"/>
      <c r="M78" s="560"/>
      <c r="N78" s="560"/>
      <c r="O78" s="560"/>
      <c r="P78" s="560"/>
      <c r="Q78" s="560"/>
      <c r="R78" s="560"/>
      <c r="S78" s="560"/>
      <c r="T78" s="560"/>
      <c r="U78" s="560"/>
      <c r="V78" s="560"/>
      <c r="W78" s="560"/>
      <c r="X78" s="560"/>
      <c r="Y78" s="560"/>
      <c r="Z78" s="560"/>
      <c r="AA78" s="560"/>
      <c r="AB78" s="560"/>
      <c r="AC78" s="560"/>
      <c r="AD78" s="560"/>
      <c r="AE78" s="560"/>
      <c r="AF78" s="560"/>
      <c r="AG78" s="560"/>
      <c r="AH78" s="560"/>
      <c r="AI78" s="560"/>
      <c r="AJ78" s="560"/>
      <c r="AK78" s="560"/>
      <c r="AL78" s="560"/>
      <c r="AM78" s="560">
        <v>85163</v>
      </c>
      <c r="AN78" s="560"/>
      <c r="AO78" s="561"/>
      <c r="AP78" s="560"/>
      <c r="AQ78" s="560"/>
      <c r="AR78" s="560"/>
      <c r="AS78" s="566"/>
      <c r="AT78" s="567"/>
      <c r="AU78" s="568">
        <f t="shared" si="58"/>
        <v>85163</v>
      </c>
    </row>
    <row r="79" spans="1:47" s="647" customFormat="1" ht="20.25" thickBot="1" x14ac:dyDescent="0.35">
      <c r="A79" s="652" t="s">
        <v>361</v>
      </c>
      <c r="B79" s="653" t="s">
        <v>604</v>
      </c>
      <c r="C79" s="654">
        <f>SUM(C76:C78)</f>
        <v>70040500</v>
      </c>
      <c r="D79" s="655">
        <f t="shared" ref="D79" si="59">SUM(D76:D78)</f>
        <v>69822149</v>
      </c>
      <c r="E79" s="656">
        <f t="shared" ref="E79" si="60">SUM(E76:E78)</f>
        <v>44214705</v>
      </c>
      <c r="F79" s="657">
        <f t="shared" si="51"/>
        <v>0.63324755300785718</v>
      </c>
      <c r="G79" s="649"/>
      <c r="H79" s="658">
        <f t="shared" ref="H79:AU79" si="61">SUM(H76:H78)</f>
        <v>0</v>
      </c>
      <c r="I79" s="659">
        <f t="shared" si="61"/>
        <v>0</v>
      </c>
      <c r="J79" s="659">
        <f t="shared" si="61"/>
        <v>0</v>
      </c>
      <c r="K79" s="659">
        <f t="shared" si="61"/>
        <v>0</v>
      </c>
      <c r="L79" s="659">
        <f t="shared" si="61"/>
        <v>0</v>
      </c>
      <c r="M79" s="659">
        <f t="shared" si="61"/>
        <v>0</v>
      </c>
      <c r="N79" s="659">
        <f t="shared" si="61"/>
        <v>0</v>
      </c>
      <c r="O79" s="659">
        <f t="shared" si="61"/>
        <v>0</v>
      </c>
      <c r="P79" s="659">
        <f t="shared" si="61"/>
        <v>0</v>
      </c>
      <c r="Q79" s="659">
        <f t="shared" si="61"/>
        <v>0</v>
      </c>
      <c r="R79" s="659">
        <f t="shared" si="61"/>
        <v>0</v>
      </c>
      <c r="S79" s="659">
        <f t="shared" si="61"/>
        <v>0</v>
      </c>
      <c r="T79" s="659">
        <f t="shared" si="61"/>
        <v>0</v>
      </c>
      <c r="U79" s="659">
        <f t="shared" si="61"/>
        <v>0</v>
      </c>
      <c r="V79" s="659">
        <f t="shared" si="61"/>
        <v>0</v>
      </c>
      <c r="W79" s="659">
        <f t="shared" si="61"/>
        <v>0</v>
      </c>
      <c r="X79" s="659">
        <f t="shared" si="61"/>
        <v>0</v>
      </c>
      <c r="Y79" s="659">
        <f t="shared" si="61"/>
        <v>0</v>
      </c>
      <c r="Z79" s="659">
        <f t="shared" si="61"/>
        <v>0</v>
      </c>
      <c r="AA79" s="659">
        <f t="shared" si="61"/>
        <v>0</v>
      </c>
      <c r="AB79" s="659">
        <f t="shared" si="61"/>
        <v>0</v>
      </c>
      <c r="AC79" s="659">
        <f t="shared" si="61"/>
        <v>0</v>
      </c>
      <c r="AD79" s="659">
        <f t="shared" si="61"/>
        <v>0</v>
      </c>
      <c r="AE79" s="659">
        <f t="shared" si="61"/>
        <v>0</v>
      </c>
      <c r="AF79" s="659">
        <f t="shared" si="61"/>
        <v>0</v>
      </c>
      <c r="AG79" s="659">
        <f t="shared" si="61"/>
        <v>0</v>
      </c>
      <c r="AH79" s="659">
        <f t="shared" si="61"/>
        <v>0</v>
      </c>
      <c r="AI79" s="659">
        <f t="shared" si="61"/>
        <v>0</v>
      </c>
      <c r="AJ79" s="659">
        <f t="shared" si="61"/>
        <v>0</v>
      </c>
      <c r="AK79" s="659">
        <f t="shared" si="61"/>
        <v>0</v>
      </c>
      <c r="AL79" s="659">
        <f t="shared" si="61"/>
        <v>0</v>
      </c>
      <c r="AM79" s="659">
        <f t="shared" si="61"/>
        <v>85163</v>
      </c>
      <c r="AN79" s="659">
        <f t="shared" si="61"/>
        <v>43604709</v>
      </c>
      <c r="AO79" s="660">
        <f t="shared" si="61"/>
        <v>524833</v>
      </c>
      <c r="AP79" s="659">
        <f t="shared" si="61"/>
        <v>0</v>
      </c>
      <c r="AQ79" s="659">
        <f t="shared" si="61"/>
        <v>0</v>
      </c>
      <c r="AR79" s="659">
        <f t="shared" si="61"/>
        <v>0</v>
      </c>
      <c r="AS79" s="658">
        <f t="shared" si="61"/>
        <v>0</v>
      </c>
      <c r="AT79" s="661">
        <f t="shared" si="61"/>
        <v>0</v>
      </c>
      <c r="AU79" s="662">
        <f t="shared" si="61"/>
        <v>44214705</v>
      </c>
    </row>
    <row r="80" spans="1:47" s="677" customFormat="1" ht="21" thickBot="1" x14ac:dyDescent="0.35">
      <c r="A80" s="812" t="s">
        <v>603</v>
      </c>
      <c r="B80" s="813"/>
      <c r="C80" s="678">
        <f>C75+C79</f>
        <v>433793228</v>
      </c>
      <c r="D80" s="678">
        <f t="shared" ref="D80:E80" si="62">D75+D79</f>
        <v>462309048</v>
      </c>
      <c r="E80" s="678">
        <f t="shared" si="62"/>
        <v>260418424</v>
      </c>
      <c r="F80" s="679">
        <f t="shared" si="51"/>
        <v>0.5632994316823321</v>
      </c>
      <c r="G80" s="671"/>
      <c r="H80" s="680">
        <f t="shared" ref="H80:AU80" si="63">H75+H79</f>
        <v>0</v>
      </c>
      <c r="I80" s="681">
        <f t="shared" si="63"/>
        <v>2207130</v>
      </c>
      <c r="J80" s="681">
        <f t="shared" si="63"/>
        <v>24911461</v>
      </c>
      <c r="K80" s="681">
        <f t="shared" si="63"/>
        <v>342900</v>
      </c>
      <c r="L80" s="681">
        <f t="shared" si="63"/>
        <v>266038</v>
      </c>
      <c r="M80" s="681">
        <f t="shared" si="63"/>
        <v>6809512</v>
      </c>
      <c r="N80" s="681">
        <f t="shared" si="63"/>
        <v>65514935</v>
      </c>
      <c r="O80" s="681">
        <f t="shared" si="63"/>
        <v>0</v>
      </c>
      <c r="P80" s="681">
        <f t="shared" si="63"/>
        <v>9060423</v>
      </c>
      <c r="Q80" s="681">
        <f t="shared" si="63"/>
        <v>750149</v>
      </c>
      <c r="R80" s="681">
        <f t="shared" si="63"/>
        <v>0</v>
      </c>
      <c r="S80" s="681">
        <f t="shared" si="63"/>
        <v>4466268</v>
      </c>
      <c r="T80" s="681">
        <f t="shared" si="63"/>
        <v>132080</v>
      </c>
      <c r="U80" s="681">
        <f t="shared" si="63"/>
        <v>180000</v>
      </c>
      <c r="V80" s="681">
        <f t="shared" si="63"/>
        <v>0</v>
      </c>
      <c r="W80" s="681">
        <f t="shared" si="63"/>
        <v>705170</v>
      </c>
      <c r="X80" s="681">
        <f t="shared" si="63"/>
        <v>11499301</v>
      </c>
      <c r="Y80" s="681">
        <f t="shared" si="63"/>
        <v>1434841</v>
      </c>
      <c r="Z80" s="681">
        <f t="shared" si="63"/>
        <v>2955297</v>
      </c>
      <c r="AA80" s="681">
        <f t="shared" si="63"/>
        <v>4001883</v>
      </c>
      <c r="AB80" s="681">
        <f t="shared" si="63"/>
        <v>3906696</v>
      </c>
      <c r="AC80" s="681">
        <f t="shared" si="63"/>
        <v>0</v>
      </c>
      <c r="AD80" s="681">
        <f t="shared" si="63"/>
        <v>649480</v>
      </c>
      <c r="AE80" s="681">
        <f t="shared" si="63"/>
        <v>2422900</v>
      </c>
      <c r="AF80" s="681">
        <f t="shared" si="63"/>
        <v>0</v>
      </c>
      <c r="AG80" s="681">
        <f t="shared" si="63"/>
        <v>2951736</v>
      </c>
      <c r="AH80" s="681">
        <f t="shared" si="63"/>
        <v>1280851</v>
      </c>
      <c r="AI80" s="681">
        <f t="shared" si="63"/>
        <v>597518</v>
      </c>
      <c r="AJ80" s="681">
        <f t="shared" si="63"/>
        <v>0</v>
      </c>
      <c r="AK80" s="681">
        <f t="shared" si="63"/>
        <v>4937498</v>
      </c>
      <c r="AL80" s="681">
        <f t="shared" si="63"/>
        <v>0</v>
      </c>
      <c r="AM80" s="681">
        <f t="shared" si="63"/>
        <v>108157</v>
      </c>
      <c r="AN80" s="681">
        <f t="shared" si="63"/>
        <v>53041547</v>
      </c>
      <c r="AO80" s="682">
        <f t="shared" si="63"/>
        <v>14613756</v>
      </c>
      <c r="AP80" s="681">
        <f t="shared" si="63"/>
        <v>12065194</v>
      </c>
      <c r="AQ80" s="681">
        <f t="shared" si="63"/>
        <v>26062923</v>
      </c>
      <c r="AR80" s="681">
        <f t="shared" si="63"/>
        <v>130896</v>
      </c>
      <c r="AS80" s="680">
        <f t="shared" si="63"/>
        <v>0</v>
      </c>
      <c r="AT80" s="683">
        <f t="shared" si="63"/>
        <v>2411884</v>
      </c>
      <c r="AU80" s="684">
        <f t="shared" si="63"/>
        <v>260418424</v>
      </c>
    </row>
    <row r="81" spans="1:47" s="563" customFormat="1" ht="16.5" x14ac:dyDescent="0.25">
      <c r="A81" s="552" t="s">
        <v>325</v>
      </c>
      <c r="B81" s="594" t="s">
        <v>331</v>
      </c>
      <c r="C81" s="595">
        <f>'Állami - 5. mell.'!C13</f>
        <v>0</v>
      </c>
      <c r="D81" s="596">
        <f>'Állami - 5. mell.'!D13</f>
        <v>207745</v>
      </c>
      <c r="E81" s="597">
        <f t="shared" ref="E81:E86" si="64">AU81</f>
        <v>207745</v>
      </c>
      <c r="F81" s="598">
        <f t="shared" si="51"/>
        <v>1</v>
      </c>
      <c r="G81" s="586"/>
      <c r="H81" s="599"/>
      <c r="I81" s="600"/>
      <c r="J81" s="600"/>
      <c r="K81" s="600"/>
      <c r="L81" s="600"/>
      <c r="M81" s="600"/>
      <c r="N81" s="600"/>
      <c r="O81" s="600"/>
      <c r="P81" s="600"/>
      <c r="Q81" s="600"/>
      <c r="R81" s="600"/>
      <c r="S81" s="600"/>
      <c r="T81" s="600"/>
      <c r="U81" s="599"/>
      <c r="V81" s="600"/>
      <c r="W81" s="600"/>
      <c r="X81" s="599"/>
      <c r="Y81" s="600"/>
      <c r="Z81" s="600"/>
      <c r="AA81" s="600"/>
      <c r="AB81" s="600"/>
      <c r="AC81" s="600"/>
      <c r="AD81" s="600"/>
      <c r="AE81" s="600"/>
      <c r="AF81" s="600"/>
      <c r="AG81" s="600"/>
      <c r="AH81" s="600"/>
      <c r="AI81" s="600"/>
      <c r="AJ81" s="600"/>
      <c r="AK81" s="600"/>
      <c r="AL81" s="600"/>
      <c r="AM81" s="600"/>
      <c r="AN81" s="600"/>
      <c r="AO81" s="601">
        <v>207745</v>
      </c>
      <c r="AP81" s="600"/>
      <c r="AQ81" s="600"/>
      <c r="AR81" s="600"/>
      <c r="AS81" s="599"/>
      <c r="AT81" s="602"/>
      <c r="AU81" s="603">
        <f t="shared" ref="AU81:AU86" si="65">SUM(H81:AT81)</f>
        <v>207745</v>
      </c>
    </row>
    <row r="82" spans="1:47" s="563" customFormat="1" ht="16.5" x14ac:dyDescent="0.25">
      <c r="A82" s="552" t="s">
        <v>326</v>
      </c>
      <c r="B82" s="553" t="s">
        <v>332</v>
      </c>
      <c r="C82" s="595">
        <f>'Állami - 5. mell.'!C23</f>
        <v>43679600</v>
      </c>
      <c r="D82" s="596">
        <f>'Állami - 5. mell.'!D23</f>
        <v>43679600</v>
      </c>
      <c r="E82" s="597">
        <f t="shared" si="64"/>
        <v>34623695</v>
      </c>
      <c r="F82" s="598">
        <f t="shared" si="51"/>
        <v>0.79267426899513727</v>
      </c>
      <c r="G82" s="586"/>
      <c r="H82" s="566"/>
      <c r="I82" s="604"/>
      <c r="J82" s="604"/>
      <c r="K82" s="604"/>
      <c r="L82" s="604"/>
      <c r="M82" s="604"/>
      <c r="N82" s="604"/>
      <c r="O82" s="604"/>
      <c r="P82" s="604"/>
      <c r="Q82" s="604"/>
      <c r="R82" s="604"/>
      <c r="S82" s="604"/>
      <c r="T82" s="604"/>
      <c r="U82" s="566"/>
      <c r="V82" s="604"/>
      <c r="W82" s="604"/>
      <c r="X82" s="604"/>
      <c r="Y82" s="604"/>
      <c r="Z82" s="604"/>
      <c r="AA82" s="604"/>
      <c r="AB82" s="604"/>
      <c r="AC82" s="604"/>
      <c r="AD82" s="604"/>
      <c r="AE82" s="604"/>
      <c r="AF82" s="604"/>
      <c r="AG82" s="604"/>
      <c r="AH82" s="604"/>
      <c r="AI82" s="604"/>
      <c r="AJ82" s="604"/>
      <c r="AK82" s="604"/>
      <c r="AL82" s="604"/>
      <c r="AM82" s="604"/>
      <c r="AN82" s="604"/>
      <c r="AO82" s="561">
        <v>34623695</v>
      </c>
      <c r="AP82" s="604"/>
      <c r="AQ82" s="604"/>
      <c r="AR82" s="604"/>
      <c r="AS82" s="561"/>
      <c r="AT82" s="567"/>
      <c r="AU82" s="568">
        <f t="shared" si="65"/>
        <v>34623695</v>
      </c>
    </row>
    <row r="83" spans="1:47" s="563" customFormat="1" ht="16.5" x14ac:dyDescent="0.25">
      <c r="A83" s="536" t="s">
        <v>327</v>
      </c>
      <c r="B83" s="564" t="s">
        <v>333</v>
      </c>
      <c r="C83" s="595">
        <f>'Állami - 5. mell.'!C26</f>
        <v>10447209</v>
      </c>
      <c r="D83" s="596">
        <f>'Állami - 5. mell.'!D26</f>
        <v>10447209</v>
      </c>
      <c r="E83" s="597">
        <f t="shared" si="64"/>
        <v>8762025</v>
      </c>
      <c r="F83" s="585">
        <f t="shared" si="51"/>
        <v>0.83869529172815438</v>
      </c>
      <c r="G83" s="586"/>
      <c r="H83" s="566"/>
      <c r="I83" s="604"/>
      <c r="J83" s="604"/>
      <c r="K83" s="604"/>
      <c r="L83" s="604"/>
      <c r="M83" s="604"/>
      <c r="N83" s="604"/>
      <c r="O83" s="604"/>
      <c r="P83" s="604"/>
      <c r="Q83" s="604"/>
      <c r="R83" s="604"/>
      <c r="S83" s="604"/>
      <c r="T83" s="604"/>
      <c r="U83" s="566"/>
      <c r="V83" s="604"/>
      <c r="W83" s="604"/>
      <c r="X83" s="604"/>
      <c r="Y83" s="604"/>
      <c r="Z83" s="604"/>
      <c r="AA83" s="604"/>
      <c r="AB83" s="604"/>
      <c r="AC83" s="604"/>
      <c r="AD83" s="604"/>
      <c r="AE83" s="604"/>
      <c r="AF83" s="604"/>
      <c r="AG83" s="604"/>
      <c r="AH83" s="604"/>
      <c r="AI83" s="604"/>
      <c r="AJ83" s="604"/>
      <c r="AK83" s="604"/>
      <c r="AL83" s="604"/>
      <c r="AM83" s="604"/>
      <c r="AN83" s="604"/>
      <c r="AO83" s="561">
        <v>8762025</v>
      </c>
      <c r="AP83" s="604"/>
      <c r="AQ83" s="604"/>
      <c r="AR83" s="604"/>
      <c r="AS83" s="561"/>
      <c r="AT83" s="567"/>
      <c r="AU83" s="568">
        <f t="shared" si="65"/>
        <v>8762025</v>
      </c>
    </row>
    <row r="84" spans="1:47" s="563" customFormat="1" ht="16.5" x14ac:dyDescent="0.25">
      <c r="A84" s="536" t="s">
        <v>328</v>
      </c>
      <c r="B84" s="564" t="s">
        <v>334</v>
      </c>
      <c r="C84" s="595">
        <f>'Állami - 5. mell.'!C32</f>
        <v>2386120</v>
      </c>
      <c r="D84" s="596">
        <f>'Állami - 5. mell.'!D32</f>
        <v>2676375</v>
      </c>
      <c r="E84" s="597">
        <f t="shared" si="64"/>
        <v>2184709</v>
      </c>
      <c r="F84" s="585">
        <f t="shared" si="51"/>
        <v>0.81629405445798886</v>
      </c>
      <c r="G84" s="586"/>
      <c r="H84" s="566"/>
      <c r="I84" s="604"/>
      <c r="J84" s="604"/>
      <c r="K84" s="604"/>
      <c r="L84" s="604"/>
      <c r="M84" s="604"/>
      <c r="N84" s="604"/>
      <c r="O84" s="604"/>
      <c r="P84" s="604"/>
      <c r="Q84" s="604"/>
      <c r="R84" s="604"/>
      <c r="S84" s="604"/>
      <c r="T84" s="604"/>
      <c r="U84" s="566"/>
      <c r="V84" s="604"/>
      <c r="W84" s="604"/>
      <c r="X84" s="604"/>
      <c r="Y84" s="604"/>
      <c r="Z84" s="604"/>
      <c r="AA84" s="604"/>
      <c r="AB84" s="604"/>
      <c r="AC84" s="604"/>
      <c r="AD84" s="604"/>
      <c r="AE84" s="604"/>
      <c r="AF84" s="604"/>
      <c r="AG84" s="604"/>
      <c r="AH84" s="604"/>
      <c r="AI84" s="604"/>
      <c r="AJ84" s="604"/>
      <c r="AK84" s="604"/>
      <c r="AL84" s="604"/>
      <c r="AM84" s="604"/>
      <c r="AN84" s="604"/>
      <c r="AO84" s="561">
        <v>2184709</v>
      </c>
      <c r="AP84" s="604"/>
      <c r="AQ84" s="604"/>
      <c r="AR84" s="604"/>
      <c r="AS84" s="561"/>
      <c r="AT84" s="567"/>
      <c r="AU84" s="568">
        <f t="shared" si="65"/>
        <v>2184709</v>
      </c>
    </row>
    <row r="85" spans="1:47" s="563" customFormat="1" ht="16.5" x14ac:dyDescent="0.25">
      <c r="A85" s="536" t="s">
        <v>329</v>
      </c>
      <c r="B85" s="564" t="s">
        <v>396</v>
      </c>
      <c r="C85" s="458">
        <f>'Állami - 5. mell.'!C33</f>
        <v>0</v>
      </c>
      <c r="D85" s="174">
        <f>'Állami - 5. mell.'!D33</f>
        <v>457200</v>
      </c>
      <c r="E85" s="436">
        <f t="shared" si="64"/>
        <v>457200</v>
      </c>
      <c r="F85" s="585"/>
      <c r="G85" s="605"/>
      <c r="H85" s="566"/>
      <c r="I85" s="566"/>
      <c r="J85" s="566"/>
      <c r="K85" s="566"/>
      <c r="L85" s="566"/>
      <c r="M85" s="566"/>
      <c r="N85" s="566"/>
      <c r="O85" s="566"/>
      <c r="P85" s="566"/>
      <c r="Q85" s="566"/>
      <c r="R85" s="566"/>
      <c r="S85" s="566"/>
      <c r="T85" s="566"/>
      <c r="U85" s="566"/>
      <c r="V85" s="566"/>
      <c r="W85" s="566"/>
      <c r="X85" s="566"/>
      <c r="Y85" s="566"/>
      <c r="Z85" s="566"/>
      <c r="AA85" s="566"/>
      <c r="AB85" s="566"/>
      <c r="AC85" s="566"/>
      <c r="AD85" s="566"/>
      <c r="AE85" s="566"/>
      <c r="AF85" s="566"/>
      <c r="AG85" s="566"/>
      <c r="AH85" s="566"/>
      <c r="AI85" s="566"/>
      <c r="AJ85" s="566"/>
      <c r="AK85" s="566"/>
      <c r="AL85" s="566"/>
      <c r="AM85" s="566"/>
      <c r="AN85" s="566"/>
      <c r="AO85" s="559">
        <v>457200</v>
      </c>
      <c r="AP85" s="566"/>
      <c r="AQ85" s="566"/>
      <c r="AR85" s="566"/>
      <c r="AS85" s="560"/>
      <c r="AT85" s="567"/>
      <c r="AU85" s="568">
        <f t="shared" si="65"/>
        <v>457200</v>
      </c>
    </row>
    <row r="86" spans="1:47" s="563" customFormat="1" ht="16.5" x14ac:dyDescent="0.25">
      <c r="A86" s="536" t="s">
        <v>330</v>
      </c>
      <c r="B86" s="564" t="s">
        <v>397</v>
      </c>
      <c r="C86" s="458">
        <f>'Állami - 5. mell.'!C34</f>
        <v>0</v>
      </c>
      <c r="D86" s="174">
        <f>'Állami - 5. mell.'!D34</f>
        <v>834667</v>
      </c>
      <c r="E86" s="436">
        <f t="shared" si="64"/>
        <v>834667</v>
      </c>
      <c r="F86" s="585"/>
      <c r="G86" s="586"/>
      <c r="H86" s="566"/>
      <c r="I86" s="566"/>
      <c r="J86" s="566"/>
      <c r="K86" s="566"/>
      <c r="L86" s="566"/>
      <c r="M86" s="566"/>
      <c r="N86" s="566"/>
      <c r="O86" s="566"/>
      <c r="P86" s="566"/>
      <c r="Q86" s="566"/>
      <c r="R86" s="566"/>
      <c r="S86" s="566"/>
      <c r="T86" s="566"/>
      <c r="U86" s="566"/>
      <c r="V86" s="566"/>
      <c r="W86" s="566"/>
      <c r="X86" s="566"/>
      <c r="Y86" s="566"/>
      <c r="Z86" s="566"/>
      <c r="AA86" s="566"/>
      <c r="AB86" s="566"/>
      <c r="AC86" s="566"/>
      <c r="AD86" s="566"/>
      <c r="AE86" s="566"/>
      <c r="AF86" s="566"/>
      <c r="AG86" s="566"/>
      <c r="AH86" s="566"/>
      <c r="AI86" s="566"/>
      <c r="AJ86" s="566"/>
      <c r="AK86" s="566"/>
      <c r="AL86" s="566"/>
      <c r="AM86" s="566"/>
      <c r="AN86" s="566"/>
      <c r="AO86" s="559">
        <v>834667</v>
      </c>
      <c r="AP86" s="566"/>
      <c r="AQ86" s="566"/>
      <c r="AR86" s="566"/>
      <c r="AS86" s="560"/>
      <c r="AT86" s="567"/>
      <c r="AU86" s="568">
        <f t="shared" si="65"/>
        <v>834667</v>
      </c>
    </row>
    <row r="87" spans="1:47" s="622" customFormat="1" ht="19.5" x14ac:dyDescent="0.35">
      <c r="A87" s="610" t="s">
        <v>269</v>
      </c>
      <c r="B87" s="611" t="s">
        <v>263</v>
      </c>
      <c r="C87" s="612">
        <f>SUM(C81:C86)</f>
        <v>56512929</v>
      </c>
      <c r="D87" s="613">
        <f t="shared" ref="D87:E87" si="66">SUM(D81:D86)</f>
        <v>58302796</v>
      </c>
      <c r="E87" s="614">
        <f t="shared" si="66"/>
        <v>47070041</v>
      </c>
      <c r="F87" s="615">
        <f t="shared" si="51"/>
        <v>0.80733762751275251</v>
      </c>
      <c r="G87" s="629"/>
      <c r="H87" s="617">
        <f t="shared" ref="H87:AU87" si="67">SUM(H81:H86)</f>
        <v>0</v>
      </c>
      <c r="I87" s="630">
        <f t="shared" si="67"/>
        <v>0</v>
      </c>
      <c r="J87" s="630">
        <f t="shared" si="67"/>
        <v>0</v>
      </c>
      <c r="K87" s="630">
        <f t="shared" si="67"/>
        <v>0</v>
      </c>
      <c r="L87" s="630">
        <f t="shared" si="67"/>
        <v>0</v>
      </c>
      <c r="M87" s="630">
        <f t="shared" si="67"/>
        <v>0</v>
      </c>
      <c r="N87" s="630">
        <f t="shared" si="67"/>
        <v>0</v>
      </c>
      <c r="O87" s="630">
        <f t="shared" si="67"/>
        <v>0</v>
      </c>
      <c r="P87" s="630">
        <f t="shared" si="67"/>
        <v>0</v>
      </c>
      <c r="Q87" s="630">
        <f t="shared" si="67"/>
        <v>0</v>
      </c>
      <c r="R87" s="630">
        <f t="shared" si="67"/>
        <v>0</v>
      </c>
      <c r="S87" s="630">
        <f t="shared" si="67"/>
        <v>0</v>
      </c>
      <c r="T87" s="630">
        <f t="shared" si="67"/>
        <v>0</v>
      </c>
      <c r="U87" s="630">
        <f t="shared" si="67"/>
        <v>0</v>
      </c>
      <c r="V87" s="630">
        <f t="shared" si="67"/>
        <v>0</v>
      </c>
      <c r="W87" s="630">
        <f t="shared" si="67"/>
        <v>0</v>
      </c>
      <c r="X87" s="630">
        <f t="shared" si="67"/>
        <v>0</v>
      </c>
      <c r="Y87" s="630">
        <f t="shared" si="67"/>
        <v>0</v>
      </c>
      <c r="Z87" s="630">
        <f t="shared" si="67"/>
        <v>0</v>
      </c>
      <c r="AA87" s="630">
        <f t="shared" si="67"/>
        <v>0</v>
      </c>
      <c r="AB87" s="630">
        <f t="shared" si="67"/>
        <v>0</v>
      </c>
      <c r="AC87" s="630">
        <f t="shared" si="67"/>
        <v>0</v>
      </c>
      <c r="AD87" s="630">
        <f t="shared" si="67"/>
        <v>0</v>
      </c>
      <c r="AE87" s="630">
        <f t="shared" si="67"/>
        <v>0</v>
      </c>
      <c r="AF87" s="630">
        <f t="shared" si="67"/>
        <v>0</v>
      </c>
      <c r="AG87" s="630">
        <f t="shared" si="67"/>
        <v>0</v>
      </c>
      <c r="AH87" s="630">
        <f t="shared" si="67"/>
        <v>0</v>
      </c>
      <c r="AI87" s="630">
        <f t="shared" si="67"/>
        <v>0</v>
      </c>
      <c r="AJ87" s="630">
        <f t="shared" si="67"/>
        <v>0</v>
      </c>
      <c r="AK87" s="630">
        <f t="shared" si="67"/>
        <v>0</v>
      </c>
      <c r="AL87" s="630">
        <f t="shared" si="67"/>
        <v>0</v>
      </c>
      <c r="AM87" s="630">
        <f t="shared" si="67"/>
        <v>0</v>
      </c>
      <c r="AN87" s="630">
        <f t="shared" si="67"/>
        <v>0</v>
      </c>
      <c r="AO87" s="631">
        <f t="shared" si="67"/>
        <v>47070041</v>
      </c>
      <c r="AP87" s="630">
        <f t="shared" si="67"/>
        <v>0</v>
      </c>
      <c r="AQ87" s="630">
        <f t="shared" si="67"/>
        <v>0</v>
      </c>
      <c r="AR87" s="630">
        <f t="shared" si="67"/>
        <v>0</v>
      </c>
      <c r="AS87" s="630">
        <f t="shared" si="67"/>
        <v>0</v>
      </c>
      <c r="AT87" s="620">
        <f t="shared" si="67"/>
        <v>0</v>
      </c>
      <c r="AU87" s="621">
        <f t="shared" si="67"/>
        <v>47070041</v>
      </c>
    </row>
    <row r="88" spans="1:47" s="563" customFormat="1" ht="16.5" x14ac:dyDescent="0.25">
      <c r="A88" s="536"/>
      <c r="B88" s="564" t="s">
        <v>399</v>
      </c>
      <c r="C88" s="458">
        <v>0</v>
      </c>
      <c r="D88" s="174">
        <f>C88</f>
        <v>0</v>
      </c>
      <c r="E88" s="436">
        <f t="shared" ref="E88:E92" si="68">AU88</f>
        <v>0</v>
      </c>
      <c r="F88" s="585"/>
      <c r="G88" s="586"/>
      <c r="H88" s="566"/>
      <c r="I88" s="566"/>
      <c r="J88" s="566"/>
      <c r="K88" s="566"/>
      <c r="L88" s="566"/>
      <c r="M88" s="566"/>
      <c r="N88" s="566"/>
      <c r="O88" s="566"/>
      <c r="P88" s="566"/>
      <c r="Q88" s="566"/>
      <c r="R88" s="566"/>
      <c r="S88" s="566"/>
      <c r="T88" s="566"/>
      <c r="U88" s="566"/>
      <c r="V88" s="566"/>
      <c r="W88" s="566"/>
      <c r="X88" s="566"/>
      <c r="Y88" s="566"/>
      <c r="Z88" s="566"/>
      <c r="AA88" s="566"/>
      <c r="AB88" s="566"/>
      <c r="AC88" s="566"/>
      <c r="AD88" s="566"/>
      <c r="AE88" s="566"/>
      <c r="AF88" s="566"/>
      <c r="AG88" s="566"/>
      <c r="AH88" s="566"/>
      <c r="AI88" s="566"/>
      <c r="AJ88" s="566"/>
      <c r="AK88" s="566"/>
      <c r="AL88" s="566"/>
      <c r="AM88" s="566"/>
      <c r="AN88" s="566"/>
      <c r="AO88" s="559"/>
      <c r="AP88" s="566"/>
      <c r="AQ88" s="566"/>
      <c r="AR88" s="566"/>
      <c r="AS88" s="560"/>
      <c r="AT88" s="567"/>
      <c r="AU88" s="568">
        <f t="shared" ref="AU88:AU92" si="69">SUM(H88:AT88)</f>
        <v>0</v>
      </c>
    </row>
    <row r="89" spans="1:47" s="563" customFormat="1" ht="16.5" x14ac:dyDescent="0.25">
      <c r="A89" s="536"/>
      <c r="B89" s="564" t="s">
        <v>395</v>
      </c>
      <c r="C89" s="458">
        <v>0</v>
      </c>
      <c r="D89" s="174">
        <f t="shared" ref="D89:D92" si="70">C89</f>
        <v>0</v>
      </c>
      <c r="E89" s="436">
        <f t="shared" si="68"/>
        <v>1679841</v>
      </c>
      <c r="F89" s="585"/>
      <c r="G89" s="586"/>
      <c r="H89" s="566"/>
      <c r="I89" s="566"/>
      <c r="J89" s="566"/>
      <c r="K89" s="566"/>
      <c r="L89" s="566"/>
      <c r="M89" s="566"/>
      <c r="N89" s="566"/>
      <c r="O89" s="566"/>
      <c r="P89" s="566"/>
      <c r="Q89" s="566"/>
      <c r="R89" s="566"/>
      <c r="S89" s="566"/>
      <c r="T89" s="566"/>
      <c r="U89" s="566"/>
      <c r="V89" s="566"/>
      <c r="W89" s="566"/>
      <c r="X89" s="566"/>
      <c r="Y89" s="566"/>
      <c r="Z89" s="566"/>
      <c r="AA89" s="566"/>
      <c r="AB89" s="566"/>
      <c r="AC89" s="566"/>
      <c r="AD89" s="566"/>
      <c r="AE89" s="566"/>
      <c r="AF89" s="566"/>
      <c r="AG89" s="566"/>
      <c r="AH89" s="566"/>
      <c r="AI89" s="566"/>
      <c r="AJ89" s="566"/>
      <c r="AK89" s="566"/>
      <c r="AL89" s="566"/>
      <c r="AM89" s="566"/>
      <c r="AN89" s="566"/>
      <c r="AO89" s="559"/>
      <c r="AP89" s="566"/>
      <c r="AQ89" s="566"/>
      <c r="AR89" s="566"/>
      <c r="AS89" s="560"/>
      <c r="AT89" s="567">
        <v>1679841</v>
      </c>
      <c r="AU89" s="568">
        <f t="shared" si="69"/>
        <v>1679841</v>
      </c>
    </row>
    <row r="90" spans="1:47" s="563" customFormat="1" ht="16.5" x14ac:dyDescent="0.25">
      <c r="A90" s="536"/>
      <c r="B90" s="564" t="s">
        <v>612</v>
      </c>
      <c r="C90" s="458">
        <v>0</v>
      </c>
      <c r="D90" s="174">
        <f>C90</f>
        <v>0</v>
      </c>
      <c r="E90" s="436">
        <f t="shared" si="68"/>
        <v>60000</v>
      </c>
      <c r="F90" s="585"/>
      <c r="G90" s="586"/>
      <c r="H90" s="566"/>
      <c r="I90" s="560"/>
      <c r="J90" s="560"/>
      <c r="K90" s="560"/>
      <c r="L90" s="560"/>
      <c r="M90" s="560"/>
      <c r="N90" s="560"/>
      <c r="O90" s="560"/>
      <c r="P90" s="560"/>
      <c r="Q90" s="560"/>
      <c r="R90" s="560"/>
      <c r="S90" s="560">
        <v>60000</v>
      </c>
      <c r="T90" s="560"/>
      <c r="U90" s="566"/>
      <c r="V90" s="560"/>
      <c r="W90" s="560"/>
      <c r="X90" s="560"/>
      <c r="Y90" s="560"/>
      <c r="Z90" s="560"/>
      <c r="AA90" s="560"/>
      <c r="AB90" s="560"/>
      <c r="AC90" s="560"/>
      <c r="AD90" s="560"/>
      <c r="AE90" s="560"/>
      <c r="AF90" s="560"/>
      <c r="AG90" s="560"/>
      <c r="AH90" s="560"/>
      <c r="AI90" s="560"/>
      <c r="AJ90" s="560"/>
      <c r="AK90" s="560"/>
      <c r="AL90" s="560"/>
      <c r="AM90" s="560"/>
      <c r="AN90" s="560"/>
      <c r="AO90" s="561"/>
      <c r="AP90" s="560"/>
      <c r="AQ90" s="560"/>
      <c r="AR90" s="560"/>
      <c r="AS90" s="560"/>
      <c r="AT90" s="567"/>
      <c r="AU90" s="568">
        <f t="shared" si="69"/>
        <v>60000</v>
      </c>
    </row>
    <row r="91" spans="1:47" s="563" customFormat="1" ht="16.5" x14ac:dyDescent="0.25">
      <c r="A91" s="536"/>
      <c r="B91" s="564" t="s">
        <v>611</v>
      </c>
      <c r="C91" s="458">
        <v>112800</v>
      </c>
      <c r="D91" s="174">
        <f t="shared" si="70"/>
        <v>112800</v>
      </c>
      <c r="E91" s="436">
        <f t="shared" si="68"/>
        <v>84600</v>
      </c>
      <c r="F91" s="585">
        <f t="shared" si="51"/>
        <v>0.75</v>
      </c>
      <c r="G91" s="586"/>
      <c r="H91" s="566"/>
      <c r="I91" s="566"/>
      <c r="J91" s="566"/>
      <c r="K91" s="566"/>
      <c r="L91" s="566"/>
      <c r="M91" s="566"/>
      <c r="N91" s="566"/>
      <c r="O91" s="566"/>
      <c r="P91" s="566"/>
      <c r="Q91" s="566"/>
      <c r="R91" s="566">
        <v>84600</v>
      </c>
      <c r="S91" s="566"/>
      <c r="T91" s="566"/>
      <c r="U91" s="566"/>
      <c r="V91" s="566"/>
      <c r="W91" s="566"/>
      <c r="X91" s="604"/>
      <c r="Y91" s="566"/>
      <c r="Z91" s="566"/>
      <c r="AA91" s="566"/>
      <c r="AB91" s="566"/>
      <c r="AC91" s="566"/>
      <c r="AD91" s="566"/>
      <c r="AE91" s="566"/>
      <c r="AF91" s="566"/>
      <c r="AG91" s="566"/>
      <c r="AH91" s="566"/>
      <c r="AI91" s="566"/>
      <c r="AJ91" s="566"/>
      <c r="AK91" s="566"/>
      <c r="AL91" s="566"/>
      <c r="AM91" s="566"/>
      <c r="AN91" s="566"/>
      <c r="AO91" s="559"/>
      <c r="AP91" s="566"/>
      <c r="AQ91" s="566"/>
      <c r="AR91" s="566"/>
      <c r="AS91" s="560"/>
      <c r="AT91" s="567"/>
      <c r="AU91" s="568">
        <f t="shared" si="69"/>
        <v>84600</v>
      </c>
    </row>
    <row r="92" spans="1:47" s="563" customFormat="1" ht="16.5" x14ac:dyDescent="0.25">
      <c r="A92" s="536"/>
      <c r="B92" s="564" t="s">
        <v>455</v>
      </c>
      <c r="C92" s="458">
        <v>21000000</v>
      </c>
      <c r="D92" s="174">
        <f t="shared" si="70"/>
        <v>21000000</v>
      </c>
      <c r="E92" s="436">
        <f t="shared" si="68"/>
        <v>16732000</v>
      </c>
      <c r="F92" s="585">
        <f t="shared" si="51"/>
        <v>0.79676190476190478</v>
      </c>
      <c r="G92" s="586"/>
      <c r="H92" s="566"/>
      <c r="I92" s="560"/>
      <c r="J92" s="560"/>
      <c r="K92" s="560"/>
      <c r="L92" s="560"/>
      <c r="M92" s="560"/>
      <c r="N92" s="560"/>
      <c r="O92" s="560"/>
      <c r="P92" s="560"/>
      <c r="Q92" s="560"/>
      <c r="R92" s="560"/>
      <c r="S92" s="560"/>
      <c r="T92" s="560"/>
      <c r="U92" s="566"/>
      <c r="V92" s="560"/>
      <c r="W92" s="560"/>
      <c r="X92" s="560"/>
      <c r="Y92" s="560"/>
      <c r="Z92" s="560"/>
      <c r="AA92" s="560"/>
      <c r="AB92" s="560"/>
      <c r="AC92" s="560"/>
      <c r="AD92" s="560"/>
      <c r="AE92" s="560"/>
      <c r="AF92" s="560"/>
      <c r="AG92" s="560"/>
      <c r="AH92" s="560"/>
      <c r="AI92" s="560"/>
      <c r="AJ92" s="560"/>
      <c r="AK92" s="560"/>
      <c r="AL92" s="560"/>
      <c r="AM92" s="560"/>
      <c r="AN92" s="560"/>
      <c r="AO92" s="561"/>
      <c r="AP92" s="560">
        <v>16732000</v>
      </c>
      <c r="AQ92" s="560"/>
      <c r="AR92" s="560"/>
      <c r="AS92" s="560"/>
      <c r="AT92" s="567"/>
      <c r="AU92" s="568">
        <f t="shared" si="69"/>
        <v>16732000</v>
      </c>
    </row>
    <row r="93" spans="1:47" s="622" customFormat="1" ht="19.5" x14ac:dyDescent="0.35">
      <c r="A93" s="610" t="s">
        <v>270</v>
      </c>
      <c r="B93" s="611" t="s">
        <v>264</v>
      </c>
      <c r="C93" s="612">
        <f>SUM(C88:C92)</f>
        <v>21112800</v>
      </c>
      <c r="D93" s="613">
        <f>SUM(D88:D92)</f>
        <v>21112800</v>
      </c>
      <c r="E93" s="614">
        <f>SUM(E88:E92)</f>
        <v>18556441</v>
      </c>
      <c r="F93" s="632">
        <f t="shared" si="51"/>
        <v>0.87891899700655529</v>
      </c>
      <c r="G93" s="629"/>
      <c r="H93" s="617">
        <f t="shared" ref="H93:AU93" si="71">SUM(H88:H92)</f>
        <v>0</v>
      </c>
      <c r="I93" s="617">
        <f t="shared" si="71"/>
        <v>0</v>
      </c>
      <c r="J93" s="617">
        <f t="shared" si="71"/>
        <v>0</v>
      </c>
      <c r="K93" s="617">
        <f t="shared" si="71"/>
        <v>0</v>
      </c>
      <c r="L93" s="617">
        <f t="shared" si="71"/>
        <v>0</v>
      </c>
      <c r="M93" s="617">
        <f t="shared" si="71"/>
        <v>0</v>
      </c>
      <c r="N93" s="617">
        <f t="shared" si="71"/>
        <v>0</v>
      </c>
      <c r="O93" s="617">
        <f t="shared" si="71"/>
        <v>0</v>
      </c>
      <c r="P93" s="617">
        <f t="shared" si="71"/>
        <v>0</v>
      </c>
      <c r="Q93" s="617">
        <f t="shared" si="71"/>
        <v>0</v>
      </c>
      <c r="R93" s="617">
        <f t="shared" si="71"/>
        <v>84600</v>
      </c>
      <c r="S93" s="617">
        <f t="shared" si="71"/>
        <v>60000</v>
      </c>
      <c r="T93" s="617">
        <f t="shared" si="71"/>
        <v>0</v>
      </c>
      <c r="U93" s="617">
        <f t="shared" si="71"/>
        <v>0</v>
      </c>
      <c r="V93" s="617">
        <f t="shared" si="71"/>
        <v>0</v>
      </c>
      <c r="W93" s="617">
        <f t="shared" si="71"/>
        <v>0</v>
      </c>
      <c r="X93" s="617">
        <f t="shared" si="71"/>
        <v>0</v>
      </c>
      <c r="Y93" s="617">
        <f t="shared" si="71"/>
        <v>0</v>
      </c>
      <c r="Z93" s="617">
        <f t="shared" si="71"/>
        <v>0</v>
      </c>
      <c r="AA93" s="617">
        <f t="shared" si="71"/>
        <v>0</v>
      </c>
      <c r="AB93" s="617">
        <f t="shared" si="71"/>
        <v>0</v>
      </c>
      <c r="AC93" s="617">
        <f t="shared" si="71"/>
        <v>0</v>
      </c>
      <c r="AD93" s="617">
        <f t="shared" si="71"/>
        <v>0</v>
      </c>
      <c r="AE93" s="617">
        <f t="shared" si="71"/>
        <v>0</v>
      </c>
      <c r="AF93" s="617">
        <f t="shared" si="71"/>
        <v>0</v>
      </c>
      <c r="AG93" s="617">
        <f t="shared" si="71"/>
        <v>0</v>
      </c>
      <c r="AH93" s="617">
        <f t="shared" si="71"/>
        <v>0</v>
      </c>
      <c r="AI93" s="617">
        <f t="shared" si="71"/>
        <v>0</v>
      </c>
      <c r="AJ93" s="617">
        <f t="shared" si="71"/>
        <v>0</v>
      </c>
      <c r="AK93" s="617">
        <f t="shared" si="71"/>
        <v>0</v>
      </c>
      <c r="AL93" s="617">
        <f t="shared" si="71"/>
        <v>0</v>
      </c>
      <c r="AM93" s="617">
        <f t="shared" si="71"/>
        <v>0</v>
      </c>
      <c r="AN93" s="617">
        <f t="shared" si="71"/>
        <v>0</v>
      </c>
      <c r="AO93" s="633">
        <f t="shared" si="71"/>
        <v>0</v>
      </c>
      <c r="AP93" s="617">
        <f t="shared" si="71"/>
        <v>16732000</v>
      </c>
      <c r="AQ93" s="617">
        <f t="shared" si="71"/>
        <v>0</v>
      </c>
      <c r="AR93" s="617">
        <f t="shared" si="71"/>
        <v>0</v>
      </c>
      <c r="AS93" s="630">
        <f t="shared" si="71"/>
        <v>0</v>
      </c>
      <c r="AT93" s="620">
        <f t="shared" si="71"/>
        <v>1679841</v>
      </c>
      <c r="AU93" s="621">
        <f t="shared" si="71"/>
        <v>18556441</v>
      </c>
    </row>
    <row r="94" spans="1:47" s="647" customFormat="1" ht="19.5" x14ac:dyDescent="0.3">
      <c r="A94" s="635" t="s">
        <v>262</v>
      </c>
      <c r="B94" s="636" t="s">
        <v>267</v>
      </c>
      <c r="C94" s="637">
        <f>SUM(C87+C93)</f>
        <v>77625729</v>
      </c>
      <c r="D94" s="638">
        <f>SUM(D87+D93)</f>
        <v>79415596</v>
      </c>
      <c r="E94" s="639">
        <f>SUM(E87+E93)</f>
        <v>65626482</v>
      </c>
      <c r="F94" s="663">
        <f t="shared" si="51"/>
        <v>0.82636768223712631</v>
      </c>
      <c r="G94" s="649"/>
      <c r="H94" s="642">
        <f t="shared" ref="H94:AU94" si="72">SUM(H87+H93)</f>
        <v>0</v>
      </c>
      <c r="I94" s="642">
        <f t="shared" si="72"/>
        <v>0</v>
      </c>
      <c r="J94" s="642">
        <f t="shared" si="72"/>
        <v>0</v>
      </c>
      <c r="K94" s="642">
        <f t="shared" si="72"/>
        <v>0</v>
      </c>
      <c r="L94" s="642">
        <f t="shared" si="72"/>
        <v>0</v>
      </c>
      <c r="M94" s="642">
        <f t="shared" si="72"/>
        <v>0</v>
      </c>
      <c r="N94" s="642">
        <f t="shared" si="72"/>
        <v>0</v>
      </c>
      <c r="O94" s="642">
        <f t="shared" si="72"/>
        <v>0</v>
      </c>
      <c r="P94" s="642">
        <f t="shared" si="72"/>
        <v>0</v>
      </c>
      <c r="Q94" s="642">
        <f t="shared" si="72"/>
        <v>0</v>
      </c>
      <c r="R94" s="642">
        <f t="shared" si="72"/>
        <v>84600</v>
      </c>
      <c r="S94" s="642">
        <f t="shared" si="72"/>
        <v>60000</v>
      </c>
      <c r="T94" s="642">
        <f t="shared" si="72"/>
        <v>0</v>
      </c>
      <c r="U94" s="642">
        <f t="shared" si="72"/>
        <v>0</v>
      </c>
      <c r="V94" s="642">
        <f t="shared" si="72"/>
        <v>0</v>
      </c>
      <c r="W94" s="642">
        <f t="shared" si="72"/>
        <v>0</v>
      </c>
      <c r="X94" s="642">
        <f t="shared" si="72"/>
        <v>0</v>
      </c>
      <c r="Y94" s="642">
        <f t="shared" si="72"/>
        <v>0</v>
      </c>
      <c r="Z94" s="642">
        <f t="shared" si="72"/>
        <v>0</v>
      </c>
      <c r="AA94" s="642">
        <f t="shared" si="72"/>
        <v>0</v>
      </c>
      <c r="AB94" s="642">
        <f t="shared" si="72"/>
        <v>0</v>
      </c>
      <c r="AC94" s="642">
        <f t="shared" si="72"/>
        <v>0</v>
      </c>
      <c r="AD94" s="642">
        <f t="shared" si="72"/>
        <v>0</v>
      </c>
      <c r="AE94" s="642">
        <f t="shared" si="72"/>
        <v>0</v>
      </c>
      <c r="AF94" s="642">
        <f t="shared" si="72"/>
        <v>0</v>
      </c>
      <c r="AG94" s="642">
        <f t="shared" si="72"/>
        <v>0</v>
      </c>
      <c r="AH94" s="642">
        <f t="shared" si="72"/>
        <v>0</v>
      </c>
      <c r="AI94" s="642">
        <f t="shared" si="72"/>
        <v>0</v>
      </c>
      <c r="AJ94" s="642">
        <f t="shared" si="72"/>
        <v>0</v>
      </c>
      <c r="AK94" s="642">
        <f t="shared" si="72"/>
        <v>0</v>
      </c>
      <c r="AL94" s="642">
        <f t="shared" si="72"/>
        <v>0</v>
      </c>
      <c r="AM94" s="642">
        <f t="shared" si="72"/>
        <v>0</v>
      </c>
      <c r="AN94" s="642">
        <f t="shared" si="72"/>
        <v>0</v>
      </c>
      <c r="AO94" s="664">
        <f t="shared" si="72"/>
        <v>47070041</v>
      </c>
      <c r="AP94" s="642">
        <f t="shared" si="72"/>
        <v>16732000</v>
      </c>
      <c r="AQ94" s="642">
        <f t="shared" si="72"/>
        <v>0</v>
      </c>
      <c r="AR94" s="642">
        <f t="shared" si="72"/>
        <v>0</v>
      </c>
      <c r="AS94" s="650">
        <f t="shared" si="72"/>
        <v>0</v>
      </c>
      <c r="AT94" s="645">
        <f t="shared" si="72"/>
        <v>1679841</v>
      </c>
      <c r="AU94" s="646">
        <f t="shared" si="72"/>
        <v>65626482</v>
      </c>
    </row>
    <row r="95" spans="1:47" s="563" customFormat="1" ht="16.5" x14ac:dyDescent="0.25">
      <c r="A95" s="536" t="s">
        <v>274</v>
      </c>
      <c r="B95" s="537" t="s">
        <v>268</v>
      </c>
      <c r="C95" s="458">
        <v>0</v>
      </c>
      <c r="D95" s="174">
        <f>C95</f>
        <v>0</v>
      </c>
      <c r="E95" s="436">
        <f t="shared" ref="E95:E96" si="73">AU95</f>
        <v>0</v>
      </c>
      <c r="F95" s="585"/>
      <c r="G95" s="586"/>
      <c r="H95" s="566"/>
      <c r="I95" s="566"/>
      <c r="J95" s="566"/>
      <c r="K95" s="566"/>
      <c r="L95" s="566"/>
      <c r="M95" s="566"/>
      <c r="N95" s="566"/>
      <c r="O95" s="566"/>
      <c r="P95" s="566"/>
      <c r="Q95" s="566"/>
      <c r="R95" s="566"/>
      <c r="S95" s="566"/>
      <c r="T95" s="566"/>
      <c r="U95" s="566"/>
      <c r="V95" s="566"/>
      <c r="W95" s="566"/>
      <c r="X95" s="566"/>
      <c r="Y95" s="566"/>
      <c r="Z95" s="566"/>
      <c r="AA95" s="566"/>
      <c r="AB95" s="566"/>
      <c r="AC95" s="566"/>
      <c r="AD95" s="566"/>
      <c r="AE95" s="566"/>
      <c r="AF95" s="566"/>
      <c r="AG95" s="566"/>
      <c r="AH95" s="566"/>
      <c r="AI95" s="566"/>
      <c r="AJ95" s="566"/>
      <c r="AK95" s="566"/>
      <c r="AL95" s="566"/>
      <c r="AM95" s="566"/>
      <c r="AN95" s="566"/>
      <c r="AO95" s="559"/>
      <c r="AP95" s="566"/>
      <c r="AQ95" s="566"/>
      <c r="AR95" s="566"/>
      <c r="AS95" s="560"/>
      <c r="AT95" s="567"/>
      <c r="AU95" s="568">
        <f t="shared" ref="AU95:AU96" si="74">SUM(H95:AT95)</f>
        <v>0</v>
      </c>
    </row>
    <row r="96" spans="1:47" s="563" customFormat="1" ht="16.5" x14ac:dyDescent="0.25">
      <c r="A96" s="536" t="s">
        <v>272</v>
      </c>
      <c r="B96" s="537" t="s">
        <v>271</v>
      </c>
      <c r="C96" s="458">
        <v>0</v>
      </c>
      <c r="D96" s="174">
        <f>C96+175076</f>
        <v>175076</v>
      </c>
      <c r="E96" s="436">
        <f t="shared" si="73"/>
        <v>1202778</v>
      </c>
      <c r="F96" s="585"/>
      <c r="G96" s="586"/>
      <c r="H96" s="566"/>
      <c r="I96" s="566"/>
      <c r="J96" s="566"/>
      <c r="K96" s="566"/>
      <c r="L96" s="566"/>
      <c r="M96" s="566"/>
      <c r="N96" s="566"/>
      <c r="O96" s="566"/>
      <c r="P96" s="566"/>
      <c r="Q96" s="566"/>
      <c r="R96" s="566"/>
      <c r="S96" s="566"/>
      <c r="T96" s="566"/>
      <c r="U96" s="566"/>
      <c r="V96" s="566"/>
      <c r="W96" s="566"/>
      <c r="X96" s="566">
        <v>1202778</v>
      </c>
      <c r="Y96" s="566"/>
      <c r="Z96" s="566"/>
      <c r="AA96" s="566"/>
      <c r="AB96" s="566"/>
      <c r="AC96" s="566"/>
      <c r="AD96" s="566"/>
      <c r="AE96" s="566"/>
      <c r="AF96" s="566"/>
      <c r="AG96" s="566"/>
      <c r="AH96" s="566"/>
      <c r="AI96" s="566"/>
      <c r="AJ96" s="566"/>
      <c r="AK96" s="566"/>
      <c r="AL96" s="566"/>
      <c r="AM96" s="566"/>
      <c r="AN96" s="566"/>
      <c r="AO96" s="559"/>
      <c r="AP96" s="566"/>
      <c r="AQ96" s="566"/>
      <c r="AR96" s="566"/>
      <c r="AS96" s="560"/>
      <c r="AT96" s="567"/>
      <c r="AU96" s="568">
        <f t="shared" si="74"/>
        <v>1202778</v>
      </c>
    </row>
    <row r="97" spans="1:47" s="647" customFormat="1" ht="19.5" x14ac:dyDescent="0.3">
      <c r="A97" s="635" t="s">
        <v>273</v>
      </c>
      <c r="B97" s="636" t="s">
        <v>275</v>
      </c>
      <c r="C97" s="637">
        <f>SUM(C95:C96)</f>
        <v>0</v>
      </c>
      <c r="D97" s="638">
        <f t="shared" ref="D97:E97" si="75">SUM(D95:D96)</f>
        <v>175076</v>
      </c>
      <c r="E97" s="639">
        <f t="shared" si="75"/>
        <v>1202778</v>
      </c>
      <c r="F97" s="663"/>
      <c r="G97" s="649"/>
      <c r="H97" s="642">
        <f t="shared" ref="H97:AU97" si="76">SUM(H95:H96)</f>
        <v>0</v>
      </c>
      <c r="I97" s="642">
        <f t="shared" si="76"/>
        <v>0</v>
      </c>
      <c r="J97" s="642">
        <f t="shared" si="76"/>
        <v>0</v>
      </c>
      <c r="K97" s="642">
        <f t="shared" si="76"/>
        <v>0</v>
      </c>
      <c r="L97" s="642">
        <f t="shared" si="76"/>
        <v>0</v>
      </c>
      <c r="M97" s="642">
        <f t="shared" si="76"/>
        <v>0</v>
      </c>
      <c r="N97" s="642">
        <f t="shared" si="76"/>
        <v>0</v>
      </c>
      <c r="O97" s="642">
        <f t="shared" si="76"/>
        <v>0</v>
      </c>
      <c r="P97" s="642">
        <f t="shared" si="76"/>
        <v>0</v>
      </c>
      <c r="Q97" s="642">
        <f t="shared" si="76"/>
        <v>0</v>
      </c>
      <c r="R97" s="642">
        <f t="shared" si="76"/>
        <v>0</v>
      </c>
      <c r="S97" s="642">
        <f t="shared" si="76"/>
        <v>0</v>
      </c>
      <c r="T97" s="642">
        <f t="shared" si="76"/>
        <v>0</v>
      </c>
      <c r="U97" s="642">
        <f t="shared" si="76"/>
        <v>0</v>
      </c>
      <c r="V97" s="642">
        <f t="shared" si="76"/>
        <v>0</v>
      </c>
      <c r="W97" s="642">
        <f t="shared" si="76"/>
        <v>0</v>
      </c>
      <c r="X97" s="642">
        <f t="shared" si="76"/>
        <v>1202778</v>
      </c>
      <c r="Y97" s="642">
        <f t="shared" si="76"/>
        <v>0</v>
      </c>
      <c r="Z97" s="642">
        <f t="shared" si="76"/>
        <v>0</v>
      </c>
      <c r="AA97" s="642">
        <f t="shared" si="76"/>
        <v>0</v>
      </c>
      <c r="AB97" s="642">
        <f t="shared" si="76"/>
        <v>0</v>
      </c>
      <c r="AC97" s="642">
        <f t="shared" si="76"/>
        <v>0</v>
      </c>
      <c r="AD97" s="642">
        <f t="shared" si="76"/>
        <v>0</v>
      </c>
      <c r="AE97" s="642">
        <f t="shared" si="76"/>
        <v>0</v>
      </c>
      <c r="AF97" s="642">
        <f t="shared" si="76"/>
        <v>0</v>
      </c>
      <c r="AG97" s="642">
        <f t="shared" si="76"/>
        <v>0</v>
      </c>
      <c r="AH97" s="642">
        <f t="shared" si="76"/>
        <v>0</v>
      </c>
      <c r="AI97" s="642">
        <f t="shared" si="76"/>
        <v>0</v>
      </c>
      <c r="AJ97" s="642">
        <f t="shared" si="76"/>
        <v>0</v>
      </c>
      <c r="AK97" s="642">
        <f t="shared" si="76"/>
        <v>0</v>
      </c>
      <c r="AL97" s="642">
        <f t="shared" si="76"/>
        <v>0</v>
      </c>
      <c r="AM97" s="642">
        <f t="shared" si="76"/>
        <v>0</v>
      </c>
      <c r="AN97" s="642">
        <f t="shared" si="76"/>
        <v>0</v>
      </c>
      <c r="AO97" s="664">
        <f t="shared" si="76"/>
        <v>0</v>
      </c>
      <c r="AP97" s="642">
        <f t="shared" si="76"/>
        <v>0</v>
      </c>
      <c r="AQ97" s="642">
        <f t="shared" si="76"/>
        <v>0</v>
      </c>
      <c r="AR97" s="642">
        <f t="shared" si="76"/>
        <v>0</v>
      </c>
      <c r="AS97" s="650">
        <f t="shared" si="76"/>
        <v>0</v>
      </c>
      <c r="AT97" s="645">
        <f t="shared" si="76"/>
        <v>0</v>
      </c>
      <c r="AU97" s="646">
        <f t="shared" si="76"/>
        <v>1202778</v>
      </c>
    </row>
    <row r="98" spans="1:47" s="622" customFormat="1" ht="19.5" x14ac:dyDescent="0.35">
      <c r="A98" s="610" t="s">
        <v>276</v>
      </c>
      <c r="B98" s="611" t="s">
        <v>613</v>
      </c>
      <c r="C98" s="612">
        <v>2500000</v>
      </c>
      <c r="D98" s="613">
        <f>C98</f>
        <v>2500000</v>
      </c>
      <c r="E98" s="614">
        <f t="shared" ref="E98:E100" si="77">AU98</f>
        <v>2649827</v>
      </c>
      <c r="F98" s="632">
        <f t="shared" si="51"/>
        <v>1.0599308000000001</v>
      </c>
      <c r="G98" s="634"/>
      <c r="H98" s="617"/>
      <c r="I98" s="617"/>
      <c r="J98" s="617"/>
      <c r="K98" s="617"/>
      <c r="L98" s="617"/>
      <c r="M98" s="617"/>
      <c r="N98" s="617"/>
      <c r="O98" s="617"/>
      <c r="P98" s="617"/>
      <c r="Q98" s="617"/>
      <c r="R98" s="617"/>
      <c r="S98" s="617"/>
      <c r="T98" s="617"/>
      <c r="U98" s="617"/>
      <c r="V98" s="617"/>
      <c r="W98" s="617"/>
      <c r="X98" s="617"/>
      <c r="Y98" s="617"/>
      <c r="Z98" s="617"/>
      <c r="AA98" s="617"/>
      <c r="AB98" s="617"/>
      <c r="AC98" s="617"/>
      <c r="AD98" s="617"/>
      <c r="AE98" s="617"/>
      <c r="AF98" s="617"/>
      <c r="AG98" s="617"/>
      <c r="AH98" s="617"/>
      <c r="AI98" s="617"/>
      <c r="AJ98" s="617"/>
      <c r="AK98" s="617"/>
      <c r="AL98" s="617"/>
      <c r="AM98" s="617"/>
      <c r="AN98" s="617"/>
      <c r="AO98" s="633"/>
      <c r="AP98" s="617"/>
      <c r="AQ98" s="617"/>
      <c r="AR98" s="617"/>
      <c r="AS98" s="630">
        <v>2649827</v>
      </c>
      <c r="AT98" s="620"/>
      <c r="AU98" s="621">
        <f t="shared" ref="AU98:AU100" si="78">SUM(H98:AT98)</f>
        <v>2649827</v>
      </c>
    </row>
    <row r="99" spans="1:47" s="563" customFormat="1" ht="16.5" x14ac:dyDescent="0.25">
      <c r="A99" s="536" t="s">
        <v>703</v>
      </c>
      <c r="B99" s="564" t="s">
        <v>454</v>
      </c>
      <c r="C99" s="458">
        <v>4200000</v>
      </c>
      <c r="D99" s="174">
        <f>C99</f>
        <v>4200000</v>
      </c>
      <c r="E99" s="436">
        <f t="shared" si="77"/>
        <v>4140970</v>
      </c>
      <c r="F99" s="585">
        <f t="shared" si="51"/>
        <v>0.98594523809523804</v>
      </c>
      <c r="G99" s="606"/>
      <c r="H99" s="566"/>
      <c r="I99" s="560"/>
      <c r="J99" s="560"/>
      <c r="K99" s="560"/>
      <c r="L99" s="560"/>
      <c r="M99" s="560"/>
      <c r="N99" s="560"/>
      <c r="O99" s="560"/>
      <c r="P99" s="560"/>
      <c r="Q99" s="560"/>
      <c r="R99" s="560"/>
      <c r="S99" s="560"/>
      <c r="T99" s="560"/>
      <c r="U99" s="566"/>
      <c r="V99" s="560"/>
      <c r="W99" s="560"/>
      <c r="X99" s="560"/>
      <c r="Y99" s="560"/>
      <c r="Z99" s="560"/>
      <c r="AA99" s="560"/>
      <c r="AB99" s="560"/>
      <c r="AC99" s="560"/>
      <c r="AD99" s="560"/>
      <c r="AE99" s="560"/>
      <c r="AF99" s="560"/>
      <c r="AG99" s="560"/>
      <c r="AH99" s="560"/>
      <c r="AI99" s="560"/>
      <c r="AJ99" s="560"/>
      <c r="AK99" s="560"/>
      <c r="AL99" s="560"/>
      <c r="AM99" s="560"/>
      <c r="AN99" s="560"/>
      <c r="AO99" s="561"/>
      <c r="AP99" s="560"/>
      <c r="AQ99" s="560"/>
      <c r="AR99" s="560"/>
      <c r="AS99" s="560">
        <v>4140970</v>
      </c>
      <c r="AT99" s="567"/>
      <c r="AU99" s="568">
        <f t="shared" si="78"/>
        <v>4140970</v>
      </c>
    </row>
    <row r="100" spans="1:47" s="563" customFormat="1" ht="16.5" x14ac:dyDescent="0.25">
      <c r="A100" s="536" t="s">
        <v>704</v>
      </c>
      <c r="B100" s="564" t="s">
        <v>616</v>
      </c>
      <c r="C100" s="458">
        <v>6500000</v>
      </c>
      <c r="D100" s="174">
        <f t="shared" ref="D100:D107" si="79">C100</f>
        <v>6500000</v>
      </c>
      <c r="E100" s="436">
        <f t="shared" si="77"/>
        <v>5041092</v>
      </c>
      <c r="F100" s="585">
        <f t="shared" si="51"/>
        <v>0.7755526153846154</v>
      </c>
      <c r="G100" s="606"/>
      <c r="H100" s="566"/>
      <c r="I100" s="566"/>
      <c r="J100" s="566"/>
      <c r="K100" s="566"/>
      <c r="L100" s="566"/>
      <c r="M100" s="566"/>
      <c r="N100" s="566"/>
      <c r="O100" s="566"/>
      <c r="P100" s="566"/>
      <c r="Q100" s="566"/>
      <c r="R100" s="566"/>
      <c r="S100" s="566"/>
      <c r="T100" s="566"/>
      <c r="U100" s="566"/>
      <c r="V100" s="566"/>
      <c r="W100" s="566"/>
      <c r="X100" s="566"/>
      <c r="Y100" s="566"/>
      <c r="Z100" s="566"/>
      <c r="AA100" s="566"/>
      <c r="AB100" s="566"/>
      <c r="AC100" s="566"/>
      <c r="AD100" s="566"/>
      <c r="AE100" s="566"/>
      <c r="AF100" s="566"/>
      <c r="AG100" s="566"/>
      <c r="AH100" s="566"/>
      <c r="AI100" s="566"/>
      <c r="AJ100" s="566"/>
      <c r="AK100" s="566"/>
      <c r="AL100" s="566"/>
      <c r="AM100" s="566"/>
      <c r="AN100" s="566"/>
      <c r="AO100" s="559"/>
      <c r="AP100" s="566"/>
      <c r="AQ100" s="566"/>
      <c r="AR100" s="566"/>
      <c r="AS100" s="560">
        <v>5041092</v>
      </c>
      <c r="AT100" s="567"/>
      <c r="AU100" s="568">
        <f t="shared" si="78"/>
        <v>5041092</v>
      </c>
    </row>
    <row r="101" spans="1:47" s="622" customFormat="1" ht="19.5" x14ac:dyDescent="0.35">
      <c r="A101" s="610" t="s">
        <v>277</v>
      </c>
      <c r="B101" s="611" t="s">
        <v>626</v>
      </c>
      <c r="C101" s="612">
        <f>SUM(C99:C100)</f>
        <v>10700000</v>
      </c>
      <c r="D101" s="613">
        <f t="shared" ref="D101:E101" si="80">SUM(D99:D100)</f>
        <v>10700000</v>
      </c>
      <c r="E101" s="614">
        <f t="shared" si="80"/>
        <v>9182062</v>
      </c>
      <c r="F101" s="632">
        <f t="shared" si="51"/>
        <v>0.85813663551401864</v>
      </c>
      <c r="G101" s="634"/>
      <c r="H101" s="617">
        <f t="shared" ref="H101:AU101" si="81">SUM(H99:H100)</f>
        <v>0</v>
      </c>
      <c r="I101" s="617">
        <f t="shared" si="81"/>
        <v>0</v>
      </c>
      <c r="J101" s="617">
        <f t="shared" si="81"/>
        <v>0</v>
      </c>
      <c r="K101" s="617">
        <f t="shared" si="81"/>
        <v>0</v>
      </c>
      <c r="L101" s="617">
        <f t="shared" si="81"/>
        <v>0</v>
      </c>
      <c r="M101" s="617">
        <f t="shared" si="81"/>
        <v>0</v>
      </c>
      <c r="N101" s="617">
        <f t="shared" si="81"/>
        <v>0</v>
      </c>
      <c r="O101" s="617">
        <f t="shared" si="81"/>
        <v>0</v>
      </c>
      <c r="P101" s="617">
        <f t="shared" si="81"/>
        <v>0</v>
      </c>
      <c r="Q101" s="617">
        <f t="shared" si="81"/>
        <v>0</v>
      </c>
      <c r="R101" s="617">
        <f t="shared" si="81"/>
        <v>0</v>
      </c>
      <c r="S101" s="617">
        <f t="shared" si="81"/>
        <v>0</v>
      </c>
      <c r="T101" s="617">
        <f t="shared" si="81"/>
        <v>0</v>
      </c>
      <c r="U101" s="617">
        <f t="shared" si="81"/>
        <v>0</v>
      </c>
      <c r="V101" s="617">
        <f t="shared" si="81"/>
        <v>0</v>
      </c>
      <c r="W101" s="617">
        <f t="shared" si="81"/>
        <v>0</v>
      </c>
      <c r="X101" s="617">
        <f t="shared" si="81"/>
        <v>0</v>
      </c>
      <c r="Y101" s="617">
        <f t="shared" si="81"/>
        <v>0</v>
      </c>
      <c r="Z101" s="617">
        <f t="shared" si="81"/>
        <v>0</v>
      </c>
      <c r="AA101" s="617">
        <f t="shared" si="81"/>
        <v>0</v>
      </c>
      <c r="AB101" s="617">
        <f t="shared" si="81"/>
        <v>0</v>
      </c>
      <c r="AC101" s="617">
        <f t="shared" si="81"/>
        <v>0</v>
      </c>
      <c r="AD101" s="617">
        <f t="shared" si="81"/>
        <v>0</v>
      </c>
      <c r="AE101" s="617">
        <f t="shared" si="81"/>
        <v>0</v>
      </c>
      <c r="AF101" s="617">
        <f t="shared" si="81"/>
        <v>0</v>
      </c>
      <c r="AG101" s="617">
        <f t="shared" si="81"/>
        <v>0</v>
      </c>
      <c r="AH101" s="617">
        <f t="shared" si="81"/>
        <v>0</v>
      </c>
      <c r="AI101" s="617">
        <f t="shared" si="81"/>
        <v>0</v>
      </c>
      <c r="AJ101" s="617">
        <f t="shared" si="81"/>
        <v>0</v>
      </c>
      <c r="AK101" s="617">
        <f t="shared" si="81"/>
        <v>0</v>
      </c>
      <c r="AL101" s="617">
        <f t="shared" si="81"/>
        <v>0</v>
      </c>
      <c r="AM101" s="617">
        <f t="shared" si="81"/>
        <v>0</v>
      </c>
      <c r="AN101" s="617">
        <f t="shared" si="81"/>
        <v>0</v>
      </c>
      <c r="AO101" s="633">
        <f t="shared" si="81"/>
        <v>0</v>
      </c>
      <c r="AP101" s="617">
        <f t="shared" si="81"/>
        <v>0</v>
      </c>
      <c r="AQ101" s="617">
        <f t="shared" si="81"/>
        <v>0</v>
      </c>
      <c r="AR101" s="617">
        <f t="shared" si="81"/>
        <v>0</v>
      </c>
      <c r="AS101" s="630">
        <f t="shared" si="81"/>
        <v>9182062</v>
      </c>
      <c r="AT101" s="620">
        <f t="shared" si="81"/>
        <v>0</v>
      </c>
      <c r="AU101" s="621">
        <f t="shared" si="81"/>
        <v>9182062</v>
      </c>
    </row>
    <row r="102" spans="1:47" s="563" customFormat="1" ht="16.5" x14ac:dyDescent="0.25">
      <c r="A102" s="536" t="s">
        <v>278</v>
      </c>
      <c r="B102" s="564" t="s">
        <v>458</v>
      </c>
      <c r="C102" s="458">
        <v>150000000</v>
      </c>
      <c r="D102" s="174">
        <f t="shared" si="79"/>
        <v>150000000</v>
      </c>
      <c r="E102" s="436">
        <f t="shared" ref="E102:E104" si="82">AU102</f>
        <v>134379138</v>
      </c>
      <c r="F102" s="585">
        <f t="shared" si="51"/>
        <v>0.89586091999999995</v>
      </c>
      <c r="G102" s="606"/>
      <c r="H102" s="566"/>
      <c r="I102" s="560"/>
      <c r="J102" s="560"/>
      <c r="K102" s="560"/>
      <c r="L102" s="560"/>
      <c r="M102" s="560"/>
      <c r="N102" s="560"/>
      <c r="O102" s="560"/>
      <c r="P102" s="560"/>
      <c r="Q102" s="560"/>
      <c r="R102" s="560"/>
      <c r="S102" s="607"/>
      <c r="T102" s="560"/>
      <c r="U102" s="566"/>
      <c r="V102" s="560"/>
      <c r="W102" s="560"/>
      <c r="X102" s="560"/>
      <c r="Y102" s="560"/>
      <c r="Z102" s="560"/>
      <c r="AA102" s="560"/>
      <c r="AB102" s="560"/>
      <c r="AC102" s="560"/>
      <c r="AD102" s="560"/>
      <c r="AE102" s="560"/>
      <c r="AF102" s="560"/>
      <c r="AG102" s="560"/>
      <c r="AH102" s="560"/>
      <c r="AI102" s="560"/>
      <c r="AJ102" s="560"/>
      <c r="AK102" s="560"/>
      <c r="AL102" s="560"/>
      <c r="AM102" s="560"/>
      <c r="AN102" s="560"/>
      <c r="AO102" s="561"/>
      <c r="AP102" s="560"/>
      <c r="AQ102" s="560"/>
      <c r="AR102" s="560"/>
      <c r="AS102" s="560">
        <v>134379138</v>
      </c>
      <c r="AT102" s="567"/>
      <c r="AU102" s="568">
        <f t="shared" ref="AU102:AU104" si="83">SUM(H102:AT102)</f>
        <v>134379138</v>
      </c>
    </row>
    <row r="103" spans="1:47" s="563" customFormat="1" ht="16.5" x14ac:dyDescent="0.25">
      <c r="A103" s="536" t="s">
        <v>279</v>
      </c>
      <c r="B103" s="564" t="s">
        <v>281</v>
      </c>
      <c r="C103" s="458">
        <v>6000000</v>
      </c>
      <c r="D103" s="174">
        <f>C103</f>
        <v>6000000</v>
      </c>
      <c r="E103" s="436">
        <f t="shared" si="82"/>
        <v>4493377</v>
      </c>
      <c r="F103" s="585">
        <f t="shared" si="51"/>
        <v>0.7488961666666667</v>
      </c>
      <c r="G103" s="606"/>
      <c r="H103" s="566"/>
      <c r="I103" s="566"/>
      <c r="J103" s="566"/>
      <c r="K103" s="566"/>
      <c r="L103" s="566"/>
      <c r="M103" s="566"/>
      <c r="N103" s="566"/>
      <c r="O103" s="566"/>
      <c r="P103" s="566"/>
      <c r="Q103" s="566"/>
      <c r="R103" s="566"/>
      <c r="S103" s="566"/>
      <c r="T103" s="566"/>
      <c r="U103" s="566"/>
      <c r="V103" s="566"/>
      <c r="W103" s="566"/>
      <c r="X103" s="566"/>
      <c r="Y103" s="566"/>
      <c r="Z103" s="566"/>
      <c r="AA103" s="566"/>
      <c r="AB103" s="566"/>
      <c r="AC103" s="566"/>
      <c r="AD103" s="566"/>
      <c r="AE103" s="566"/>
      <c r="AF103" s="566"/>
      <c r="AG103" s="566"/>
      <c r="AH103" s="566"/>
      <c r="AI103" s="566"/>
      <c r="AJ103" s="566"/>
      <c r="AK103" s="566"/>
      <c r="AL103" s="566"/>
      <c r="AM103" s="566"/>
      <c r="AN103" s="566"/>
      <c r="AO103" s="559"/>
      <c r="AP103" s="566"/>
      <c r="AQ103" s="566"/>
      <c r="AR103" s="566"/>
      <c r="AS103" s="560">
        <v>4493377</v>
      </c>
      <c r="AT103" s="567"/>
      <c r="AU103" s="568">
        <f t="shared" si="83"/>
        <v>4493377</v>
      </c>
    </row>
    <row r="104" spans="1:47" s="563" customFormat="1" ht="16.5" x14ac:dyDescent="0.25">
      <c r="A104" s="536" t="s">
        <v>280</v>
      </c>
      <c r="B104" s="564" t="s">
        <v>453</v>
      </c>
      <c r="C104" s="458">
        <v>2000000</v>
      </c>
      <c r="D104" s="174">
        <f t="shared" si="79"/>
        <v>2000000</v>
      </c>
      <c r="E104" s="436">
        <f t="shared" si="82"/>
        <v>1687500</v>
      </c>
      <c r="F104" s="585">
        <f t="shared" si="51"/>
        <v>0.84375</v>
      </c>
      <c r="G104" s="606"/>
      <c r="H104" s="566"/>
      <c r="I104" s="560"/>
      <c r="J104" s="560"/>
      <c r="K104" s="560"/>
      <c r="L104" s="560"/>
      <c r="M104" s="560"/>
      <c r="N104" s="560"/>
      <c r="O104" s="560"/>
      <c r="P104" s="560"/>
      <c r="Q104" s="560"/>
      <c r="R104" s="560"/>
      <c r="S104" s="560"/>
      <c r="T104" s="560"/>
      <c r="U104" s="566"/>
      <c r="V104" s="560"/>
      <c r="W104" s="560"/>
      <c r="X104" s="560"/>
      <c r="Y104" s="560"/>
      <c r="Z104" s="560"/>
      <c r="AA104" s="560"/>
      <c r="AB104" s="560"/>
      <c r="AC104" s="560"/>
      <c r="AD104" s="560"/>
      <c r="AE104" s="560"/>
      <c r="AF104" s="560"/>
      <c r="AG104" s="560"/>
      <c r="AH104" s="560"/>
      <c r="AI104" s="560"/>
      <c r="AJ104" s="560"/>
      <c r="AK104" s="560"/>
      <c r="AL104" s="560"/>
      <c r="AM104" s="560"/>
      <c r="AN104" s="560"/>
      <c r="AO104" s="561"/>
      <c r="AP104" s="560"/>
      <c r="AQ104" s="560"/>
      <c r="AR104" s="560"/>
      <c r="AS104" s="560">
        <v>1687500</v>
      </c>
      <c r="AT104" s="567"/>
      <c r="AU104" s="568">
        <f t="shared" si="83"/>
        <v>1687500</v>
      </c>
    </row>
    <row r="105" spans="1:47" s="622" customFormat="1" ht="19.5" x14ac:dyDescent="0.35">
      <c r="A105" s="610" t="s">
        <v>619</v>
      </c>
      <c r="B105" s="611" t="s">
        <v>620</v>
      </c>
      <c r="C105" s="612">
        <f>SUM(C102:C104)</f>
        <v>158000000</v>
      </c>
      <c r="D105" s="613">
        <f t="shared" ref="D105:E105" si="84">SUM(D102:D104)</f>
        <v>158000000</v>
      </c>
      <c r="E105" s="614">
        <f t="shared" si="84"/>
        <v>140560015</v>
      </c>
      <c r="F105" s="632">
        <f t="shared" si="51"/>
        <v>0.88962034810126578</v>
      </c>
      <c r="G105" s="634"/>
      <c r="H105" s="617">
        <f t="shared" ref="H105:AU105" si="85">SUM(H102:H104)</f>
        <v>0</v>
      </c>
      <c r="I105" s="630">
        <f t="shared" si="85"/>
        <v>0</v>
      </c>
      <c r="J105" s="630">
        <f t="shared" si="85"/>
        <v>0</v>
      </c>
      <c r="K105" s="630">
        <f t="shared" si="85"/>
        <v>0</v>
      </c>
      <c r="L105" s="630">
        <f t="shared" si="85"/>
        <v>0</v>
      </c>
      <c r="M105" s="630">
        <f t="shared" si="85"/>
        <v>0</v>
      </c>
      <c r="N105" s="630">
        <f t="shared" si="85"/>
        <v>0</v>
      </c>
      <c r="O105" s="630">
        <f t="shared" si="85"/>
        <v>0</v>
      </c>
      <c r="P105" s="630">
        <f t="shared" si="85"/>
        <v>0</v>
      </c>
      <c r="Q105" s="630">
        <f t="shared" si="85"/>
        <v>0</v>
      </c>
      <c r="R105" s="630">
        <f t="shared" si="85"/>
        <v>0</v>
      </c>
      <c r="S105" s="630">
        <f t="shared" si="85"/>
        <v>0</v>
      </c>
      <c r="T105" s="630">
        <f t="shared" si="85"/>
        <v>0</v>
      </c>
      <c r="U105" s="617">
        <f t="shared" si="85"/>
        <v>0</v>
      </c>
      <c r="V105" s="630">
        <f t="shared" si="85"/>
        <v>0</v>
      </c>
      <c r="W105" s="630">
        <f t="shared" si="85"/>
        <v>0</v>
      </c>
      <c r="X105" s="630">
        <f t="shared" si="85"/>
        <v>0</v>
      </c>
      <c r="Y105" s="630">
        <f t="shared" si="85"/>
        <v>0</v>
      </c>
      <c r="Z105" s="630">
        <f t="shared" si="85"/>
        <v>0</v>
      </c>
      <c r="AA105" s="630">
        <f t="shared" si="85"/>
        <v>0</v>
      </c>
      <c r="AB105" s="630">
        <f t="shared" si="85"/>
        <v>0</v>
      </c>
      <c r="AC105" s="630">
        <f t="shared" si="85"/>
        <v>0</v>
      </c>
      <c r="AD105" s="630">
        <f t="shared" si="85"/>
        <v>0</v>
      </c>
      <c r="AE105" s="630">
        <f t="shared" si="85"/>
        <v>0</v>
      </c>
      <c r="AF105" s="630">
        <f t="shared" si="85"/>
        <v>0</v>
      </c>
      <c r="AG105" s="630">
        <f t="shared" si="85"/>
        <v>0</v>
      </c>
      <c r="AH105" s="630">
        <f t="shared" si="85"/>
        <v>0</v>
      </c>
      <c r="AI105" s="630">
        <f t="shared" si="85"/>
        <v>0</v>
      </c>
      <c r="AJ105" s="630">
        <f t="shared" si="85"/>
        <v>0</v>
      </c>
      <c r="AK105" s="630">
        <f t="shared" si="85"/>
        <v>0</v>
      </c>
      <c r="AL105" s="630">
        <f t="shared" si="85"/>
        <v>0</v>
      </c>
      <c r="AM105" s="630">
        <f t="shared" si="85"/>
        <v>0</v>
      </c>
      <c r="AN105" s="630">
        <f t="shared" si="85"/>
        <v>0</v>
      </c>
      <c r="AO105" s="631">
        <f t="shared" si="85"/>
        <v>0</v>
      </c>
      <c r="AP105" s="630">
        <f t="shared" si="85"/>
        <v>0</v>
      </c>
      <c r="AQ105" s="630">
        <f t="shared" si="85"/>
        <v>0</v>
      </c>
      <c r="AR105" s="630">
        <f t="shared" si="85"/>
        <v>0</v>
      </c>
      <c r="AS105" s="630">
        <f t="shared" si="85"/>
        <v>140560015</v>
      </c>
      <c r="AT105" s="620">
        <f t="shared" si="85"/>
        <v>0</v>
      </c>
      <c r="AU105" s="621">
        <f t="shared" si="85"/>
        <v>140560015</v>
      </c>
    </row>
    <row r="106" spans="1:47" s="563" customFormat="1" ht="16.5" x14ac:dyDescent="0.25">
      <c r="A106" s="536" t="s">
        <v>624</v>
      </c>
      <c r="B106" s="564" t="s">
        <v>617</v>
      </c>
      <c r="C106" s="458">
        <v>50000</v>
      </c>
      <c r="D106" s="174">
        <f t="shared" si="79"/>
        <v>50000</v>
      </c>
      <c r="E106" s="436">
        <f t="shared" ref="E106:E108" si="86">AU106</f>
        <v>417600</v>
      </c>
      <c r="F106" s="585">
        <f t="shared" si="51"/>
        <v>8.3520000000000003</v>
      </c>
      <c r="G106" s="606"/>
      <c r="H106" s="566"/>
      <c r="I106" s="566"/>
      <c r="J106" s="566"/>
      <c r="K106" s="566"/>
      <c r="L106" s="566"/>
      <c r="M106" s="566"/>
      <c r="N106" s="566"/>
      <c r="O106" s="566"/>
      <c r="P106" s="566"/>
      <c r="Q106" s="566"/>
      <c r="R106" s="566"/>
      <c r="S106" s="566"/>
      <c r="T106" s="566"/>
      <c r="U106" s="566"/>
      <c r="V106" s="566"/>
      <c r="W106" s="566"/>
      <c r="X106" s="566"/>
      <c r="Y106" s="566"/>
      <c r="Z106" s="566"/>
      <c r="AA106" s="566"/>
      <c r="AB106" s="566"/>
      <c r="AC106" s="566"/>
      <c r="AD106" s="566"/>
      <c r="AE106" s="566"/>
      <c r="AF106" s="566"/>
      <c r="AG106" s="566"/>
      <c r="AH106" s="566"/>
      <c r="AI106" s="566"/>
      <c r="AJ106" s="566"/>
      <c r="AK106" s="566"/>
      <c r="AL106" s="566"/>
      <c r="AM106" s="566"/>
      <c r="AN106" s="566"/>
      <c r="AO106" s="559"/>
      <c r="AP106" s="566"/>
      <c r="AQ106" s="566"/>
      <c r="AR106" s="566"/>
      <c r="AS106" s="560">
        <v>417600</v>
      </c>
      <c r="AT106" s="567"/>
      <c r="AU106" s="568">
        <f t="shared" ref="AU106:AU108" si="87">SUM(H106:AT106)</f>
        <v>417600</v>
      </c>
    </row>
    <row r="107" spans="1:47" s="563" customFormat="1" ht="16.5" x14ac:dyDescent="0.25">
      <c r="A107" s="536" t="s">
        <v>625</v>
      </c>
      <c r="B107" s="564" t="s">
        <v>514</v>
      </c>
      <c r="C107" s="458">
        <v>15000</v>
      </c>
      <c r="D107" s="174">
        <f t="shared" si="79"/>
        <v>15000</v>
      </c>
      <c r="E107" s="436">
        <f t="shared" si="86"/>
        <v>60053</v>
      </c>
      <c r="F107" s="585">
        <f t="shared" si="51"/>
        <v>4.0035333333333334</v>
      </c>
      <c r="G107" s="586"/>
      <c r="H107" s="566"/>
      <c r="I107" s="566"/>
      <c r="J107" s="566"/>
      <c r="K107" s="566"/>
      <c r="L107" s="566"/>
      <c r="M107" s="566"/>
      <c r="N107" s="566"/>
      <c r="O107" s="566"/>
      <c r="P107" s="566"/>
      <c r="Q107" s="566"/>
      <c r="R107" s="566"/>
      <c r="S107" s="566"/>
      <c r="T107" s="566"/>
      <c r="U107" s="566"/>
      <c r="V107" s="566"/>
      <c r="W107" s="566"/>
      <c r="X107" s="566"/>
      <c r="Y107" s="566"/>
      <c r="Z107" s="566"/>
      <c r="AA107" s="566"/>
      <c r="AB107" s="566"/>
      <c r="AC107" s="566"/>
      <c r="AD107" s="566"/>
      <c r="AE107" s="566"/>
      <c r="AF107" s="566"/>
      <c r="AG107" s="566"/>
      <c r="AH107" s="566"/>
      <c r="AI107" s="566"/>
      <c r="AJ107" s="566"/>
      <c r="AK107" s="566"/>
      <c r="AL107" s="566"/>
      <c r="AM107" s="566"/>
      <c r="AN107" s="566"/>
      <c r="AO107" s="559"/>
      <c r="AP107" s="566"/>
      <c r="AQ107" s="566"/>
      <c r="AR107" s="566"/>
      <c r="AS107" s="560">
        <v>60053</v>
      </c>
      <c r="AT107" s="567"/>
      <c r="AU107" s="568">
        <f t="shared" si="87"/>
        <v>60053</v>
      </c>
    </row>
    <row r="108" spans="1:47" s="563" customFormat="1" ht="16.5" x14ac:dyDescent="0.25">
      <c r="A108" s="536" t="s">
        <v>623</v>
      </c>
      <c r="B108" s="564" t="s">
        <v>622</v>
      </c>
      <c r="C108" s="458">
        <v>0</v>
      </c>
      <c r="D108" s="174">
        <f>C108</f>
        <v>0</v>
      </c>
      <c r="E108" s="436">
        <f t="shared" si="86"/>
        <v>5000</v>
      </c>
      <c r="F108" s="585"/>
      <c r="G108" s="606"/>
      <c r="H108" s="566"/>
      <c r="I108" s="566"/>
      <c r="J108" s="566"/>
      <c r="K108" s="566"/>
      <c r="L108" s="566"/>
      <c r="M108" s="566"/>
      <c r="N108" s="566"/>
      <c r="O108" s="566"/>
      <c r="P108" s="566"/>
      <c r="Q108" s="566"/>
      <c r="R108" s="566"/>
      <c r="S108" s="566"/>
      <c r="T108" s="566"/>
      <c r="U108" s="566"/>
      <c r="V108" s="566"/>
      <c r="W108" s="566"/>
      <c r="X108" s="566"/>
      <c r="Y108" s="566"/>
      <c r="Z108" s="566"/>
      <c r="AA108" s="566"/>
      <c r="AB108" s="566"/>
      <c r="AC108" s="566"/>
      <c r="AD108" s="566"/>
      <c r="AE108" s="566"/>
      <c r="AF108" s="566"/>
      <c r="AG108" s="566"/>
      <c r="AH108" s="566"/>
      <c r="AI108" s="566"/>
      <c r="AJ108" s="566"/>
      <c r="AK108" s="566"/>
      <c r="AL108" s="566"/>
      <c r="AM108" s="566"/>
      <c r="AN108" s="566"/>
      <c r="AO108" s="559"/>
      <c r="AP108" s="566"/>
      <c r="AQ108" s="566"/>
      <c r="AR108" s="566"/>
      <c r="AS108" s="560">
        <v>5000</v>
      </c>
      <c r="AT108" s="567"/>
      <c r="AU108" s="568">
        <f t="shared" si="87"/>
        <v>5000</v>
      </c>
    </row>
    <row r="109" spans="1:47" s="622" customFormat="1" ht="19.5" x14ac:dyDescent="0.35">
      <c r="A109" s="610" t="s">
        <v>618</v>
      </c>
      <c r="B109" s="611" t="s">
        <v>621</v>
      </c>
      <c r="C109" s="612">
        <f>SUM(C106:C108)</f>
        <v>65000</v>
      </c>
      <c r="D109" s="613">
        <f t="shared" ref="D109:E109" si="88">SUM(D106:D108)</f>
        <v>65000</v>
      </c>
      <c r="E109" s="614">
        <f t="shared" si="88"/>
        <v>482653</v>
      </c>
      <c r="F109" s="632">
        <f t="shared" si="51"/>
        <v>7.4254307692307693</v>
      </c>
      <c r="G109" s="634"/>
      <c r="H109" s="617">
        <f t="shared" ref="H109:AU109" si="89">SUM(H106:H108)</f>
        <v>0</v>
      </c>
      <c r="I109" s="630">
        <f t="shared" si="89"/>
        <v>0</v>
      </c>
      <c r="J109" s="630">
        <f t="shared" si="89"/>
        <v>0</v>
      </c>
      <c r="K109" s="630">
        <f t="shared" si="89"/>
        <v>0</v>
      </c>
      <c r="L109" s="630">
        <f t="shared" si="89"/>
        <v>0</v>
      </c>
      <c r="M109" s="630">
        <f t="shared" si="89"/>
        <v>0</v>
      </c>
      <c r="N109" s="630">
        <f t="shared" si="89"/>
        <v>0</v>
      </c>
      <c r="O109" s="630">
        <f t="shared" si="89"/>
        <v>0</v>
      </c>
      <c r="P109" s="630">
        <f t="shared" si="89"/>
        <v>0</v>
      </c>
      <c r="Q109" s="630">
        <f t="shared" si="89"/>
        <v>0</v>
      </c>
      <c r="R109" s="630">
        <f t="shared" si="89"/>
        <v>0</v>
      </c>
      <c r="S109" s="630">
        <f t="shared" si="89"/>
        <v>0</v>
      </c>
      <c r="T109" s="630">
        <f t="shared" si="89"/>
        <v>0</v>
      </c>
      <c r="U109" s="617">
        <f t="shared" si="89"/>
        <v>0</v>
      </c>
      <c r="V109" s="630">
        <f t="shared" si="89"/>
        <v>0</v>
      </c>
      <c r="W109" s="630">
        <f t="shared" si="89"/>
        <v>0</v>
      </c>
      <c r="X109" s="630">
        <f t="shared" si="89"/>
        <v>0</v>
      </c>
      <c r="Y109" s="630">
        <f t="shared" si="89"/>
        <v>0</v>
      </c>
      <c r="Z109" s="630">
        <f t="shared" si="89"/>
        <v>0</v>
      </c>
      <c r="AA109" s="630">
        <f t="shared" si="89"/>
        <v>0</v>
      </c>
      <c r="AB109" s="630">
        <f t="shared" si="89"/>
        <v>0</v>
      </c>
      <c r="AC109" s="630">
        <f t="shared" si="89"/>
        <v>0</v>
      </c>
      <c r="AD109" s="630">
        <f t="shared" si="89"/>
        <v>0</v>
      </c>
      <c r="AE109" s="630">
        <f t="shared" si="89"/>
        <v>0</v>
      </c>
      <c r="AF109" s="630">
        <f t="shared" si="89"/>
        <v>0</v>
      </c>
      <c r="AG109" s="630">
        <f t="shared" si="89"/>
        <v>0</v>
      </c>
      <c r="AH109" s="630">
        <f t="shared" si="89"/>
        <v>0</v>
      </c>
      <c r="AI109" s="630">
        <f t="shared" si="89"/>
        <v>0</v>
      </c>
      <c r="AJ109" s="630">
        <f t="shared" si="89"/>
        <v>0</v>
      </c>
      <c r="AK109" s="630">
        <f t="shared" si="89"/>
        <v>0</v>
      </c>
      <c r="AL109" s="630">
        <f t="shared" si="89"/>
        <v>0</v>
      </c>
      <c r="AM109" s="630">
        <f t="shared" si="89"/>
        <v>0</v>
      </c>
      <c r="AN109" s="630">
        <f t="shared" si="89"/>
        <v>0</v>
      </c>
      <c r="AO109" s="631">
        <f t="shared" si="89"/>
        <v>0</v>
      </c>
      <c r="AP109" s="630">
        <f t="shared" si="89"/>
        <v>0</v>
      </c>
      <c r="AQ109" s="630">
        <f t="shared" si="89"/>
        <v>0</v>
      </c>
      <c r="AR109" s="630">
        <f t="shared" si="89"/>
        <v>0</v>
      </c>
      <c r="AS109" s="630">
        <f t="shared" si="89"/>
        <v>482653</v>
      </c>
      <c r="AT109" s="620">
        <f t="shared" si="89"/>
        <v>0</v>
      </c>
      <c r="AU109" s="621">
        <f t="shared" si="89"/>
        <v>482653</v>
      </c>
    </row>
    <row r="110" spans="1:47" s="647" customFormat="1" ht="19.5" x14ac:dyDescent="0.3">
      <c r="A110" s="635" t="s">
        <v>282</v>
      </c>
      <c r="B110" s="636" t="s">
        <v>283</v>
      </c>
      <c r="C110" s="637">
        <f>SUM(C109,C105,C101,C98)</f>
        <v>171265000</v>
      </c>
      <c r="D110" s="638">
        <f t="shared" ref="D110:E110" si="90">SUM(D109,D105,D101,D98)</f>
        <v>171265000</v>
      </c>
      <c r="E110" s="639">
        <f t="shared" si="90"/>
        <v>152874557</v>
      </c>
      <c r="F110" s="663">
        <f t="shared" si="51"/>
        <v>0.89261995737599631</v>
      </c>
      <c r="G110" s="649"/>
      <c r="H110" s="642">
        <f t="shared" ref="H110:AU110" si="91">SUM(H109,H105,H101,H98)</f>
        <v>0</v>
      </c>
      <c r="I110" s="650">
        <f t="shared" si="91"/>
        <v>0</v>
      </c>
      <c r="J110" s="650">
        <f t="shared" si="91"/>
        <v>0</v>
      </c>
      <c r="K110" s="650">
        <f t="shared" si="91"/>
        <v>0</v>
      </c>
      <c r="L110" s="650">
        <f t="shared" si="91"/>
        <v>0</v>
      </c>
      <c r="M110" s="650">
        <f t="shared" si="91"/>
        <v>0</v>
      </c>
      <c r="N110" s="650">
        <f t="shared" si="91"/>
        <v>0</v>
      </c>
      <c r="O110" s="650">
        <f t="shared" si="91"/>
        <v>0</v>
      </c>
      <c r="P110" s="650">
        <f t="shared" si="91"/>
        <v>0</v>
      </c>
      <c r="Q110" s="650">
        <f t="shared" si="91"/>
        <v>0</v>
      </c>
      <c r="R110" s="650">
        <f t="shared" si="91"/>
        <v>0</v>
      </c>
      <c r="S110" s="650">
        <f t="shared" si="91"/>
        <v>0</v>
      </c>
      <c r="T110" s="650">
        <f t="shared" si="91"/>
        <v>0</v>
      </c>
      <c r="U110" s="650">
        <f t="shared" si="91"/>
        <v>0</v>
      </c>
      <c r="V110" s="650">
        <f t="shared" si="91"/>
        <v>0</v>
      </c>
      <c r="W110" s="650">
        <f t="shared" si="91"/>
        <v>0</v>
      </c>
      <c r="X110" s="650">
        <f t="shared" si="91"/>
        <v>0</v>
      </c>
      <c r="Y110" s="650">
        <f t="shared" si="91"/>
        <v>0</v>
      </c>
      <c r="Z110" s="650">
        <f t="shared" si="91"/>
        <v>0</v>
      </c>
      <c r="AA110" s="650">
        <f t="shared" si="91"/>
        <v>0</v>
      </c>
      <c r="AB110" s="650">
        <f t="shared" si="91"/>
        <v>0</v>
      </c>
      <c r="AC110" s="650">
        <f t="shared" si="91"/>
        <v>0</v>
      </c>
      <c r="AD110" s="650">
        <f t="shared" si="91"/>
        <v>0</v>
      </c>
      <c r="AE110" s="650">
        <f t="shared" si="91"/>
        <v>0</v>
      </c>
      <c r="AF110" s="650">
        <f t="shared" si="91"/>
        <v>0</v>
      </c>
      <c r="AG110" s="650">
        <f t="shared" si="91"/>
        <v>0</v>
      </c>
      <c r="AH110" s="650">
        <f t="shared" si="91"/>
        <v>0</v>
      </c>
      <c r="AI110" s="650">
        <f t="shared" si="91"/>
        <v>0</v>
      </c>
      <c r="AJ110" s="650">
        <f t="shared" si="91"/>
        <v>0</v>
      </c>
      <c r="AK110" s="650">
        <f t="shared" si="91"/>
        <v>0</v>
      </c>
      <c r="AL110" s="650">
        <f t="shared" si="91"/>
        <v>0</v>
      </c>
      <c r="AM110" s="650">
        <f t="shared" si="91"/>
        <v>0</v>
      </c>
      <c r="AN110" s="650">
        <f t="shared" si="91"/>
        <v>0</v>
      </c>
      <c r="AO110" s="651">
        <f t="shared" si="91"/>
        <v>0</v>
      </c>
      <c r="AP110" s="650">
        <f t="shared" si="91"/>
        <v>0</v>
      </c>
      <c r="AQ110" s="650">
        <f t="shared" si="91"/>
        <v>0</v>
      </c>
      <c r="AR110" s="650">
        <f t="shared" si="91"/>
        <v>0</v>
      </c>
      <c r="AS110" s="650">
        <f t="shared" si="91"/>
        <v>152874557</v>
      </c>
      <c r="AT110" s="645">
        <f t="shared" si="91"/>
        <v>0</v>
      </c>
      <c r="AU110" s="646">
        <f t="shared" si="91"/>
        <v>152874557</v>
      </c>
    </row>
    <row r="111" spans="1:47" s="563" customFormat="1" ht="16.5" customHeight="1" x14ac:dyDescent="0.25">
      <c r="A111" s="536" t="s">
        <v>286</v>
      </c>
      <c r="B111" s="564" t="s">
        <v>292</v>
      </c>
      <c r="C111" s="458">
        <v>0</v>
      </c>
      <c r="D111" s="174">
        <f>C111</f>
        <v>0</v>
      </c>
      <c r="E111" s="436">
        <f t="shared" ref="E111:E119" si="92">AU111</f>
        <v>207080</v>
      </c>
      <c r="F111" s="585"/>
      <c r="G111" s="586"/>
      <c r="H111" s="566"/>
      <c r="I111" s="566"/>
      <c r="J111" s="566"/>
      <c r="K111" s="566"/>
      <c r="L111" s="566"/>
      <c r="M111" s="566"/>
      <c r="N111" s="566"/>
      <c r="O111" s="566"/>
      <c r="P111" s="566"/>
      <c r="Q111" s="566"/>
      <c r="R111" s="566"/>
      <c r="S111" s="566"/>
      <c r="T111" s="566"/>
      <c r="U111" s="566"/>
      <c r="V111" s="566"/>
      <c r="W111" s="566"/>
      <c r="X111" s="566"/>
      <c r="Y111" s="566"/>
      <c r="Z111" s="566"/>
      <c r="AA111" s="566"/>
      <c r="AB111" s="566"/>
      <c r="AC111" s="566"/>
      <c r="AD111" s="566"/>
      <c r="AE111" s="566"/>
      <c r="AF111" s="566"/>
      <c r="AG111" s="566"/>
      <c r="AH111" s="566"/>
      <c r="AI111" s="566"/>
      <c r="AJ111" s="566"/>
      <c r="AK111" s="566"/>
      <c r="AL111" s="566"/>
      <c r="AM111" s="566"/>
      <c r="AN111" s="566"/>
      <c r="AO111" s="559"/>
      <c r="AP111" s="566"/>
      <c r="AQ111" s="566">
        <v>207080</v>
      </c>
      <c r="AR111" s="566"/>
      <c r="AS111" s="560"/>
      <c r="AT111" s="567"/>
      <c r="AU111" s="568">
        <f t="shared" ref="AU111:AU119" si="93">SUM(H111:AT111)</f>
        <v>207080</v>
      </c>
    </row>
    <row r="112" spans="1:47" s="563" customFormat="1" ht="16.5" x14ac:dyDescent="0.25">
      <c r="A112" s="536" t="s">
        <v>287</v>
      </c>
      <c r="B112" s="564" t="s">
        <v>457</v>
      </c>
      <c r="C112" s="458">
        <v>4208581</v>
      </c>
      <c r="D112" s="174">
        <f>C112+78740</f>
        <v>4287321</v>
      </c>
      <c r="E112" s="436">
        <f t="shared" si="92"/>
        <v>3400526</v>
      </c>
      <c r="F112" s="585">
        <f t="shared" si="51"/>
        <v>0.79315871146573813</v>
      </c>
      <c r="G112" s="586"/>
      <c r="H112" s="566"/>
      <c r="I112" s="566"/>
      <c r="J112" s="566"/>
      <c r="K112" s="566"/>
      <c r="L112" s="566"/>
      <c r="M112" s="566"/>
      <c r="N112" s="566">
        <v>2246070</v>
      </c>
      <c r="O112" s="566"/>
      <c r="P112" s="566"/>
      <c r="Q112" s="566"/>
      <c r="R112" s="566"/>
      <c r="S112" s="566"/>
      <c r="T112" s="566"/>
      <c r="U112" s="566"/>
      <c r="V112" s="566"/>
      <c r="W112" s="566"/>
      <c r="X112" s="566">
        <v>412200</v>
      </c>
      <c r="Y112" s="566"/>
      <c r="Z112" s="566">
        <v>272316</v>
      </c>
      <c r="AA112" s="566"/>
      <c r="AB112" s="566"/>
      <c r="AC112" s="566"/>
      <c r="AD112" s="566"/>
      <c r="AE112" s="566"/>
      <c r="AF112" s="566"/>
      <c r="AG112" s="566"/>
      <c r="AH112" s="566"/>
      <c r="AI112" s="566">
        <v>331200</v>
      </c>
      <c r="AJ112" s="566"/>
      <c r="AK112" s="566">
        <v>78740</v>
      </c>
      <c r="AL112" s="566"/>
      <c r="AM112" s="566"/>
      <c r="AN112" s="566"/>
      <c r="AO112" s="559"/>
      <c r="AP112" s="566"/>
      <c r="AQ112" s="566">
        <v>5000</v>
      </c>
      <c r="AR112" s="566">
        <v>55000</v>
      </c>
      <c r="AS112" s="560"/>
      <c r="AT112" s="567"/>
      <c r="AU112" s="568">
        <f t="shared" si="93"/>
        <v>3400526</v>
      </c>
    </row>
    <row r="113" spans="1:47" s="563" customFormat="1" ht="16.5" x14ac:dyDescent="0.25">
      <c r="A113" s="536" t="s">
        <v>288</v>
      </c>
      <c r="B113" s="564" t="s">
        <v>176</v>
      </c>
      <c r="C113" s="458">
        <v>3635000</v>
      </c>
      <c r="D113" s="174">
        <f t="shared" ref="D113:D118" si="94">C113</f>
        <v>3635000</v>
      </c>
      <c r="E113" s="436">
        <f t="shared" si="92"/>
        <v>685607</v>
      </c>
      <c r="F113" s="585">
        <f t="shared" si="51"/>
        <v>0.18861265474552957</v>
      </c>
      <c r="G113" s="586"/>
      <c r="H113" s="566"/>
      <c r="I113" s="566"/>
      <c r="J113" s="566"/>
      <c r="K113" s="566"/>
      <c r="L113" s="566"/>
      <c r="M113" s="566"/>
      <c r="N113" s="566"/>
      <c r="O113" s="566"/>
      <c r="P113" s="566"/>
      <c r="Q113" s="566"/>
      <c r="R113" s="566"/>
      <c r="S113" s="566"/>
      <c r="T113" s="566"/>
      <c r="U113" s="566"/>
      <c r="V113" s="566"/>
      <c r="W113" s="566"/>
      <c r="X113" s="566"/>
      <c r="Y113" s="566"/>
      <c r="Z113" s="566"/>
      <c r="AA113" s="566"/>
      <c r="AB113" s="566"/>
      <c r="AC113" s="566"/>
      <c r="AD113" s="566"/>
      <c r="AE113" s="566"/>
      <c r="AF113" s="566"/>
      <c r="AG113" s="566">
        <v>327957</v>
      </c>
      <c r="AH113" s="566">
        <v>327650</v>
      </c>
      <c r="AI113" s="566"/>
      <c r="AJ113" s="566"/>
      <c r="AK113" s="566"/>
      <c r="AL113" s="566"/>
      <c r="AM113" s="566"/>
      <c r="AN113" s="566"/>
      <c r="AO113" s="559"/>
      <c r="AP113" s="566"/>
      <c r="AQ113" s="566">
        <v>30000</v>
      </c>
      <c r="AR113" s="566"/>
      <c r="AS113" s="560"/>
      <c r="AT113" s="567"/>
      <c r="AU113" s="568">
        <f t="shared" si="93"/>
        <v>685607</v>
      </c>
    </row>
    <row r="114" spans="1:47" s="563" customFormat="1" ht="16.5" x14ac:dyDescent="0.25">
      <c r="A114" s="536" t="s">
        <v>289</v>
      </c>
      <c r="B114" s="564" t="s">
        <v>293</v>
      </c>
      <c r="C114" s="458">
        <v>0</v>
      </c>
      <c r="D114" s="174">
        <f t="shared" si="94"/>
        <v>0</v>
      </c>
      <c r="E114" s="436">
        <f t="shared" si="92"/>
        <v>0</v>
      </c>
      <c r="F114" s="585"/>
      <c r="G114" s="586"/>
      <c r="H114" s="566"/>
      <c r="I114" s="566"/>
      <c r="J114" s="566"/>
      <c r="K114" s="566"/>
      <c r="L114" s="566"/>
      <c r="M114" s="566"/>
      <c r="N114" s="566"/>
      <c r="O114" s="566"/>
      <c r="P114" s="566"/>
      <c r="Q114" s="566"/>
      <c r="R114" s="566"/>
      <c r="S114" s="566"/>
      <c r="T114" s="566"/>
      <c r="U114" s="566"/>
      <c r="V114" s="566"/>
      <c r="W114" s="566"/>
      <c r="X114" s="566"/>
      <c r="Y114" s="566"/>
      <c r="Z114" s="566"/>
      <c r="AA114" s="566"/>
      <c r="AB114" s="566"/>
      <c r="AC114" s="566"/>
      <c r="AD114" s="566"/>
      <c r="AE114" s="566"/>
      <c r="AF114" s="566"/>
      <c r="AG114" s="566"/>
      <c r="AH114" s="566"/>
      <c r="AI114" s="566"/>
      <c r="AJ114" s="566"/>
      <c r="AK114" s="566"/>
      <c r="AL114" s="566"/>
      <c r="AM114" s="566"/>
      <c r="AN114" s="566"/>
      <c r="AO114" s="559"/>
      <c r="AP114" s="566"/>
      <c r="AQ114" s="566"/>
      <c r="AR114" s="566"/>
      <c r="AS114" s="560"/>
      <c r="AT114" s="567"/>
      <c r="AU114" s="568">
        <f t="shared" si="93"/>
        <v>0</v>
      </c>
    </row>
    <row r="115" spans="1:47" s="563" customFormat="1" ht="16.5" x14ac:dyDescent="0.25">
      <c r="A115" s="536" t="s">
        <v>290</v>
      </c>
      <c r="B115" s="564" t="s">
        <v>294</v>
      </c>
      <c r="C115" s="458">
        <v>2789430</v>
      </c>
      <c r="D115" s="174">
        <f t="shared" si="94"/>
        <v>2789430</v>
      </c>
      <c r="E115" s="436">
        <f t="shared" si="92"/>
        <v>2439192</v>
      </c>
      <c r="F115" s="585">
        <f t="shared" si="51"/>
        <v>0.87444101483098702</v>
      </c>
      <c r="G115" s="586"/>
      <c r="H115" s="566"/>
      <c r="I115" s="566"/>
      <c r="J115" s="566"/>
      <c r="K115" s="566"/>
      <c r="L115" s="566"/>
      <c r="M115" s="566">
        <v>2439192</v>
      </c>
      <c r="N115" s="566"/>
      <c r="O115" s="566"/>
      <c r="P115" s="566"/>
      <c r="Q115" s="566"/>
      <c r="R115" s="566"/>
      <c r="S115" s="566"/>
      <c r="T115" s="566"/>
      <c r="U115" s="566"/>
      <c r="V115" s="566"/>
      <c r="W115" s="566"/>
      <c r="X115" s="566"/>
      <c r="Y115" s="566"/>
      <c r="Z115" s="566"/>
      <c r="AA115" s="566"/>
      <c r="AB115" s="566"/>
      <c r="AC115" s="566"/>
      <c r="AD115" s="566"/>
      <c r="AE115" s="566"/>
      <c r="AF115" s="566"/>
      <c r="AG115" s="566"/>
      <c r="AH115" s="566"/>
      <c r="AI115" s="566"/>
      <c r="AJ115" s="566"/>
      <c r="AK115" s="566"/>
      <c r="AL115" s="566"/>
      <c r="AM115" s="566"/>
      <c r="AN115" s="566"/>
      <c r="AO115" s="559"/>
      <c r="AP115" s="566"/>
      <c r="AQ115" s="566"/>
      <c r="AR115" s="566"/>
      <c r="AS115" s="560"/>
      <c r="AT115" s="567"/>
      <c r="AU115" s="568">
        <f t="shared" si="93"/>
        <v>2439192</v>
      </c>
    </row>
    <row r="116" spans="1:47" s="563" customFormat="1" ht="16.5" x14ac:dyDescent="0.25">
      <c r="A116" s="536" t="s">
        <v>291</v>
      </c>
      <c r="B116" s="564" t="s">
        <v>337</v>
      </c>
      <c r="C116" s="458">
        <v>1764596</v>
      </c>
      <c r="D116" s="174">
        <f>C116+21260</f>
        <v>1785856</v>
      </c>
      <c r="E116" s="436">
        <f t="shared" si="92"/>
        <v>921203</v>
      </c>
      <c r="F116" s="585">
        <f t="shared" si="51"/>
        <v>0.51583274351347475</v>
      </c>
      <c r="G116" s="586"/>
      <c r="H116" s="566"/>
      <c r="I116" s="560"/>
      <c r="J116" s="560"/>
      <c r="K116" s="560"/>
      <c r="L116" s="566"/>
      <c r="M116" s="566">
        <v>658541</v>
      </c>
      <c r="N116" s="566">
        <v>13500</v>
      </c>
      <c r="O116" s="566"/>
      <c r="P116" s="566"/>
      <c r="Q116" s="566"/>
      <c r="R116" s="566"/>
      <c r="S116" s="566"/>
      <c r="T116" s="566"/>
      <c r="U116" s="566"/>
      <c r="V116" s="566"/>
      <c r="W116" s="566"/>
      <c r="X116" s="566"/>
      <c r="Y116" s="566"/>
      <c r="Z116" s="566">
        <v>21684</v>
      </c>
      <c r="AA116" s="566"/>
      <c r="AB116" s="566"/>
      <c r="AC116" s="566"/>
      <c r="AD116" s="566"/>
      <c r="AE116" s="566"/>
      <c r="AF116" s="566"/>
      <c r="AG116" s="566">
        <v>88547</v>
      </c>
      <c r="AH116" s="566">
        <v>88465</v>
      </c>
      <c r="AI116" s="566"/>
      <c r="AJ116" s="566"/>
      <c r="AK116" s="566">
        <v>21260</v>
      </c>
      <c r="AL116" s="566"/>
      <c r="AM116" s="566"/>
      <c r="AN116" s="566"/>
      <c r="AO116" s="559"/>
      <c r="AP116" s="566"/>
      <c r="AQ116" s="566">
        <v>29206</v>
      </c>
      <c r="AR116" s="566"/>
      <c r="AS116" s="560"/>
      <c r="AT116" s="567"/>
      <c r="AU116" s="568">
        <f t="shared" si="93"/>
        <v>921203</v>
      </c>
    </row>
    <row r="117" spans="1:47" s="563" customFormat="1" ht="16.5" x14ac:dyDescent="0.25">
      <c r="A117" s="536" t="s">
        <v>295</v>
      </c>
      <c r="B117" s="564" t="s">
        <v>627</v>
      </c>
      <c r="C117" s="458">
        <v>0</v>
      </c>
      <c r="D117" s="174">
        <f t="shared" si="94"/>
        <v>0</v>
      </c>
      <c r="E117" s="436">
        <f t="shared" si="92"/>
        <v>794000</v>
      </c>
      <c r="F117" s="585"/>
      <c r="G117" s="586"/>
      <c r="H117" s="566"/>
      <c r="I117" s="560"/>
      <c r="J117" s="560"/>
      <c r="K117" s="560"/>
      <c r="L117" s="560"/>
      <c r="M117" s="560"/>
      <c r="N117" s="560"/>
      <c r="O117" s="560"/>
      <c r="P117" s="560"/>
      <c r="Q117" s="560"/>
      <c r="R117" s="560"/>
      <c r="S117" s="560"/>
      <c r="T117" s="560"/>
      <c r="U117" s="566"/>
      <c r="V117" s="560"/>
      <c r="W117" s="560"/>
      <c r="X117" s="560"/>
      <c r="Y117" s="560"/>
      <c r="Z117" s="560"/>
      <c r="AA117" s="560"/>
      <c r="AB117" s="560"/>
      <c r="AC117" s="560"/>
      <c r="AD117" s="560"/>
      <c r="AE117" s="560"/>
      <c r="AF117" s="560"/>
      <c r="AG117" s="560"/>
      <c r="AH117" s="560"/>
      <c r="AI117" s="560"/>
      <c r="AJ117" s="560"/>
      <c r="AK117" s="560"/>
      <c r="AL117" s="560"/>
      <c r="AM117" s="560"/>
      <c r="AN117" s="560"/>
      <c r="AO117" s="561"/>
      <c r="AP117" s="560"/>
      <c r="AQ117" s="560">
        <v>794000</v>
      </c>
      <c r="AR117" s="560"/>
      <c r="AS117" s="560"/>
      <c r="AT117" s="567"/>
      <c r="AU117" s="568">
        <f t="shared" si="93"/>
        <v>794000</v>
      </c>
    </row>
    <row r="118" spans="1:47" s="563" customFormat="1" ht="16.5" x14ac:dyDescent="0.25">
      <c r="A118" s="536" t="s">
        <v>297</v>
      </c>
      <c r="B118" s="564" t="s">
        <v>298</v>
      </c>
      <c r="C118" s="458">
        <v>0</v>
      </c>
      <c r="D118" s="174">
        <f t="shared" si="94"/>
        <v>0</v>
      </c>
      <c r="E118" s="436">
        <f t="shared" si="92"/>
        <v>112</v>
      </c>
      <c r="F118" s="585"/>
      <c r="G118" s="586"/>
      <c r="H118" s="566"/>
      <c r="I118" s="566"/>
      <c r="J118" s="566"/>
      <c r="K118" s="566"/>
      <c r="L118" s="566"/>
      <c r="M118" s="566"/>
      <c r="N118" s="566"/>
      <c r="O118" s="566"/>
      <c r="P118" s="566"/>
      <c r="Q118" s="566"/>
      <c r="R118" s="566"/>
      <c r="S118" s="566"/>
      <c r="T118" s="566"/>
      <c r="U118" s="566"/>
      <c r="V118" s="566"/>
      <c r="W118" s="566"/>
      <c r="X118" s="566"/>
      <c r="Y118" s="566"/>
      <c r="Z118" s="566"/>
      <c r="AA118" s="566"/>
      <c r="AB118" s="566"/>
      <c r="AC118" s="566"/>
      <c r="AD118" s="566"/>
      <c r="AE118" s="566"/>
      <c r="AF118" s="566"/>
      <c r="AG118" s="566"/>
      <c r="AH118" s="566"/>
      <c r="AI118" s="566"/>
      <c r="AJ118" s="566"/>
      <c r="AK118" s="566"/>
      <c r="AL118" s="566"/>
      <c r="AM118" s="566"/>
      <c r="AN118" s="566"/>
      <c r="AO118" s="559"/>
      <c r="AP118" s="566">
        <v>5</v>
      </c>
      <c r="AQ118" s="566">
        <v>106</v>
      </c>
      <c r="AR118" s="566"/>
      <c r="AS118" s="566">
        <v>1</v>
      </c>
      <c r="AT118" s="567"/>
      <c r="AU118" s="568">
        <f t="shared" si="93"/>
        <v>112</v>
      </c>
    </row>
    <row r="119" spans="1:47" s="563" customFormat="1" ht="16.5" x14ac:dyDescent="0.25">
      <c r="A119" s="536" t="s">
        <v>628</v>
      </c>
      <c r="B119" s="564" t="s">
        <v>299</v>
      </c>
      <c r="C119" s="458">
        <v>11000</v>
      </c>
      <c r="D119" s="174">
        <f>C119+1000000</f>
        <v>1011000</v>
      </c>
      <c r="E119" s="436">
        <f t="shared" si="92"/>
        <v>1658930</v>
      </c>
      <c r="F119" s="585">
        <f t="shared" si="51"/>
        <v>1.6408803165182988</v>
      </c>
      <c r="G119" s="586"/>
      <c r="H119" s="566"/>
      <c r="I119" s="566"/>
      <c r="J119" s="566"/>
      <c r="K119" s="566"/>
      <c r="L119" s="566"/>
      <c r="M119" s="566"/>
      <c r="N119" s="566">
        <v>1500000</v>
      </c>
      <c r="O119" s="566"/>
      <c r="P119" s="566"/>
      <c r="Q119" s="566"/>
      <c r="R119" s="566"/>
      <c r="S119" s="566"/>
      <c r="T119" s="566"/>
      <c r="U119" s="566"/>
      <c r="V119" s="566"/>
      <c r="W119" s="566"/>
      <c r="X119" s="566"/>
      <c r="Y119" s="566"/>
      <c r="Z119" s="566"/>
      <c r="AA119" s="566"/>
      <c r="AB119" s="566"/>
      <c r="AC119" s="566"/>
      <c r="AD119" s="566"/>
      <c r="AE119" s="566"/>
      <c r="AF119" s="566"/>
      <c r="AG119" s="566"/>
      <c r="AH119" s="566"/>
      <c r="AI119" s="566"/>
      <c r="AJ119" s="566"/>
      <c r="AK119" s="566">
        <v>5</v>
      </c>
      <c r="AL119" s="566"/>
      <c r="AM119" s="566"/>
      <c r="AN119" s="566"/>
      <c r="AO119" s="559"/>
      <c r="AP119" s="566">
        <v>1</v>
      </c>
      <c r="AQ119" s="566">
        <v>158924</v>
      </c>
      <c r="AR119" s="566"/>
      <c r="AS119" s="566"/>
      <c r="AT119" s="567"/>
      <c r="AU119" s="568">
        <f t="shared" si="93"/>
        <v>1658930</v>
      </c>
    </row>
    <row r="120" spans="1:47" s="647" customFormat="1" ht="19.5" x14ac:dyDescent="0.3">
      <c r="A120" s="635" t="s">
        <v>284</v>
      </c>
      <c r="B120" s="636" t="s">
        <v>285</v>
      </c>
      <c r="C120" s="637">
        <f>SUM(C111:C119)</f>
        <v>12408607</v>
      </c>
      <c r="D120" s="638">
        <f t="shared" ref="D120:AU120" si="95">SUM(D111:D119)</f>
        <v>13508607</v>
      </c>
      <c r="E120" s="639">
        <f t="shared" si="95"/>
        <v>10106650</v>
      </c>
      <c r="F120" s="663">
        <f t="shared" si="51"/>
        <v>0.74816374478878545</v>
      </c>
      <c r="G120" s="665"/>
      <c r="H120" s="642">
        <f t="shared" si="95"/>
        <v>0</v>
      </c>
      <c r="I120" s="650">
        <f t="shared" si="95"/>
        <v>0</v>
      </c>
      <c r="J120" s="650">
        <f t="shared" si="95"/>
        <v>0</v>
      </c>
      <c r="K120" s="650">
        <f t="shared" si="95"/>
        <v>0</v>
      </c>
      <c r="L120" s="650">
        <f t="shared" si="95"/>
        <v>0</v>
      </c>
      <c r="M120" s="650">
        <f t="shared" si="95"/>
        <v>3097733</v>
      </c>
      <c r="N120" s="650">
        <f t="shared" si="95"/>
        <v>3759570</v>
      </c>
      <c r="O120" s="650">
        <f t="shared" si="95"/>
        <v>0</v>
      </c>
      <c r="P120" s="650">
        <f t="shared" si="95"/>
        <v>0</v>
      </c>
      <c r="Q120" s="650">
        <f t="shared" si="95"/>
        <v>0</v>
      </c>
      <c r="R120" s="650">
        <f t="shared" si="95"/>
        <v>0</v>
      </c>
      <c r="S120" s="650">
        <f t="shared" si="95"/>
        <v>0</v>
      </c>
      <c r="T120" s="650">
        <f t="shared" si="95"/>
        <v>0</v>
      </c>
      <c r="U120" s="650">
        <f t="shared" si="95"/>
        <v>0</v>
      </c>
      <c r="V120" s="650">
        <f t="shared" si="95"/>
        <v>0</v>
      </c>
      <c r="W120" s="650">
        <f t="shared" si="95"/>
        <v>0</v>
      </c>
      <c r="X120" s="650">
        <f t="shared" si="95"/>
        <v>412200</v>
      </c>
      <c r="Y120" s="650">
        <f t="shared" si="95"/>
        <v>0</v>
      </c>
      <c r="Z120" s="650">
        <f t="shared" si="95"/>
        <v>294000</v>
      </c>
      <c r="AA120" s="650">
        <f t="shared" si="95"/>
        <v>0</v>
      </c>
      <c r="AB120" s="650">
        <f t="shared" si="95"/>
        <v>0</v>
      </c>
      <c r="AC120" s="650">
        <f t="shared" si="95"/>
        <v>0</v>
      </c>
      <c r="AD120" s="650">
        <f t="shared" si="95"/>
        <v>0</v>
      </c>
      <c r="AE120" s="650">
        <f t="shared" si="95"/>
        <v>0</v>
      </c>
      <c r="AF120" s="650">
        <f t="shared" si="95"/>
        <v>0</v>
      </c>
      <c r="AG120" s="650">
        <f t="shared" si="95"/>
        <v>416504</v>
      </c>
      <c r="AH120" s="650">
        <f t="shared" si="95"/>
        <v>416115</v>
      </c>
      <c r="AI120" s="650">
        <f t="shared" si="95"/>
        <v>331200</v>
      </c>
      <c r="AJ120" s="650">
        <f t="shared" si="95"/>
        <v>0</v>
      </c>
      <c r="AK120" s="650">
        <f t="shared" si="95"/>
        <v>100005</v>
      </c>
      <c r="AL120" s="650">
        <f t="shared" si="95"/>
        <v>0</v>
      </c>
      <c r="AM120" s="650">
        <f t="shared" si="95"/>
        <v>0</v>
      </c>
      <c r="AN120" s="650">
        <f t="shared" si="95"/>
        <v>0</v>
      </c>
      <c r="AO120" s="651">
        <f t="shared" si="95"/>
        <v>0</v>
      </c>
      <c r="AP120" s="650">
        <f t="shared" si="95"/>
        <v>6</v>
      </c>
      <c r="AQ120" s="650">
        <f t="shared" si="95"/>
        <v>1224316</v>
      </c>
      <c r="AR120" s="650">
        <f t="shared" si="95"/>
        <v>55000</v>
      </c>
      <c r="AS120" s="650">
        <f t="shared" si="95"/>
        <v>1</v>
      </c>
      <c r="AT120" s="645">
        <f t="shared" si="95"/>
        <v>0</v>
      </c>
      <c r="AU120" s="646">
        <f t="shared" si="95"/>
        <v>10106650</v>
      </c>
    </row>
    <row r="121" spans="1:47" s="563" customFormat="1" ht="16.5" x14ac:dyDescent="0.25">
      <c r="A121" s="535" t="s">
        <v>300</v>
      </c>
      <c r="B121" s="529" t="s">
        <v>302</v>
      </c>
      <c r="C121" s="458">
        <v>460000</v>
      </c>
      <c r="D121" s="174">
        <f>C121</f>
        <v>460000</v>
      </c>
      <c r="E121" s="436">
        <f t="shared" ref="E121:E122" si="96">AU121</f>
        <v>215000</v>
      </c>
      <c r="F121" s="585">
        <f t="shared" si="51"/>
        <v>0.46739130434782611</v>
      </c>
      <c r="G121" s="586"/>
      <c r="H121" s="566"/>
      <c r="I121" s="566"/>
      <c r="J121" s="566"/>
      <c r="K121" s="566"/>
      <c r="L121" s="566"/>
      <c r="M121" s="566"/>
      <c r="N121" s="566">
        <v>215000</v>
      </c>
      <c r="O121" s="566"/>
      <c r="P121" s="566"/>
      <c r="Q121" s="566"/>
      <c r="R121" s="566"/>
      <c r="S121" s="566"/>
      <c r="T121" s="566"/>
      <c r="U121" s="566"/>
      <c r="V121" s="566"/>
      <c r="W121" s="566"/>
      <c r="X121" s="566"/>
      <c r="Y121" s="566"/>
      <c r="Z121" s="566"/>
      <c r="AA121" s="566"/>
      <c r="AB121" s="566"/>
      <c r="AC121" s="566"/>
      <c r="AD121" s="566"/>
      <c r="AE121" s="566"/>
      <c r="AF121" s="566"/>
      <c r="AG121" s="566"/>
      <c r="AH121" s="566"/>
      <c r="AI121" s="566"/>
      <c r="AJ121" s="566"/>
      <c r="AK121" s="566"/>
      <c r="AL121" s="566"/>
      <c r="AM121" s="566"/>
      <c r="AN121" s="566"/>
      <c r="AO121" s="559"/>
      <c r="AP121" s="566"/>
      <c r="AQ121" s="566"/>
      <c r="AR121" s="566"/>
      <c r="AS121" s="566"/>
      <c r="AT121" s="567"/>
      <c r="AU121" s="568">
        <f t="shared" ref="AU121:AU122" si="97">SUM(H121:AT121)</f>
        <v>215000</v>
      </c>
    </row>
    <row r="122" spans="1:47" s="563" customFormat="1" ht="16.5" x14ac:dyDescent="0.25">
      <c r="A122" s="535" t="s">
        <v>301</v>
      </c>
      <c r="B122" s="529" t="s">
        <v>303</v>
      </c>
      <c r="C122" s="458">
        <v>0</v>
      </c>
      <c r="D122" s="174">
        <f>C122</f>
        <v>0</v>
      </c>
      <c r="E122" s="436">
        <f t="shared" si="96"/>
        <v>0</v>
      </c>
      <c r="F122" s="585"/>
      <c r="G122" s="586"/>
      <c r="H122" s="566"/>
      <c r="I122" s="566"/>
      <c r="J122" s="566"/>
      <c r="K122" s="566"/>
      <c r="L122" s="566"/>
      <c r="M122" s="566"/>
      <c r="N122" s="566"/>
      <c r="O122" s="566"/>
      <c r="P122" s="566"/>
      <c r="Q122" s="566"/>
      <c r="R122" s="566"/>
      <c r="S122" s="566"/>
      <c r="T122" s="566"/>
      <c r="U122" s="566"/>
      <c r="V122" s="566"/>
      <c r="W122" s="566"/>
      <c r="X122" s="566"/>
      <c r="Y122" s="566"/>
      <c r="Z122" s="566"/>
      <c r="AA122" s="566"/>
      <c r="AB122" s="566"/>
      <c r="AC122" s="566"/>
      <c r="AD122" s="566"/>
      <c r="AE122" s="566"/>
      <c r="AF122" s="566"/>
      <c r="AG122" s="566"/>
      <c r="AH122" s="566"/>
      <c r="AI122" s="566"/>
      <c r="AJ122" s="566"/>
      <c r="AK122" s="566"/>
      <c r="AL122" s="566"/>
      <c r="AM122" s="566"/>
      <c r="AN122" s="566"/>
      <c r="AO122" s="559"/>
      <c r="AP122" s="566"/>
      <c r="AQ122" s="566"/>
      <c r="AR122" s="566"/>
      <c r="AS122" s="566"/>
      <c r="AT122" s="567"/>
      <c r="AU122" s="568">
        <f t="shared" si="97"/>
        <v>0</v>
      </c>
    </row>
    <row r="123" spans="1:47" s="647" customFormat="1" ht="19.5" x14ac:dyDescent="0.3">
      <c r="A123" s="635" t="s">
        <v>304</v>
      </c>
      <c r="B123" s="636" t="s">
        <v>305</v>
      </c>
      <c r="C123" s="637">
        <f>SUM(C121:C122)</f>
        <v>460000</v>
      </c>
      <c r="D123" s="638">
        <f t="shared" ref="D123:E123" si="98">SUM(D121:D122)</f>
        <v>460000</v>
      </c>
      <c r="E123" s="639">
        <f t="shared" si="98"/>
        <v>215000</v>
      </c>
      <c r="F123" s="663">
        <f t="shared" si="51"/>
        <v>0.46739130434782611</v>
      </c>
      <c r="G123" s="649"/>
      <c r="H123" s="642">
        <f t="shared" ref="H123:AU123" si="99">SUM(H121:H122)</f>
        <v>0</v>
      </c>
      <c r="I123" s="642">
        <f t="shared" si="99"/>
        <v>0</v>
      </c>
      <c r="J123" s="642">
        <f t="shared" si="99"/>
        <v>0</v>
      </c>
      <c r="K123" s="642">
        <f t="shared" si="99"/>
        <v>0</v>
      </c>
      <c r="L123" s="642">
        <f t="shared" si="99"/>
        <v>0</v>
      </c>
      <c r="M123" s="642">
        <f t="shared" si="99"/>
        <v>0</v>
      </c>
      <c r="N123" s="642">
        <f t="shared" si="99"/>
        <v>215000</v>
      </c>
      <c r="O123" s="642">
        <f t="shared" si="99"/>
        <v>0</v>
      </c>
      <c r="P123" s="642">
        <f t="shared" si="99"/>
        <v>0</v>
      </c>
      <c r="Q123" s="642">
        <f t="shared" si="99"/>
        <v>0</v>
      </c>
      <c r="R123" s="642">
        <f t="shared" si="99"/>
        <v>0</v>
      </c>
      <c r="S123" s="642">
        <f t="shared" si="99"/>
        <v>0</v>
      </c>
      <c r="T123" s="642">
        <f t="shared" si="99"/>
        <v>0</v>
      </c>
      <c r="U123" s="642">
        <f t="shared" si="99"/>
        <v>0</v>
      </c>
      <c r="V123" s="642">
        <f t="shared" si="99"/>
        <v>0</v>
      </c>
      <c r="W123" s="642">
        <f t="shared" si="99"/>
        <v>0</v>
      </c>
      <c r="X123" s="642">
        <f t="shared" si="99"/>
        <v>0</v>
      </c>
      <c r="Y123" s="642">
        <f t="shared" si="99"/>
        <v>0</v>
      </c>
      <c r="Z123" s="642">
        <f t="shared" si="99"/>
        <v>0</v>
      </c>
      <c r="AA123" s="642">
        <f t="shared" si="99"/>
        <v>0</v>
      </c>
      <c r="AB123" s="642">
        <f t="shared" si="99"/>
        <v>0</v>
      </c>
      <c r="AC123" s="642">
        <f t="shared" si="99"/>
        <v>0</v>
      </c>
      <c r="AD123" s="642">
        <f t="shared" si="99"/>
        <v>0</v>
      </c>
      <c r="AE123" s="642">
        <f t="shared" si="99"/>
        <v>0</v>
      </c>
      <c r="AF123" s="642">
        <f t="shared" si="99"/>
        <v>0</v>
      </c>
      <c r="AG123" s="642">
        <f t="shared" si="99"/>
        <v>0</v>
      </c>
      <c r="AH123" s="642">
        <f t="shared" si="99"/>
        <v>0</v>
      </c>
      <c r="AI123" s="642">
        <f t="shared" si="99"/>
        <v>0</v>
      </c>
      <c r="AJ123" s="642">
        <f t="shared" si="99"/>
        <v>0</v>
      </c>
      <c r="AK123" s="642">
        <f t="shared" si="99"/>
        <v>0</v>
      </c>
      <c r="AL123" s="642">
        <f t="shared" si="99"/>
        <v>0</v>
      </c>
      <c r="AM123" s="642">
        <f t="shared" si="99"/>
        <v>0</v>
      </c>
      <c r="AN123" s="642">
        <f t="shared" si="99"/>
        <v>0</v>
      </c>
      <c r="AO123" s="664">
        <f t="shared" si="99"/>
        <v>0</v>
      </c>
      <c r="AP123" s="642">
        <f t="shared" si="99"/>
        <v>0</v>
      </c>
      <c r="AQ123" s="642">
        <f t="shared" si="99"/>
        <v>0</v>
      </c>
      <c r="AR123" s="642">
        <f t="shared" si="99"/>
        <v>0</v>
      </c>
      <c r="AS123" s="642">
        <f t="shared" si="99"/>
        <v>0</v>
      </c>
      <c r="AT123" s="645">
        <f t="shared" si="99"/>
        <v>0</v>
      </c>
      <c r="AU123" s="646">
        <f t="shared" si="99"/>
        <v>215000</v>
      </c>
    </row>
    <row r="124" spans="1:47" s="563" customFormat="1" ht="16.5" x14ac:dyDescent="0.25">
      <c r="A124" s="535" t="s">
        <v>306</v>
      </c>
      <c r="B124" s="529" t="s">
        <v>307</v>
      </c>
      <c r="C124" s="458">
        <v>0</v>
      </c>
      <c r="D124" s="174">
        <f>C124</f>
        <v>0</v>
      </c>
      <c r="E124" s="436">
        <f t="shared" ref="E124:E125" si="100">AU124</f>
        <v>0</v>
      </c>
      <c r="F124" s="585"/>
      <c r="G124" s="586"/>
      <c r="H124" s="566"/>
      <c r="I124" s="566"/>
      <c r="J124" s="566"/>
      <c r="K124" s="566"/>
      <c r="L124" s="566"/>
      <c r="M124" s="566"/>
      <c r="N124" s="566"/>
      <c r="O124" s="566"/>
      <c r="P124" s="566"/>
      <c r="Q124" s="566"/>
      <c r="R124" s="566"/>
      <c r="S124" s="566"/>
      <c r="T124" s="566"/>
      <c r="U124" s="566"/>
      <c r="V124" s="566"/>
      <c r="W124" s="566"/>
      <c r="X124" s="566"/>
      <c r="Y124" s="566"/>
      <c r="Z124" s="566"/>
      <c r="AA124" s="566"/>
      <c r="AB124" s="566"/>
      <c r="AC124" s="566"/>
      <c r="AD124" s="566"/>
      <c r="AE124" s="566"/>
      <c r="AF124" s="566"/>
      <c r="AG124" s="566"/>
      <c r="AH124" s="566"/>
      <c r="AI124" s="566"/>
      <c r="AJ124" s="566"/>
      <c r="AK124" s="566"/>
      <c r="AL124" s="566"/>
      <c r="AM124" s="566"/>
      <c r="AN124" s="566"/>
      <c r="AO124" s="559"/>
      <c r="AP124" s="566"/>
      <c r="AQ124" s="566"/>
      <c r="AR124" s="566"/>
      <c r="AS124" s="566"/>
      <c r="AT124" s="567"/>
      <c r="AU124" s="568">
        <f t="shared" ref="AU124:AU125" si="101">SUM(H124:AT124)</f>
        <v>0</v>
      </c>
    </row>
    <row r="125" spans="1:47" s="582" customFormat="1" ht="16.5" x14ac:dyDescent="0.2">
      <c r="A125" s="538" t="s">
        <v>630</v>
      </c>
      <c r="B125" s="524" t="s">
        <v>308</v>
      </c>
      <c r="C125" s="503">
        <v>0</v>
      </c>
      <c r="D125" s="504">
        <f>C125+47560</f>
        <v>47560</v>
      </c>
      <c r="E125" s="505">
        <f t="shared" si="100"/>
        <v>363560</v>
      </c>
      <c r="F125" s="608">
        <f t="shared" si="51"/>
        <v>7.6442388561816657</v>
      </c>
      <c r="G125" s="609"/>
      <c r="H125" s="578"/>
      <c r="I125" s="578"/>
      <c r="J125" s="578"/>
      <c r="K125" s="578"/>
      <c r="L125" s="578"/>
      <c r="M125" s="578"/>
      <c r="N125" s="578"/>
      <c r="O125" s="578"/>
      <c r="P125" s="578"/>
      <c r="Q125" s="578"/>
      <c r="R125" s="578"/>
      <c r="S125" s="578"/>
      <c r="T125" s="578"/>
      <c r="U125" s="578"/>
      <c r="V125" s="578"/>
      <c r="W125" s="578"/>
      <c r="X125" s="578"/>
      <c r="Y125" s="578"/>
      <c r="Z125" s="578"/>
      <c r="AA125" s="578"/>
      <c r="AB125" s="578"/>
      <c r="AC125" s="578"/>
      <c r="AD125" s="578"/>
      <c r="AE125" s="578"/>
      <c r="AF125" s="578"/>
      <c r="AG125" s="578"/>
      <c r="AH125" s="578"/>
      <c r="AI125" s="578"/>
      <c r="AJ125" s="578"/>
      <c r="AK125" s="578"/>
      <c r="AL125" s="578"/>
      <c r="AM125" s="578"/>
      <c r="AN125" s="578">
        <v>316000</v>
      </c>
      <c r="AO125" s="578"/>
      <c r="AP125" s="578"/>
      <c r="AQ125" s="578">
        <v>47560</v>
      </c>
      <c r="AR125" s="578"/>
      <c r="AS125" s="578"/>
      <c r="AT125" s="580"/>
      <c r="AU125" s="581">
        <f t="shared" si="101"/>
        <v>363560</v>
      </c>
    </row>
    <row r="126" spans="1:47" s="647" customFormat="1" ht="19.5" x14ac:dyDescent="0.3">
      <c r="A126" s="635" t="s">
        <v>309</v>
      </c>
      <c r="B126" s="636" t="s">
        <v>629</v>
      </c>
      <c r="C126" s="637">
        <f>SUM(C124:C125)</f>
        <v>0</v>
      </c>
      <c r="D126" s="638">
        <f t="shared" ref="D126:E126" si="102">SUM(D124:D125)</f>
        <v>47560</v>
      </c>
      <c r="E126" s="639">
        <f t="shared" si="102"/>
        <v>363560</v>
      </c>
      <c r="F126" s="663">
        <f t="shared" si="51"/>
        <v>7.6442388561816657</v>
      </c>
      <c r="G126" s="649"/>
      <c r="H126" s="642">
        <f t="shared" ref="H126:AU126" si="103">SUM(H124:H125)</f>
        <v>0</v>
      </c>
      <c r="I126" s="642">
        <f t="shared" si="103"/>
        <v>0</v>
      </c>
      <c r="J126" s="642">
        <f t="shared" si="103"/>
        <v>0</v>
      </c>
      <c r="K126" s="642">
        <f t="shared" si="103"/>
        <v>0</v>
      </c>
      <c r="L126" s="642">
        <f t="shared" si="103"/>
        <v>0</v>
      </c>
      <c r="M126" s="642">
        <f t="shared" si="103"/>
        <v>0</v>
      </c>
      <c r="N126" s="642">
        <f t="shared" si="103"/>
        <v>0</v>
      </c>
      <c r="O126" s="642">
        <f t="shared" si="103"/>
        <v>0</v>
      </c>
      <c r="P126" s="642">
        <f t="shared" si="103"/>
        <v>0</v>
      </c>
      <c r="Q126" s="642">
        <f t="shared" si="103"/>
        <v>0</v>
      </c>
      <c r="R126" s="642">
        <f t="shared" si="103"/>
        <v>0</v>
      </c>
      <c r="S126" s="642">
        <f t="shared" si="103"/>
        <v>0</v>
      </c>
      <c r="T126" s="642">
        <f t="shared" si="103"/>
        <v>0</v>
      </c>
      <c r="U126" s="642">
        <f t="shared" si="103"/>
        <v>0</v>
      </c>
      <c r="V126" s="642">
        <f t="shared" si="103"/>
        <v>0</v>
      </c>
      <c r="W126" s="642">
        <f t="shared" si="103"/>
        <v>0</v>
      </c>
      <c r="X126" s="642">
        <f t="shared" si="103"/>
        <v>0</v>
      </c>
      <c r="Y126" s="642">
        <f t="shared" si="103"/>
        <v>0</v>
      </c>
      <c r="Z126" s="642">
        <f t="shared" si="103"/>
        <v>0</v>
      </c>
      <c r="AA126" s="642">
        <f t="shared" si="103"/>
        <v>0</v>
      </c>
      <c r="AB126" s="642">
        <f t="shared" si="103"/>
        <v>0</v>
      </c>
      <c r="AC126" s="642">
        <f t="shared" si="103"/>
        <v>0</v>
      </c>
      <c r="AD126" s="642">
        <f t="shared" si="103"/>
        <v>0</v>
      </c>
      <c r="AE126" s="642">
        <f t="shared" si="103"/>
        <v>0</v>
      </c>
      <c r="AF126" s="642">
        <f t="shared" si="103"/>
        <v>0</v>
      </c>
      <c r="AG126" s="642">
        <f t="shared" si="103"/>
        <v>0</v>
      </c>
      <c r="AH126" s="642">
        <f t="shared" si="103"/>
        <v>0</v>
      </c>
      <c r="AI126" s="642">
        <f t="shared" si="103"/>
        <v>0</v>
      </c>
      <c r="AJ126" s="642">
        <f t="shared" si="103"/>
        <v>0</v>
      </c>
      <c r="AK126" s="642">
        <f t="shared" si="103"/>
        <v>0</v>
      </c>
      <c r="AL126" s="642">
        <f t="shared" si="103"/>
        <v>0</v>
      </c>
      <c r="AM126" s="642">
        <f t="shared" si="103"/>
        <v>0</v>
      </c>
      <c r="AN126" s="642">
        <f t="shared" si="103"/>
        <v>316000</v>
      </c>
      <c r="AO126" s="664">
        <f t="shared" si="103"/>
        <v>0</v>
      </c>
      <c r="AP126" s="642">
        <f t="shared" si="103"/>
        <v>0</v>
      </c>
      <c r="AQ126" s="642">
        <f t="shared" si="103"/>
        <v>47560</v>
      </c>
      <c r="AR126" s="642">
        <f t="shared" si="103"/>
        <v>0</v>
      </c>
      <c r="AS126" s="642">
        <f t="shared" si="103"/>
        <v>0</v>
      </c>
      <c r="AT126" s="645">
        <f t="shared" si="103"/>
        <v>0</v>
      </c>
      <c r="AU126" s="646">
        <f t="shared" si="103"/>
        <v>363560</v>
      </c>
    </row>
    <row r="127" spans="1:47" s="563" customFormat="1" ht="16.5" x14ac:dyDescent="0.25">
      <c r="A127" s="535" t="s">
        <v>313</v>
      </c>
      <c r="B127" s="529" t="s">
        <v>314</v>
      </c>
      <c r="C127" s="458">
        <v>0</v>
      </c>
      <c r="D127" s="174">
        <f>C127</f>
        <v>0</v>
      </c>
      <c r="E127" s="436">
        <f t="shared" ref="E127:E128" si="104">AU127</f>
        <v>0</v>
      </c>
      <c r="F127" s="585"/>
      <c r="G127" s="586"/>
      <c r="H127" s="566"/>
      <c r="I127" s="566"/>
      <c r="J127" s="566"/>
      <c r="K127" s="566"/>
      <c r="L127" s="566"/>
      <c r="M127" s="566"/>
      <c r="N127" s="566"/>
      <c r="O127" s="566"/>
      <c r="P127" s="566"/>
      <c r="Q127" s="566"/>
      <c r="R127" s="566"/>
      <c r="S127" s="566"/>
      <c r="T127" s="566"/>
      <c r="U127" s="566"/>
      <c r="V127" s="566"/>
      <c r="W127" s="566"/>
      <c r="X127" s="566"/>
      <c r="Y127" s="566"/>
      <c r="Z127" s="566"/>
      <c r="AA127" s="566"/>
      <c r="AB127" s="566"/>
      <c r="AC127" s="566"/>
      <c r="AD127" s="566"/>
      <c r="AE127" s="566"/>
      <c r="AF127" s="566"/>
      <c r="AG127" s="566"/>
      <c r="AH127" s="566"/>
      <c r="AI127" s="566"/>
      <c r="AJ127" s="566"/>
      <c r="AK127" s="566"/>
      <c r="AL127" s="566"/>
      <c r="AM127" s="566"/>
      <c r="AN127" s="566"/>
      <c r="AO127" s="559"/>
      <c r="AP127" s="566"/>
      <c r="AQ127" s="566"/>
      <c r="AR127" s="566"/>
      <c r="AS127" s="566"/>
      <c r="AT127" s="567"/>
      <c r="AU127" s="568">
        <f t="shared" ref="AU127:AU128" si="105">SUM(H127:AT127)</f>
        <v>0</v>
      </c>
    </row>
    <row r="128" spans="1:47" s="563" customFormat="1" ht="16.5" x14ac:dyDescent="0.25">
      <c r="A128" s="535" t="s">
        <v>632</v>
      </c>
      <c r="B128" s="529" t="s">
        <v>315</v>
      </c>
      <c r="C128" s="458">
        <v>2886600</v>
      </c>
      <c r="D128" s="174">
        <f>C128</f>
        <v>2886600</v>
      </c>
      <c r="E128" s="436">
        <f t="shared" si="104"/>
        <v>0</v>
      </c>
      <c r="F128" s="585">
        <f t="shared" si="51"/>
        <v>0</v>
      </c>
      <c r="G128" s="586"/>
      <c r="H128" s="566"/>
      <c r="I128" s="566"/>
      <c r="J128" s="566"/>
      <c r="K128" s="566"/>
      <c r="L128" s="566"/>
      <c r="M128" s="566"/>
      <c r="N128" s="566"/>
      <c r="O128" s="566"/>
      <c r="P128" s="566"/>
      <c r="Q128" s="566"/>
      <c r="R128" s="566"/>
      <c r="S128" s="566"/>
      <c r="T128" s="566"/>
      <c r="U128" s="566"/>
      <c r="V128" s="566"/>
      <c r="W128" s="566"/>
      <c r="X128" s="566"/>
      <c r="Y128" s="566"/>
      <c r="Z128" s="566"/>
      <c r="AA128" s="566"/>
      <c r="AB128" s="566"/>
      <c r="AC128" s="566"/>
      <c r="AD128" s="566"/>
      <c r="AE128" s="566"/>
      <c r="AF128" s="566"/>
      <c r="AG128" s="566"/>
      <c r="AH128" s="566"/>
      <c r="AI128" s="566"/>
      <c r="AJ128" s="566"/>
      <c r="AK128" s="566"/>
      <c r="AL128" s="566"/>
      <c r="AM128" s="566"/>
      <c r="AN128" s="566"/>
      <c r="AO128" s="559"/>
      <c r="AP128" s="566"/>
      <c r="AQ128" s="566"/>
      <c r="AR128" s="566"/>
      <c r="AS128" s="566"/>
      <c r="AT128" s="567"/>
      <c r="AU128" s="568">
        <f t="shared" si="105"/>
        <v>0</v>
      </c>
    </row>
    <row r="129" spans="1:47" s="647" customFormat="1" ht="19.5" x14ac:dyDescent="0.3">
      <c r="A129" s="635" t="s">
        <v>310</v>
      </c>
      <c r="B129" s="636" t="s">
        <v>631</v>
      </c>
      <c r="C129" s="637">
        <f>SUM(C127:C128)</f>
        <v>2886600</v>
      </c>
      <c r="D129" s="638">
        <f t="shared" ref="D129:E129" si="106">SUM(D127:D128)</f>
        <v>2886600</v>
      </c>
      <c r="E129" s="639">
        <f t="shared" si="106"/>
        <v>0</v>
      </c>
      <c r="F129" s="663">
        <f t="shared" si="51"/>
        <v>0</v>
      </c>
      <c r="G129" s="649"/>
      <c r="H129" s="642">
        <f t="shared" ref="H129:AU129" si="107">SUM(H127:H128)</f>
        <v>0</v>
      </c>
      <c r="I129" s="642">
        <f t="shared" si="107"/>
        <v>0</v>
      </c>
      <c r="J129" s="642">
        <f t="shared" si="107"/>
        <v>0</v>
      </c>
      <c r="K129" s="642">
        <f t="shared" si="107"/>
        <v>0</v>
      </c>
      <c r="L129" s="642">
        <f t="shared" si="107"/>
        <v>0</v>
      </c>
      <c r="M129" s="642">
        <f t="shared" si="107"/>
        <v>0</v>
      </c>
      <c r="N129" s="642">
        <f t="shared" si="107"/>
        <v>0</v>
      </c>
      <c r="O129" s="642">
        <f t="shared" si="107"/>
        <v>0</v>
      </c>
      <c r="P129" s="642">
        <f t="shared" si="107"/>
        <v>0</v>
      </c>
      <c r="Q129" s="642">
        <f t="shared" si="107"/>
        <v>0</v>
      </c>
      <c r="R129" s="642">
        <f t="shared" si="107"/>
        <v>0</v>
      </c>
      <c r="S129" s="642">
        <f t="shared" si="107"/>
        <v>0</v>
      </c>
      <c r="T129" s="642">
        <f t="shared" si="107"/>
        <v>0</v>
      </c>
      <c r="U129" s="642">
        <f t="shared" si="107"/>
        <v>0</v>
      </c>
      <c r="V129" s="642">
        <f t="shared" si="107"/>
        <v>0</v>
      </c>
      <c r="W129" s="642">
        <f t="shared" si="107"/>
        <v>0</v>
      </c>
      <c r="X129" s="642">
        <f t="shared" si="107"/>
        <v>0</v>
      </c>
      <c r="Y129" s="642">
        <f t="shared" si="107"/>
        <v>0</v>
      </c>
      <c r="Z129" s="642">
        <f t="shared" si="107"/>
        <v>0</v>
      </c>
      <c r="AA129" s="642">
        <f t="shared" si="107"/>
        <v>0</v>
      </c>
      <c r="AB129" s="642">
        <f t="shared" si="107"/>
        <v>0</v>
      </c>
      <c r="AC129" s="642">
        <f t="shared" si="107"/>
        <v>0</v>
      </c>
      <c r="AD129" s="642">
        <f t="shared" si="107"/>
        <v>0</v>
      </c>
      <c r="AE129" s="642">
        <f t="shared" si="107"/>
        <v>0</v>
      </c>
      <c r="AF129" s="642">
        <f t="shared" si="107"/>
        <v>0</v>
      </c>
      <c r="AG129" s="642">
        <f t="shared" si="107"/>
        <v>0</v>
      </c>
      <c r="AH129" s="642">
        <f t="shared" si="107"/>
        <v>0</v>
      </c>
      <c r="AI129" s="642">
        <f t="shared" si="107"/>
        <v>0</v>
      </c>
      <c r="AJ129" s="642">
        <f t="shared" si="107"/>
        <v>0</v>
      </c>
      <c r="AK129" s="642">
        <f t="shared" si="107"/>
        <v>0</v>
      </c>
      <c r="AL129" s="642">
        <f t="shared" si="107"/>
        <v>0</v>
      </c>
      <c r="AM129" s="642">
        <f t="shared" si="107"/>
        <v>0</v>
      </c>
      <c r="AN129" s="642">
        <f t="shared" si="107"/>
        <v>0</v>
      </c>
      <c r="AO129" s="664">
        <f t="shared" si="107"/>
        <v>0</v>
      </c>
      <c r="AP129" s="642">
        <f t="shared" si="107"/>
        <v>0</v>
      </c>
      <c r="AQ129" s="642">
        <f t="shared" si="107"/>
        <v>0</v>
      </c>
      <c r="AR129" s="642">
        <f t="shared" si="107"/>
        <v>0</v>
      </c>
      <c r="AS129" s="642">
        <f t="shared" si="107"/>
        <v>0</v>
      </c>
      <c r="AT129" s="645">
        <f t="shared" si="107"/>
        <v>0</v>
      </c>
      <c r="AU129" s="646">
        <f t="shared" si="107"/>
        <v>0</v>
      </c>
    </row>
    <row r="130" spans="1:47" s="677" customFormat="1" ht="20.25" x14ac:dyDescent="0.3">
      <c r="A130" s="814" t="s">
        <v>633</v>
      </c>
      <c r="B130" s="815"/>
      <c r="C130" s="667">
        <f>SUM(C94,C97,C110,C123,C126,C129,C120)</f>
        <v>264645936</v>
      </c>
      <c r="D130" s="668">
        <f t="shared" ref="D130:E130" si="108">SUM(D94,D97,D110,D123,D126,D129,D120)</f>
        <v>267758439</v>
      </c>
      <c r="E130" s="669">
        <f t="shared" si="108"/>
        <v>230389027</v>
      </c>
      <c r="F130" s="670">
        <f t="shared" si="51"/>
        <v>0.86043610001774773</v>
      </c>
      <c r="G130" s="671"/>
      <c r="H130" s="672">
        <f t="shared" ref="H130:AU130" si="109">SUM(H94,H97,H110,H123,H126,H129,H120)</f>
        <v>0</v>
      </c>
      <c r="I130" s="672">
        <f t="shared" si="109"/>
        <v>0</v>
      </c>
      <c r="J130" s="672">
        <f t="shared" si="109"/>
        <v>0</v>
      </c>
      <c r="K130" s="672">
        <f t="shared" si="109"/>
        <v>0</v>
      </c>
      <c r="L130" s="672">
        <f t="shared" si="109"/>
        <v>0</v>
      </c>
      <c r="M130" s="672">
        <f t="shared" si="109"/>
        <v>3097733</v>
      </c>
      <c r="N130" s="672">
        <f t="shared" si="109"/>
        <v>3974570</v>
      </c>
      <c r="O130" s="672">
        <f t="shared" si="109"/>
        <v>0</v>
      </c>
      <c r="P130" s="672">
        <f t="shared" si="109"/>
        <v>0</v>
      </c>
      <c r="Q130" s="672">
        <f t="shared" si="109"/>
        <v>0</v>
      </c>
      <c r="R130" s="672">
        <f t="shared" si="109"/>
        <v>84600</v>
      </c>
      <c r="S130" s="672">
        <f t="shared" si="109"/>
        <v>60000</v>
      </c>
      <c r="T130" s="672">
        <f t="shared" si="109"/>
        <v>0</v>
      </c>
      <c r="U130" s="672">
        <f t="shared" si="109"/>
        <v>0</v>
      </c>
      <c r="V130" s="672">
        <f t="shared" si="109"/>
        <v>0</v>
      </c>
      <c r="W130" s="672">
        <f t="shared" si="109"/>
        <v>0</v>
      </c>
      <c r="X130" s="672">
        <f t="shared" si="109"/>
        <v>1614978</v>
      </c>
      <c r="Y130" s="672">
        <f t="shared" si="109"/>
        <v>0</v>
      </c>
      <c r="Z130" s="672">
        <f t="shared" si="109"/>
        <v>294000</v>
      </c>
      <c r="AA130" s="672">
        <f t="shared" si="109"/>
        <v>0</v>
      </c>
      <c r="AB130" s="672">
        <f t="shared" si="109"/>
        <v>0</v>
      </c>
      <c r="AC130" s="672">
        <f t="shared" si="109"/>
        <v>0</v>
      </c>
      <c r="AD130" s="672">
        <f t="shared" si="109"/>
        <v>0</v>
      </c>
      <c r="AE130" s="672">
        <f t="shared" si="109"/>
        <v>0</v>
      </c>
      <c r="AF130" s="672">
        <f t="shared" si="109"/>
        <v>0</v>
      </c>
      <c r="AG130" s="672">
        <f t="shared" si="109"/>
        <v>416504</v>
      </c>
      <c r="AH130" s="672">
        <f t="shared" si="109"/>
        <v>416115</v>
      </c>
      <c r="AI130" s="672">
        <f t="shared" si="109"/>
        <v>331200</v>
      </c>
      <c r="AJ130" s="672">
        <f t="shared" si="109"/>
        <v>0</v>
      </c>
      <c r="AK130" s="672">
        <f t="shared" si="109"/>
        <v>100005</v>
      </c>
      <c r="AL130" s="672">
        <f t="shared" si="109"/>
        <v>0</v>
      </c>
      <c r="AM130" s="672">
        <f t="shared" si="109"/>
        <v>0</v>
      </c>
      <c r="AN130" s="672">
        <f t="shared" si="109"/>
        <v>316000</v>
      </c>
      <c r="AO130" s="685">
        <f t="shared" si="109"/>
        <v>47070041</v>
      </c>
      <c r="AP130" s="672">
        <f t="shared" si="109"/>
        <v>16732006</v>
      </c>
      <c r="AQ130" s="672">
        <f t="shared" si="109"/>
        <v>1271876</v>
      </c>
      <c r="AR130" s="672">
        <f t="shared" si="109"/>
        <v>55000</v>
      </c>
      <c r="AS130" s="672">
        <f t="shared" si="109"/>
        <v>152874558</v>
      </c>
      <c r="AT130" s="675">
        <f t="shared" si="109"/>
        <v>1679841</v>
      </c>
      <c r="AU130" s="676">
        <f t="shared" si="109"/>
        <v>230389027</v>
      </c>
    </row>
    <row r="131" spans="1:47" s="563" customFormat="1" ht="16.5" x14ac:dyDescent="0.25">
      <c r="A131" s="536" t="s">
        <v>317</v>
      </c>
      <c r="B131" s="564" t="s">
        <v>316</v>
      </c>
      <c r="C131" s="458">
        <v>5000000</v>
      </c>
      <c r="D131" s="174">
        <f>C131</f>
        <v>5000000</v>
      </c>
      <c r="E131" s="436">
        <f t="shared" ref="E131:E134" si="110">AU131</f>
        <v>0</v>
      </c>
      <c r="F131" s="585">
        <f t="shared" si="51"/>
        <v>0</v>
      </c>
      <c r="G131" s="586"/>
      <c r="H131" s="566"/>
      <c r="I131" s="566"/>
      <c r="J131" s="566"/>
      <c r="K131" s="566"/>
      <c r="L131" s="566"/>
      <c r="M131" s="566"/>
      <c r="N131" s="566"/>
      <c r="O131" s="566"/>
      <c r="P131" s="566"/>
      <c r="Q131" s="566"/>
      <c r="R131" s="566"/>
      <c r="S131" s="566"/>
      <c r="T131" s="566"/>
      <c r="U131" s="566"/>
      <c r="V131" s="566"/>
      <c r="W131" s="566"/>
      <c r="X131" s="566"/>
      <c r="Y131" s="566"/>
      <c r="Z131" s="566"/>
      <c r="AA131" s="566"/>
      <c r="AB131" s="566"/>
      <c r="AC131" s="566"/>
      <c r="AD131" s="566"/>
      <c r="AE131" s="566"/>
      <c r="AF131" s="566"/>
      <c r="AG131" s="566"/>
      <c r="AH131" s="566"/>
      <c r="AI131" s="566"/>
      <c r="AJ131" s="566"/>
      <c r="AK131" s="566"/>
      <c r="AL131" s="566"/>
      <c r="AM131" s="566"/>
      <c r="AN131" s="566"/>
      <c r="AO131" s="559"/>
      <c r="AP131" s="566"/>
      <c r="AQ131" s="566"/>
      <c r="AR131" s="566"/>
      <c r="AS131" s="566"/>
      <c r="AT131" s="567"/>
      <c r="AU131" s="568">
        <f t="shared" ref="AU131:AU134" si="111">SUM(H131:AT131)</f>
        <v>0</v>
      </c>
    </row>
    <row r="132" spans="1:47" s="563" customFormat="1" ht="16.5" x14ac:dyDescent="0.25">
      <c r="A132" s="536" t="s">
        <v>318</v>
      </c>
      <c r="B132" s="564" t="s">
        <v>319</v>
      </c>
      <c r="C132" s="458">
        <v>164147292</v>
      </c>
      <c r="D132" s="174">
        <f>C132+25403317</f>
        <v>189550609</v>
      </c>
      <c r="E132" s="436">
        <f t="shared" si="110"/>
        <v>189550609</v>
      </c>
      <c r="F132" s="585">
        <f t="shared" si="51"/>
        <v>1</v>
      </c>
      <c r="G132" s="586"/>
      <c r="H132" s="566"/>
      <c r="I132" s="566"/>
      <c r="J132" s="566"/>
      <c r="K132" s="566"/>
      <c r="L132" s="566"/>
      <c r="M132" s="566"/>
      <c r="N132" s="566"/>
      <c r="O132" s="566"/>
      <c r="P132" s="566"/>
      <c r="Q132" s="566"/>
      <c r="R132" s="566"/>
      <c r="S132" s="566"/>
      <c r="T132" s="566"/>
      <c r="U132" s="566"/>
      <c r="V132" s="566"/>
      <c r="W132" s="566"/>
      <c r="X132" s="566"/>
      <c r="Y132" s="566"/>
      <c r="Z132" s="566"/>
      <c r="AA132" s="566"/>
      <c r="AB132" s="566"/>
      <c r="AC132" s="566"/>
      <c r="AD132" s="566"/>
      <c r="AE132" s="566"/>
      <c r="AF132" s="566"/>
      <c r="AG132" s="566"/>
      <c r="AH132" s="566"/>
      <c r="AI132" s="566"/>
      <c r="AJ132" s="566"/>
      <c r="AK132" s="566"/>
      <c r="AL132" s="566"/>
      <c r="AM132" s="566"/>
      <c r="AN132" s="566">
        <v>189550609</v>
      </c>
      <c r="AO132" s="559"/>
      <c r="AP132" s="566"/>
      <c r="AQ132" s="566"/>
      <c r="AR132" s="566"/>
      <c r="AS132" s="566"/>
      <c r="AT132" s="567"/>
      <c r="AU132" s="568">
        <f t="shared" si="111"/>
        <v>189550609</v>
      </c>
    </row>
    <row r="133" spans="1:47" s="563" customFormat="1" ht="16.5" x14ac:dyDescent="0.25">
      <c r="A133" s="536" t="s">
        <v>320</v>
      </c>
      <c r="B133" s="564" t="s">
        <v>68</v>
      </c>
      <c r="C133" s="458">
        <v>0</v>
      </c>
      <c r="D133" s="174">
        <f t="shared" ref="D133:D134" si="112">C133</f>
        <v>0</v>
      </c>
      <c r="E133" s="436">
        <f t="shared" si="110"/>
        <v>0</v>
      </c>
      <c r="F133" s="585"/>
      <c r="G133" s="586"/>
      <c r="H133" s="566"/>
      <c r="I133" s="566"/>
      <c r="J133" s="566"/>
      <c r="K133" s="566"/>
      <c r="L133" s="566"/>
      <c r="M133" s="566"/>
      <c r="N133" s="566"/>
      <c r="O133" s="566"/>
      <c r="P133" s="566"/>
      <c r="Q133" s="566"/>
      <c r="R133" s="566"/>
      <c r="S133" s="566"/>
      <c r="T133" s="566"/>
      <c r="U133" s="566"/>
      <c r="V133" s="566"/>
      <c r="W133" s="566"/>
      <c r="X133" s="566"/>
      <c r="Y133" s="566"/>
      <c r="Z133" s="566"/>
      <c r="AA133" s="566"/>
      <c r="AB133" s="566"/>
      <c r="AC133" s="566"/>
      <c r="AD133" s="566"/>
      <c r="AE133" s="566"/>
      <c r="AF133" s="566"/>
      <c r="AG133" s="566"/>
      <c r="AH133" s="566"/>
      <c r="AI133" s="566"/>
      <c r="AJ133" s="566"/>
      <c r="AK133" s="566"/>
      <c r="AL133" s="566"/>
      <c r="AM133" s="566"/>
      <c r="AN133" s="566"/>
      <c r="AO133" s="559"/>
      <c r="AP133" s="566"/>
      <c r="AQ133" s="566"/>
      <c r="AR133" s="566"/>
      <c r="AS133" s="566"/>
      <c r="AT133" s="567"/>
      <c r="AU133" s="568">
        <f t="shared" si="111"/>
        <v>0</v>
      </c>
    </row>
    <row r="134" spans="1:47" s="563" customFormat="1" ht="16.5" x14ac:dyDescent="0.25">
      <c r="A134" s="536" t="s">
        <v>321</v>
      </c>
      <c r="B134" s="564" t="s">
        <v>322</v>
      </c>
      <c r="C134" s="458">
        <v>0</v>
      </c>
      <c r="D134" s="174">
        <f t="shared" si="112"/>
        <v>0</v>
      </c>
      <c r="E134" s="436">
        <f t="shared" si="110"/>
        <v>0</v>
      </c>
      <c r="F134" s="585"/>
      <c r="G134" s="586"/>
      <c r="H134" s="566"/>
      <c r="I134" s="566"/>
      <c r="J134" s="566"/>
      <c r="K134" s="566"/>
      <c r="L134" s="566"/>
      <c r="M134" s="566"/>
      <c r="N134" s="566"/>
      <c r="O134" s="566"/>
      <c r="P134" s="566"/>
      <c r="Q134" s="566"/>
      <c r="R134" s="566"/>
      <c r="S134" s="566"/>
      <c r="T134" s="566"/>
      <c r="U134" s="566"/>
      <c r="V134" s="566"/>
      <c r="W134" s="566"/>
      <c r="X134" s="566"/>
      <c r="Y134" s="566"/>
      <c r="Z134" s="566"/>
      <c r="AA134" s="566"/>
      <c r="AB134" s="566"/>
      <c r="AC134" s="566"/>
      <c r="AD134" s="566"/>
      <c r="AE134" s="566"/>
      <c r="AF134" s="566"/>
      <c r="AG134" s="566"/>
      <c r="AH134" s="566"/>
      <c r="AI134" s="566"/>
      <c r="AJ134" s="566"/>
      <c r="AK134" s="566"/>
      <c r="AL134" s="566"/>
      <c r="AM134" s="566"/>
      <c r="AN134" s="566"/>
      <c r="AO134" s="559"/>
      <c r="AP134" s="566"/>
      <c r="AQ134" s="566"/>
      <c r="AR134" s="566"/>
      <c r="AS134" s="566"/>
      <c r="AT134" s="567"/>
      <c r="AU134" s="568">
        <f t="shared" si="111"/>
        <v>0</v>
      </c>
    </row>
    <row r="135" spans="1:47" s="647" customFormat="1" ht="20.25" thickBot="1" x14ac:dyDescent="0.35">
      <c r="A135" s="652" t="s">
        <v>360</v>
      </c>
      <c r="B135" s="653" t="s">
        <v>634</v>
      </c>
      <c r="C135" s="654">
        <f>SUM(C131:C134)</f>
        <v>169147292</v>
      </c>
      <c r="D135" s="655">
        <f t="shared" ref="D135:E135" si="113">SUM(D131:D134)</f>
        <v>194550609</v>
      </c>
      <c r="E135" s="656">
        <f t="shared" si="113"/>
        <v>189550609</v>
      </c>
      <c r="F135" s="666">
        <f t="shared" ref="F135:F136" si="114">E135/D135</f>
        <v>0.97429974634517846</v>
      </c>
      <c r="G135" s="649"/>
      <c r="H135" s="658">
        <f t="shared" ref="H135:AU135" si="115">SUM(H131:H134)</f>
        <v>0</v>
      </c>
      <c r="I135" s="659">
        <f t="shared" si="115"/>
        <v>0</v>
      </c>
      <c r="J135" s="659">
        <f t="shared" si="115"/>
        <v>0</v>
      </c>
      <c r="K135" s="659">
        <f t="shared" si="115"/>
        <v>0</v>
      </c>
      <c r="L135" s="659">
        <f t="shared" si="115"/>
        <v>0</v>
      </c>
      <c r="M135" s="659">
        <f t="shared" si="115"/>
        <v>0</v>
      </c>
      <c r="N135" s="659">
        <f t="shared" si="115"/>
        <v>0</v>
      </c>
      <c r="O135" s="659">
        <f t="shared" si="115"/>
        <v>0</v>
      </c>
      <c r="P135" s="659">
        <f t="shared" si="115"/>
        <v>0</v>
      </c>
      <c r="Q135" s="659">
        <f t="shared" si="115"/>
        <v>0</v>
      </c>
      <c r="R135" s="659">
        <f t="shared" si="115"/>
        <v>0</v>
      </c>
      <c r="S135" s="659">
        <f t="shared" si="115"/>
        <v>0</v>
      </c>
      <c r="T135" s="659">
        <f t="shared" si="115"/>
        <v>0</v>
      </c>
      <c r="U135" s="659">
        <f t="shared" si="115"/>
        <v>0</v>
      </c>
      <c r="V135" s="659">
        <f t="shared" si="115"/>
        <v>0</v>
      </c>
      <c r="W135" s="659">
        <f t="shared" si="115"/>
        <v>0</v>
      </c>
      <c r="X135" s="659">
        <f t="shared" si="115"/>
        <v>0</v>
      </c>
      <c r="Y135" s="659">
        <f t="shared" si="115"/>
        <v>0</v>
      </c>
      <c r="Z135" s="659">
        <f t="shared" si="115"/>
        <v>0</v>
      </c>
      <c r="AA135" s="659">
        <f t="shared" si="115"/>
        <v>0</v>
      </c>
      <c r="AB135" s="659">
        <f t="shared" si="115"/>
        <v>0</v>
      </c>
      <c r="AC135" s="659">
        <f t="shared" si="115"/>
        <v>0</v>
      </c>
      <c r="AD135" s="659">
        <f t="shared" si="115"/>
        <v>0</v>
      </c>
      <c r="AE135" s="659">
        <f t="shared" si="115"/>
        <v>0</v>
      </c>
      <c r="AF135" s="659">
        <f t="shared" si="115"/>
        <v>0</v>
      </c>
      <c r="AG135" s="659">
        <f t="shared" si="115"/>
        <v>0</v>
      </c>
      <c r="AH135" s="659">
        <f t="shared" si="115"/>
        <v>0</v>
      </c>
      <c r="AI135" s="659">
        <f t="shared" si="115"/>
        <v>0</v>
      </c>
      <c r="AJ135" s="659">
        <f t="shared" si="115"/>
        <v>0</v>
      </c>
      <c r="AK135" s="659">
        <f t="shared" si="115"/>
        <v>0</v>
      </c>
      <c r="AL135" s="659">
        <f t="shared" si="115"/>
        <v>0</v>
      </c>
      <c r="AM135" s="659">
        <f t="shared" si="115"/>
        <v>0</v>
      </c>
      <c r="AN135" s="659">
        <f t="shared" si="115"/>
        <v>189550609</v>
      </c>
      <c r="AO135" s="660">
        <f t="shared" si="115"/>
        <v>0</v>
      </c>
      <c r="AP135" s="659">
        <f t="shared" si="115"/>
        <v>0</v>
      </c>
      <c r="AQ135" s="659">
        <f t="shared" si="115"/>
        <v>0</v>
      </c>
      <c r="AR135" s="659">
        <f t="shared" si="115"/>
        <v>0</v>
      </c>
      <c r="AS135" s="659">
        <f t="shared" si="115"/>
        <v>0</v>
      </c>
      <c r="AT135" s="661">
        <f t="shared" si="115"/>
        <v>0</v>
      </c>
      <c r="AU135" s="662">
        <f t="shared" si="115"/>
        <v>189550609</v>
      </c>
    </row>
    <row r="136" spans="1:47" s="677" customFormat="1" ht="21" thickBot="1" x14ac:dyDescent="0.35">
      <c r="A136" s="812" t="s">
        <v>635</v>
      </c>
      <c r="B136" s="813"/>
      <c r="C136" s="678">
        <f>SUM(C135,C130)</f>
        <v>433793228</v>
      </c>
      <c r="D136" s="678">
        <f t="shared" ref="D136:E136" si="116">SUM(D135,D130)</f>
        <v>462309048</v>
      </c>
      <c r="E136" s="678">
        <f t="shared" si="116"/>
        <v>419939636</v>
      </c>
      <c r="F136" s="679">
        <f t="shared" si="114"/>
        <v>0.90835262216196122</v>
      </c>
      <c r="G136" s="671"/>
      <c r="H136" s="680">
        <f t="shared" ref="H136:AU136" si="117">SUM(H135,H130)</f>
        <v>0</v>
      </c>
      <c r="I136" s="680">
        <f t="shared" si="117"/>
        <v>0</v>
      </c>
      <c r="J136" s="680">
        <f t="shared" si="117"/>
        <v>0</v>
      </c>
      <c r="K136" s="680">
        <f t="shared" si="117"/>
        <v>0</v>
      </c>
      <c r="L136" s="680">
        <f t="shared" si="117"/>
        <v>0</v>
      </c>
      <c r="M136" s="680">
        <f t="shared" si="117"/>
        <v>3097733</v>
      </c>
      <c r="N136" s="680">
        <f t="shared" si="117"/>
        <v>3974570</v>
      </c>
      <c r="O136" s="680">
        <f t="shared" si="117"/>
        <v>0</v>
      </c>
      <c r="P136" s="680">
        <f t="shared" si="117"/>
        <v>0</v>
      </c>
      <c r="Q136" s="680">
        <f t="shared" si="117"/>
        <v>0</v>
      </c>
      <c r="R136" s="680">
        <f t="shared" si="117"/>
        <v>84600</v>
      </c>
      <c r="S136" s="680">
        <f t="shared" si="117"/>
        <v>60000</v>
      </c>
      <c r="T136" s="680">
        <f t="shared" si="117"/>
        <v>0</v>
      </c>
      <c r="U136" s="680">
        <f t="shared" si="117"/>
        <v>0</v>
      </c>
      <c r="V136" s="680">
        <f t="shared" si="117"/>
        <v>0</v>
      </c>
      <c r="W136" s="680">
        <f t="shared" si="117"/>
        <v>0</v>
      </c>
      <c r="X136" s="680">
        <f t="shared" si="117"/>
        <v>1614978</v>
      </c>
      <c r="Y136" s="680">
        <f t="shared" si="117"/>
        <v>0</v>
      </c>
      <c r="Z136" s="680">
        <f t="shared" si="117"/>
        <v>294000</v>
      </c>
      <c r="AA136" s="680">
        <f t="shared" si="117"/>
        <v>0</v>
      </c>
      <c r="AB136" s="680">
        <f t="shared" si="117"/>
        <v>0</v>
      </c>
      <c r="AC136" s="680">
        <f t="shared" si="117"/>
        <v>0</v>
      </c>
      <c r="AD136" s="680">
        <f t="shared" si="117"/>
        <v>0</v>
      </c>
      <c r="AE136" s="680">
        <f t="shared" si="117"/>
        <v>0</v>
      </c>
      <c r="AF136" s="680">
        <f t="shared" si="117"/>
        <v>0</v>
      </c>
      <c r="AG136" s="680">
        <f t="shared" si="117"/>
        <v>416504</v>
      </c>
      <c r="AH136" s="680">
        <f t="shared" si="117"/>
        <v>416115</v>
      </c>
      <c r="AI136" s="680">
        <f t="shared" si="117"/>
        <v>331200</v>
      </c>
      <c r="AJ136" s="680">
        <f t="shared" si="117"/>
        <v>0</v>
      </c>
      <c r="AK136" s="680">
        <f t="shared" si="117"/>
        <v>100005</v>
      </c>
      <c r="AL136" s="680">
        <f t="shared" si="117"/>
        <v>0</v>
      </c>
      <c r="AM136" s="680">
        <f t="shared" si="117"/>
        <v>0</v>
      </c>
      <c r="AN136" s="680">
        <f t="shared" si="117"/>
        <v>189866609</v>
      </c>
      <c r="AO136" s="686">
        <f t="shared" si="117"/>
        <v>47070041</v>
      </c>
      <c r="AP136" s="680">
        <f t="shared" si="117"/>
        <v>16732006</v>
      </c>
      <c r="AQ136" s="680">
        <f t="shared" si="117"/>
        <v>1271876</v>
      </c>
      <c r="AR136" s="680">
        <f t="shared" si="117"/>
        <v>55000</v>
      </c>
      <c r="AS136" s="680">
        <f t="shared" si="117"/>
        <v>152874558</v>
      </c>
      <c r="AT136" s="683">
        <f t="shared" si="117"/>
        <v>1679841</v>
      </c>
      <c r="AU136" s="684">
        <f t="shared" si="117"/>
        <v>419939636</v>
      </c>
    </row>
    <row r="137" spans="1:47" ht="15" x14ac:dyDescent="0.25">
      <c r="C137" s="539"/>
      <c r="D137" s="539"/>
      <c r="E137" s="539"/>
      <c r="F137" s="540"/>
      <c r="G137" s="541"/>
    </row>
    <row r="138" spans="1:47" ht="15" x14ac:dyDescent="0.25">
      <c r="C138" s="539"/>
      <c r="D138" s="539"/>
      <c r="E138" s="539"/>
      <c r="F138" s="540"/>
      <c r="G138" s="541"/>
    </row>
    <row r="139" spans="1:47" ht="18.75" x14ac:dyDescent="0.3">
      <c r="A139" s="543"/>
      <c r="B139" s="544" t="s">
        <v>113</v>
      </c>
      <c r="C139" s="798">
        <v>9</v>
      </c>
      <c r="D139" s="798"/>
      <c r="E139" s="798"/>
      <c r="G139" s="534"/>
    </row>
    <row r="140" spans="1:47" x14ac:dyDescent="0.2">
      <c r="A140" s="543"/>
      <c r="B140" s="543"/>
      <c r="C140" s="39"/>
      <c r="D140" s="39"/>
      <c r="E140" s="39"/>
    </row>
    <row r="141" spans="1:47" x14ac:dyDescent="0.2">
      <c r="A141" s="543"/>
      <c r="B141" s="543"/>
      <c r="C141" s="39"/>
      <c r="D141" s="39"/>
      <c r="E141" s="39"/>
    </row>
    <row r="142" spans="1:47" x14ac:dyDescent="0.2">
      <c r="A142" s="543"/>
      <c r="B142" s="543"/>
      <c r="C142" s="39"/>
      <c r="D142" s="39"/>
      <c r="E142" s="39"/>
    </row>
    <row r="143" spans="1:47" x14ac:dyDescent="0.2">
      <c r="A143" s="543"/>
      <c r="B143" s="543"/>
      <c r="C143" s="39"/>
      <c r="D143" s="39"/>
      <c r="E143" s="39"/>
    </row>
    <row r="144" spans="1:47" x14ac:dyDescent="0.2">
      <c r="A144" s="543"/>
      <c r="B144" s="543"/>
      <c r="C144" s="39"/>
      <c r="D144" s="39"/>
      <c r="E144" s="39"/>
    </row>
    <row r="145" spans="1:5" x14ac:dyDescent="0.2">
      <c r="A145" s="543"/>
      <c r="B145" s="543"/>
      <c r="C145" s="39"/>
      <c r="D145" s="39"/>
      <c r="E145" s="39"/>
    </row>
    <row r="146" spans="1:5" x14ac:dyDescent="0.2">
      <c r="A146" s="543"/>
      <c r="B146" s="543"/>
      <c r="C146" s="39"/>
      <c r="D146" s="39"/>
      <c r="E146" s="39"/>
    </row>
    <row r="147" spans="1:5" x14ac:dyDescent="0.2">
      <c r="A147" s="543"/>
      <c r="B147" s="543"/>
      <c r="C147" s="39"/>
      <c r="D147" s="39"/>
      <c r="E147" s="39"/>
    </row>
    <row r="148" spans="1:5" x14ac:dyDescent="0.2">
      <c r="A148" s="543"/>
      <c r="B148" s="543"/>
      <c r="C148" s="39"/>
      <c r="D148" s="39"/>
      <c r="E148" s="39"/>
    </row>
    <row r="149" spans="1:5" x14ac:dyDescent="0.2">
      <c r="A149" s="543"/>
      <c r="B149" s="543"/>
      <c r="C149" s="39"/>
      <c r="D149" s="39"/>
      <c r="E149" s="39"/>
    </row>
    <row r="150" spans="1:5" x14ac:dyDescent="0.2">
      <c r="A150" s="543"/>
      <c r="B150" s="543"/>
      <c r="C150" s="39"/>
      <c r="D150" s="39"/>
      <c r="E150" s="39"/>
    </row>
    <row r="151" spans="1:5" x14ac:dyDescent="0.2">
      <c r="A151" s="543"/>
      <c r="B151" s="543"/>
      <c r="C151" s="39"/>
      <c r="D151" s="39"/>
      <c r="E151" s="39"/>
    </row>
    <row r="152" spans="1:5" x14ac:dyDescent="0.2">
      <c r="A152" s="543"/>
      <c r="B152" s="543"/>
      <c r="C152" s="39"/>
      <c r="D152" s="39"/>
      <c r="E152" s="39"/>
    </row>
    <row r="153" spans="1:5" x14ac:dyDescent="0.2">
      <c r="A153" s="543"/>
      <c r="B153" s="543"/>
      <c r="C153" s="39"/>
      <c r="D153" s="39"/>
      <c r="E153" s="39"/>
    </row>
    <row r="154" spans="1:5" x14ac:dyDescent="0.2">
      <c r="A154" s="543"/>
      <c r="B154" s="543"/>
      <c r="C154" s="39"/>
      <c r="D154" s="39"/>
      <c r="E154" s="39"/>
    </row>
    <row r="155" spans="1:5" x14ac:dyDescent="0.2">
      <c r="A155" s="543"/>
      <c r="B155" s="543"/>
      <c r="C155" s="39"/>
      <c r="D155" s="39"/>
      <c r="E155" s="39"/>
    </row>
    <row r="156" spans="1:5" x14ac:dyDescent="0.2">
      <c r="A156" s="543"/>
      <c r="B156" s="547"/>
      <c r="C156" s="548"/>
      <c r="D156" s="548"/>
      <c r="E156" s="548"/>
    </row>
    <row r="157" spans="1:5" x14ac:dyDescent="0.2">
      <c r="A157" s="543"/>
      <c r="B157" s="549"/>
      <c r="C157" s="39"/>
      <c r="D157" s="39"/>
      <c r="E157" s="39"/>
    </row>
    <row r="158" spans="1:5" x14ac:dyDescent="0.2">
      <c r="A158" s="543"/>
      <c r="B158" s="543"/>
      <c r="C158" s="39"/>
      <c r="D158" s="39"/>
      <c r="E158" s="39"/>
    </row>
    <row r="159" spans="1:5" x14ac:dyDescent="0.2">
      <c r="A159" s="543"/>
      <c r="B159" s="543"/>
      <c r="C159" s="39"/>
      <c r="D159" s="39"/>
      <c r="E159" s="39"/>
    </row>
    <row r="160" spans="1:5" x14ac:dyDescent="0.2">
      <c r="A160" s="543"/>
      <c r="B160" s="543"/>
      <c r="C160" s="39"/>
      <c r="D160" s="39"/>
      <c r="E160" s="39"/>
    </row>
    <row r="161" spans="1:5" x14ac:dyDescent="0.2">
      <c r="A161" s="543"/>
      <c r="B161" s="543"/>
      <c r="C161" s="39"/>
      <c r="D161" s="39"/>
      <c r="E161" s="39"/>
    </row>
    <row r="162" spans="1:5" x14ac:dyDescent="0.2">
      <c r="A162" s="543"/>
      <c r="B162" s="543"/>
      <c r="C162" s="39"/>
      <c r="D162" s="39"/>
      <c r="E162" s="39"/>
    </row>
    <row r="163" spans="1:5" x14ac:dyDescent="0.2">
      <c r="A163" s="543"/>
      <c r="B163" s="543"/>
      <c r="C163" s="39"/>
      <c r="D163" s="39"/>
      <c r="E163" s="39"/>
    </row>
    <row r="164" spans="1:5" x14ac:dyDescent="0.2">
      <c r="A164" s="543"/>
      <c r="B164" s="543"/>
      <c r="C164" s="39"/>
      <c r="D164" s="39"/>
      <c r="E164" s="39"/>
    </row>
    <row r="165" spans="1:5" x14ac:dyDescent="0.2">
      <c r="A165" s="543"/>
      <c r="B165" s="543"/>
      <c r="C165" s="39"/>
      <c r="D165" s="39"/>
      <c r="E165" s="39"/>
    </row>
    <row r="166" spans="1:5" x14ac:dyDescent="0.2">
      <c r="A166" s="543"/>
      <c r="B166" s="547"/>
      <c r="C166" s="548"/>
      <c r="D166" s="548"/>
      <c r="E166" s="548"/>
    </row>
    <row r="167" spans="1:5" x14ac:dyDescent="0.2">
      <c r="A167" s="543"/>
      <c r="B167" s="549"/>
      <c r="C167" s="39"/>
      <c r="D167" s="39"/>
      <c r="E167" s="39"/>
    </row>
    <row r="168" spans="1:5" x14ac:dyDescent="0.2">
      <c r="A168" s="543"/>
      <c r="B168" s="543"/>
      <c r="C168" s="39"/>
      <c r="D168" s="39"/>
      <c r="E168" s="39"/>
    </row>
    <row r="169" spans="1:5" x14ac:dyDescent="0.2">
      <c r="A169" s="543"/>
      <c r="B169" s="543"/>
      <c r="C169" s="39"/>
      <c r="D169" s="39"/>
      <c r="E169" s="39"/>
    </row>
    <row r="170" spans="1:5" x14ac:dyDescent="0.2">
      <c r="A170" s="543"/>
      <c r="B170" s="543"/>
      <c r="C170" s="39"/>
      <c r="D170" s="39"/>
      <c r="E170" s="39"/>
    </row>
    <row r="171" spans="1:5" x14ac:dyDescent="0.2">
      <c r="A171" s="543"/>
      <c r="B171" s="543"/>
      <c r="C171" s="39"/>
      <c r="D171" s="39"/>
      <c r="E171" s="39"/>
    </row>
    <row r="172" spans="1:5" x14ac:dyDescent="0.2">
      <c r="A172" s="543"/>
      <c r="B172" s="543"/>
      <c r="C172" s="39"/>
      <c r="D172" s="39"/>
      <c r="E172" s="39"/>
    </row>
    <row r="173" spans="1:5" x14ac:dyDescent="0.2">
      <c r="A173" s="543"/>
      <c r="B173" s="543"/>
      <c r="C173" s="39"/>
      <c r="D173" s="39"/>
      <c r="E173" s="39"/>
    </row>
    <row r="174" spans="1:5" x14ac:dyDescent="0.2">
      <c r="A174" s="543"/>
      <c r="B174" s="543"/>
      <c r="C174" s="39"/>
      <c r="D174" s="39"/>
      <c r="E174" s="39"/>
    </row>
    <row r="175" spans="1:5" x14ac:dyDescent="0.2">
      <c r="A175" s="543"/>
      <c r="B175" s="543"/>
      <c r="C175" s="39"/>
      <c r="D175" s="39"/>
      <c r="E175" s="39"/>
    </row>
    <row r="176" spans="1:5" x14ac:dyDescent="0.2">
      <c r="A176" s="543"/>
      <c r="B176" s="547"/>
      <c r="C176" s="548"/>
      <c r="D176" s="548"/>
      <c r="E176" s="548"/>
    </row>
    <row r="177" spans="1:5" x14ac:dyDescent="0.2">
      <c r="A177" s="543"/>
      <c r="B177" s="549"/>
      <c r="C177" s="39"/>
      <c r="D177" s="39"/>
      <c r="E177" s="39"/>
    </row>
    <row r="178" spans="1:5" x14ac:dyDescent="0.2">
      <c r="A178" s="543"/>
      <c r="B178" s="543"/>
      <c r="C178" s="39"/>
      <c r="D178" s="39"/>
      <c r="E178" s="39"/>
    </row>
    <row r="179" spans="1:5" x14ac:dyDescent="0.2">
      <c r="A179" s="543"/>
      <c r="B179" s="543"/>
      <c r="C179" s="39"/>
      <c r="D179" s="39"/>
      <c r="E179" s="39"/>
    </row>
    <row r="180" spans="1:5" x14ac:dyDescent="0.2">
      <c r="A180" s="543"/>
      <c r="B180" s="543"/>
      <c r="C180" s="39"/>
      <c r="D180" s="39"/>
      <c r="E180" s="39"/>
    </row>
    <row r="181" spans="1:5" x14ac:dyDescent="0.2">
      <c r="A181" s="543"/>
      <c r="B181" s="543"/>
      <c r="C181" s="39"/>
      <c r="D181" s="39"/>
      <c r="E181" s="39"/>
    </row>
    <row r="182" spans="1:5" x14ac:dyDescent="0.2">
      <c r="A182" s="543"/>
      <c r="B182" s="543"/>
      <c r="C182" s="39"/>
      <c r="D182" s="39"/>
      <c r="E182" s="39"/>
    </row>
    <row r="183" spans="1:5" x14ac:dyDescent="0.2">
      <c r="A183" s="543"/>
      <c r="B183" s="543"/>
      <c r="C183" s="39"/>
      <c r="D183" s="39"/>
      <c r="E183" s="39"/>
    </row>
    <row r="184" spans="1:5" x14ac:dyDescent="0.2">
      <c r="A184" s="543"/>
      <c r="B184" s="543"/>
      <c r="C184" s="39"/>
      <c r="D184" s="39"/>
      <c r="E184" s="39"/>
    </row>
    <row r="185" spans="1:5" x14ac:dyDescent="0.2">
      <c r="A185" s="543"/>
      <c r="B185" s="543"/>
      <c r="C185" s="39"/>
      <c r="D185" s="39"/>
      <c r="E185" s="39"/>
    </row>
    <row r="186" spans="1:5" x14ac:dyDescent="0.2">
      <c r="A186" s="543"/>
      <c r="B186" s="547"/>
      <c r="C186" s="548"/>
      <c r="D186" s="548"/>
      <c r="E186" s="548"/>
    </row>
    <row r="187" spans="1:5" x14ac:dyDescent="0.2">
      <c r="A187" s="543"/>
      <c r="B187" s="549"/>
      <c r="C187" s="39"/>
      <c r="D187" s="39"/>
      <c r="E187" s="39"/>
    </row>
    <row r="188" spans="1:5" x14ac:dyDescent="0.2">
      <c r="A188" s="543"/>
      <c r="B188" s="543"/>
      <c r="C188" s="39"/>
      <c r="D188" s="39"/>
      <c r="E188" s="39"/>
    </row>
    <row r="189" spans="1:5" x14ac:dyDescent="0.2">
      <c r="A189" s="543"/>
      <c r="B189" s="543"/>
      <c r="C189" s="39"/>
      <c r="D189" s="39"/>
      <c r="E189" s="39"/>
    </row>
    <row r="190" spans="1:5" x14ac:dyDescent="0.2">
      <c r="A190" s="543"/>
      <c r="B190" s="543"/>
      <c r="C190" s="39"/>
      <c r="D190" s="39"/>
      <c r="E190" s="39"/>
    </row>
    <row r="191" spans="1:5" x14ac:dyDescent="0.2">
      <c r="A191" s="543"/>
      <c r="B191" s="543"/>
      <c r="C191" s="39"/>
      <c r="D191" s="39"/>
      <c r="E191" s="39"/>
    </row>
    <row r="192" spans="1:5" x14ac:dyDescent="0.2">
      <c r="A192" s="543"/>
      <c r="B192" s="543"/>
      <c r="C192" s="39"/>
      <c r="D192" s="39"/>
      <c r="E192" s="39"/>
    </row>
    <row r="193" spans="1:6" x14ac:dyDescent="0.2">
      <c r="A193" s="543"/>
      <c r="B193" s="543"/>
      <c r="C193" s="39"/>
      <c r="D193" s="39"/>
      <c r="E193" s="39"/>
    </row>
    <row r="194" spans="1:6" x14ac:dyDescent="0.2">
      <c r="A194" s="543"/>
      <c r="B194" s="543"/>
      <c r="C194" s="39"/>
      <c r="D194" s="39"/>
      <c r="E194" s="39"/>
    </row>
    <row r="195" spans="1:6" x14ac:dyDescent="0.2">
      <c r="A195" s="543"/>
      <c r="B195" s="543"/>
      <c r="C195" s="39"/>
      <c r="D195" s="39"/>
      <c r="E195" s="39"/>
    </row>
    <row r="196" spans="1:6" x14ac:dyDescent="0.2">
      <c r="A196" s="543"/>
      <c r="B196" s="547"/>
      <c r="C196" s="548"/>
      <c r="D196" s="548"/>
      <c r="E196" s="548"/>
    </row>
    <row r="197" spans="1:6" x14ac:dyDescent="0.2">
      <c r="A197" s="543"/>
      <c r="B197" s="543"/>
      <c r="C197" s="543"/>
      <c r="D197" s="543"/>
      <c r="E197" s="543"/>
    </row>
    <row r="198" spans="1:6" x14ac:dyDescent="0.2">
      <c r="A198" s="543"/>
      <c r="B198" s="543"/>
      <c r="C198" s="543"/>
      <c r="D198" s="543"/>
      <c r="E198" s="543"/>
    </row>
    <row r="199" spans="1:6" x14ac:dyDescent="0.2">
      <c r="A199" s="543"/>
      <c r="B199" s="543"/>
      <c r="C199" s="543"/>
      <c r="D199" s="543"/>
      <c r="E199" s="543"/>
    </row>
    <row r="200" spans="1:6" x14ac:dyDescent="0.2">
      <c r="A200" s="543"/>
      <c r="B200" s="543"/>
      <c r="C200" s="543"/>
      <c r="D200" s="543"/>
      <c r="E200" s="543"/>
    </row>
    <row r="201" spans="1:6" x14ac:dyDescent="0.2">
      <c r="A201" s="543"/>
      <c r="B201" s="543"/>
      <c r="C201" s="543"/>
      <c r="D201" s="543"/>
      <c r="E201" s="543"/>
    </row>
    <row r="202" spans="1:6" x14ac:dyDescent="0.2">
      <c r="A202" s="543"/>
      <c r="B202" s="543"/>
      <c r="C202" s="543"/>
      <c r="D202" s="543"/>
      <c r="E202" s="543"/>
    </row>
    <row r="203" spans="1:6" x14ac:dyDescent="0.2">
      <c r="A203" s="543"/>
      <c r="B203" s="543"/>
      <c r="C203" s="543"/>
      <c r="D203" s="543"/>
      <c r="E203" s="543"/>
    </row>
    <row r="204" spans="1:6" x14ac:dyDescent="0.2">
      <c r="A204" s="543"/>
      <c r="B204" s="543"/>
      <c r="C204" s="543"/>
      <c r="D204" s="543"/>
      <c r="E204" s="543"/>
    </row>
    <row r="205" spans="1:6" x14ac:dyDescent="0.2">
      <c r="A205" s="543"/>
      <c r="B205" s="543"/>
      <c r="C205" s="543"/>
      <c r="D205" s="543"/>
      <c r="E205" s="543"/>
    </row>
    <row r="206" spans="1:6" x14ac:dyDescent="0.2">
      <c r="A206" s="543"/>
      <c r="B206" s="543"/>
      <c r="C206" s="543"/>
      <c r="D206" s="543"/>
      <c r="E206" s="543"/>
    </row>
    <row r="207" spans="1:6" x14ac:dyDescent="0.2">
      <c r="A207" s="543"/>
      <c r="B207" s="543"/>
      <c r="C207" s="543"/>
      <c r="D207" s="543"/>
      <c r="E207" s="543"/>
    </row>
    <row r="208" spans="1:6" ht="15" x14ac:dyDescent="0.25">
      <c r="F208" s="550"/>
    </row>
  </sheetData>
  <sortState ref="A76:BL78">
    <sortCondition ref="A76:A78"/>
  </sortState>
  <mergeCells count="50">
    <mergeCell ref="A136:B136"/>
    <mergeCell ref="A130:B130"/>
    <mergeCell ref="A75:B75"/>
    <mergeCell ref="A80:B80"/>
    <mergeCell ref="A1:A4"/>
    <mergeCell ref="B1:B4"/>
    <mergeCell ref="C139:E139"/>
    <mergeCell ref="L2:L4"/>
    <mergeCell ref="J2:J4"/>
    <mergeCell ref="P2:P4"/>
    <mergeCell ref="X2:X4"/>
    <mergeCell ref="U2:U4"/>
    <mergeCell ref="V2:V4"/>
    <mergeCell ref="F1:F4"/>
    <mergeCell ref="I2:I4"/>
    <mergeCell ref="N2:N4"/>
    <mergeCell ref="K2:K4"/>
    <mergeCell ref="D3:D4"/>
    <mergeCell ref="H2:H4"/>
    <mergeCell ref="I1:AU1"/>
    <mergeCell ref="AO2:AO4"/>
    <mergeCell ref="AU2:AU4"/>
    <mergeCell ref="AT2:AT4"/>
    <mergeCell ref="M2:M4"/>
    <mergeCell ref="AM2:AM4"/>
    <mergeCell ref="Y2:Y4"/>
    <mergeCell ref="AB2:AB4"/>
    <mergeCell ref="AH2:AH4"/>
    <mergeCell ref="AP2:AP4"/>
    <mergeCell ref="AD2:AD4"/>
    <mergeCell ref="AK2:AK4"/>
    <mergeCell ref="AF2:AF4"/>
    <mergeCell ref="AQ2:AQ4"/>
    <mergeCell ref="W2:W4"/>
    <mergeCell ref="O2:O4"/>
    <mergeCell ref="S2:S4"/>
    <mergeCell ref="T2:T4"/>
    <mergeCell ref="AR2:AR4"/>
    <mergeCell ref="AS2:AS4"/>
    <mergeCell ref="Q2:Q4"/>
    <mergeCell ref="R2:R4"/>
    <mergeCell ref="AJ2:AJ4"/>
    <mergeCell ref="AN2:AN4"/>
    <mergeCell ref="AL2:AL4"/>
    <mergeCell ref="AI2:AI4"/>
    <mergeCell ref="AE2:AE4"/>
    <mergeCell ref="AC2:AC4"/>
    <mergeCell ref="AG2:AG4"/>
    <mergeCell ref="Z2:Z4"/>
    <mergeCell ref="AA2:AA4"/>
  </mergeCells>
  <phoneticPr fontId="2" type="noConversion"/>
  <printOptions horizontalCentered="1"/>
  <pageMargins left="0.39370078740157483" right="0.19685039370078741" top="0.87" bottom="0.27" header="0.31496062992125984" footer="0.19685039370078741"/>
  <pageSetup paperSize="8" scale="31" fitToHeight="0" orientation="landscape" r:id="rId1"/>
  <headerFooter scaleWithDoc="0">
    <oddHeader>&amp;C&amp;"Arial,Félkövér"&amp;12Levél Községi Önkormányzat
2019. 01-09. hó&amp;R&amp;"Arial,Normál"&amp;8 9. 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16</vt:i4>
      </vt:variant>
    </vt:vector>
  </HeadingPairs>
  <TitlesOfParts>
    <vt:vector size="32" baseType="lpstr">
      <vt:lpstr>Ktvetési mérleg - 1. mell.</vt:lpstr>
      <vt:lpstr>Műk-felh.mérleg - 2. mell.</vt:lpstr>
      <vt:lpstr>Bevétel össz. - 3. mell.</vt:lpstr>
      <vt:lpstr>Kiadás össz. - 4. mell.</vt:lpstr>
      <vt:lpstr>Állami - 5. mell.</vt:lpstr>
      <vt:lpstr>Ber.-felú. - 6. mell.</vt:lpstr>
      <vt:lpstr>Pénze.átadás - 7. mell.</vt:lpstr>
      <vt:lpstr>Szoc.jutt. - 8. mell.</vt:lpstr>
      <vt:lpstr>Önkormányzat - 9. mell.</vt:lpstr>
      <vt:lpstr>Óvoda - 10. mell.</vt:lpstr>
      <vt:lpstr>11 Élelm.</vt:lpstr>
      <vt:lpstr>12 Létszám</vt:lpstr>
      <vt:lpstr>13 EI-felh. terv</vt:lpstr>
      <vt:lpstr>14 Címrend</vt:lpstr>
      <vt:lpstr>15 gördülő</vt:lpstr>
      <vt:lpstr>16 stab.tv saját bevétel</vt:lpstr>
      <vt:lpstr>'Kiadás össz. - 4. mell.'!_FilterDatabase</vt:lpstr>
      <vt:lpstr>'Önkormányzat - 9. mell.'!Nyomtatási_cím</vt:lpstr>
      <vt:lpstr>'13 EI-felh. terv'!Nyomtatási_terület</vt:lpstr>
      <vt:lpstr>'14 Címrend'!Nyomtatási_terület</vt:lpstr>
      <vt:lpstr>'15 gördülő'!Nyomtatási_terület</vt:lpstr>
      <vt:lpstr>'16 stab.tv saját bevétel'!Nyomtatási_terület</vt:lpstr>
      <vt:lpstr>'Állami - 5. mell.'!Nyomtatási_terület</vt:lpstr>
      <vt:lpstr>'Ber.-felú. - 6. mell.'!Nyomtatási_terület</vt:lpstr>
      <vt:lpstr>'Bevétel össz. - 3. mell.'!Nyomtatási_terület</vt:lpstr>
      <vt:lpstr>'Kiadás össz. - 4. mell.'!Nyomtatási_terület</vt:lpstr>
      <vt:lpstr>'Ktvetési mérleg - 1. mell.'!Nyomtatási_terület</vt:lpstr>
      <vt:lpstr>'Műk-felh.mérleg - 2. mell.'!Nyomtatási_terület</vt:lpstr>
      <vt:lpstr>'Óvoda - 10. mell.'!Nyomtatási_terület</vt:lpstr>
      <vt:lpstr>'Önkormányzat - 9. mell.'!Nyomtatási_terület</vt:lpstr>
      <vt:lpstr>'Pénze.átadás - 7. mell.'!Nyomtatási_terület</vt:lpstr>
      <vt:lpstr>'Szoc.jutt. - 8. 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2019-11-13T14:30:12Z</cp:lastPrinted>
  <dcterms:created xsi:type="dcterms:W3CDTF">1997-01-17T14:02:09Z</dcterms:created>
  <dcterms:modified xsi:type="dcterms:W3CDTF">2019-11-14T08:20:02Z</dcterms:modified>
</cp:coreProperties>
</file>