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45" yWindow="-105" windowWidth="15480" windowHeight="9720" tabRatio="944" activeTab="6"/>
  </bookViews>
  <sheets>
    <sheet name="1. Bevételek" sheetId="41" r:id="rId1"/>
    <sheet name="2. Kiadások" sheetId="5" r:id="rId2"/>
    <sheet name="3.Működési mérleg" sheetId="196" r:id="rId3"/>
    <sheet name="4. Felhalozási mérleg" sheetId="197" r:id="rId4"/>
    <sheet name="5. Pénzeszköz átadás" sheetId="190" r:id="rId5"/>
    <sheet name="6 .Felhalmozási k." sheetId="194" r:id="rId6"/>
    <sheet name="7. Adósságk." sheetId="198" r:id="rId7"/>
  </sheets>
  <externalReferences>
    <externalReference r:id="rId8"/>
    <externalReference r:id="rId9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1">'2. Kiadások'!$3:$3</definedName>
    <definedName name="_xlnm.Print_Area" localSheetId="0">'1. Bevételek'!$A$1:$O$51</definedName>
    <definedName name="_xlnm.Print_Area" localSheetId="1">'2. Kiadások'!$A$1:$O$35</definedName>
  </definedNames>
  <calcPr calcId="145621" fullCalcOnLoad="1"/>
</workbook>
</file>

<file path=xl/calcChain.xml><?xml version="1.0" encoding="utf-8"?>
<calcChain xmlns="http://schemas.openxmlformats.org/spreadsheetml/2006/main">
  <c r="O21" i="5"/>
  <c r="O16"/>
  <c r="O15"/>
  <c r="O8"/>
  <c r="I19" i="196"/>
  <c r="D13" i="197"/>
  <c r="G10" i="198"/>
  <c r="F10"/>
  <c r="O66" i="190"/>
  <c r="O65"/>
  <c r="O43"/>
  <c r="O44"/>
  <c r="O45"/>
  <c r="O47"/>
  <c r="O48"/>
  <c r="O49"/>
  <c r="O50"/>
  <c r="O51"/>
  <c r="O53"/>
  <c r="O54"/>
  <c r="O56"/>
  <c r="O57"/>
  <c r="O58"/>
  <c r="O59"/>
  <c r="O42"/>
  <c r="O37"/>
  <c r="O31"/>
  <c r="O23"/>
  <c r="O24"/>
  <c r="O27"/>
  <c r="O22"/>
  <c r="O21"/>
  <c r="O15"/>
  <c r="O16"/>
  <c r="O17"/>
  <c r="O18"/>
  <c r="O19"/>
  <c r="O20"/>
  <c r="O14"/>
  <c r="O13"/>
  <c r="N31"/>
  <c r="N66"/>
  <c r="N65"/>
  <c r="N43"/>
  <c r="N44"/>
  <c r="N45"/>
  <c r="N46"/>
  <c r="N47"/>
  <c r="N48"/>
  <c r="N49"/>
  <c r="N50"/>
  <c r="N51"/>
  <c r="N52"/>
  <c r="N53"/>
  <c r="N54"/>
  <c r="N55"/>
  <c r="N56"/>
  <c r="N57"/>
  <c r="N58"/>
  <c r="N42"/>
  <c r="N39"/>
  <c r="N37"/>
  <c r="N23"/>
  <c r="N24"/>
  <c r="N25"/>
  <c r="N26"/>
  <c r="N27"/>
  <c r="N22"/>
  <c r="N15"/>
  <c r="N16"/>
  <c r="N17"/>
  <c r="N18"/>
  <c r="N19"/>
  <c r="N20"/>
  <c r="N14"/>
  <c r="N10"/>
  <c r="N9"/>
  <c r="F7" i="5"/>
  <c r="J7"/>
  <c r="N7"/>
  <c r="N8"/>
  <c r="F14"/>
  <c r="J14"/>
  <c r="N14"/>
  <c r="N15"/>
  <c r="F20"/>
  <c r="J20"/>
  <c r="N20"/>
  <c r="N21"/>
  <c r="N22"/>
  <c r="F26"/>
  <c r="N26"/>
  <c r="F28"/>
  <c r="F32"/>
  <c r="N32"/>
  <c r="G7"/>
  <c r="G14"/>
  <c r="O14"/>
  <c r="G20"/>
  <c r="G26"/>
  <c r="G27"/>
  <c r="G28"/>
  <c r="G32"/>
  <c r="O32"/>
  <c r="F27"/>
  <c r="F33"/>
  <c r="N5"/>
  <c r="L5"/>
  <c r="M5"/>
  <c r="M7"/>
  <c r="M27"/>
  <c r="N6"/>
  <c r="L6"/>
  <c r="M6"/>
  <c r="L8"/>
  <c r="M8"/>
  <c r="N9"/>
  <c r="L9"/>
  <c r="M9"/>
  <c r="N10"/>
  <c r="L10"/>
  <c r="M10"/>
  <c r="N11"/>
  <c r="M11"/>
  <c r="L11"/>
  <c r="N12"/>
  <c r="M12"/>
  <c r="L12"/>
  <c r="N13"/>
  <c r="L13"/>
  <c r="M13"/>
  <c r="L15"/>
  <c r="M15"/>
  <c r="N16"/>
  <c r="M16"/>
  <c r="L16"/>
  <c r="N17"/>
  <c r="L17"/>
  <c r="M17"/>
  <c r="M20"/>
  <c r="N18"/>
  <c r="L18"/>
  <c r="M18"/>
  <c r="N19"/>
  <c r="L19"/>
  <c r="M19"/>
  <c r="L21"/>
  <c r="M21"/>
  <c r="N23"/>
  <c r="L23"/>
  <c r="M23"/>
  <c r="N24"/>
  <c r="L24"/>
  <c r="M24"/>
  <c r="N25"/>
  <c r="M25"/>
  <c r="L25"/>
  <c r="N30"/>
  <c r="M30"/>
  <c r="M32"/>
  <c r="L30"/>
  <c r="N31"/>
  <c r="L31"/>
  <c r="M31"/>
  <c r="N29"/>
  <c r="L29"/>
  <c r="M29"/>
  <c r="O5"/>
  <c r="O6"/>
  <c r="O7"/>
  <c r="O12"/>
  <c r="O13"/>
  <c r="O18"/>
  <c r="O19"/>
  <c r="O20"/>
  <c r="O22"/>
  <c r="O24"/>
  <c r="O25"/>
  <c r="O26"/>
  <c r="J27"/>
  <c r="J33"/>
  <c r="K7"/>
  <c r="K14"/>
  <c r="K20"/>
  <c r="K27"/>
  <c r="O44" i="41"/>
  <c r="O37"/>
  <c r="O29"/>
  <c r="O30"/>
  <c r="O31"/>
  <c r="O32"/>
  <c r="O33"/>
  <c r="O34"/>
  <c r="O35"/>
  <c r="O28"/>
  <c r="O36"/>
  <c r="O46"/>
  <c r="N44"/>
  <c r="N39"/>
  <c r="N37"/>
  <c r="N29"/>
  <c r="N30"/>
  <c r="N31"/>
  <c r="N32"/>
  <c r="N33"/>
  <c r="N34"/>
  <c r="N35"/>
  <c r="N28"/>
  <c r="N24"/>
  <c r="N23"/>
  <c r="N22"/>
  <c r="N26"/>
  <c r="N25"/>
  <c r="N21"/>
  <c r="N27"/>
  <c r="N20"/>
  <c r="N18"/>
  <c r="N12"/>
  <c r="N13"/>
  <c r="N14"/>
  <c r="M14"/>
  <c r="N15"/>
  <c r="N11"/>
  <c r="N6"/>
  <c r="N7"/>
  <c r="N8"/>
  <c r="N9"/>
  <c r="M9"/>
  <c r="N5"/>
  <c r="N46"/>
  <c r="N42"/>
  <c r="K47"/>
  <c r="J47"/>
  <c r="N47"/>
  <c r="K45"/>
  <c r="K48"/>
  <c r="J45"/>
  <c r="J48"/>
  <c r="K36"/>
  <c r="K41"/>
  <c r="K49"/>
  <c r="J36"/>
  <c r="J41"/>
  <c r="O31" i="5"/>
  <c r="O30"/>
  <c r="O29"/>
  <c r="O23"/>
  <c r="O17"/>
  <c r="O10"/>
  <c r="O11"/>
  <c r="O9"/>
  <c r="E5"/>
  <c r="E6"/>
  <c r="E7"/>
  <c r="E8"/>
  <c r="E9"/>
  <c r="E10"/>
  <c r="E11"/>
  <c r="E12"/>
  <c r="E13"/>
  <c r="E14"/>
  <c r="E15"/>
  <c r="E16"/>
  <c r="E17"/>
  <c r="E18"/>
  <c r="E20"/>
  <c r="E19"/>
  <c r="E21"/>
  <c r="E23"/>
  <c r="E26"/>
  <c r="E24"/>
  <c r="E25"/>
  <c r="E30"/>
  <c r="E32"/>
  <c r="E31"/>
  <c r="D28"/>
  <c r="E28"/>
  <c r="D7"/>
  <c r="D27"/>
  <c r="D33"/>
  <c r="D14"/>
  <c r="D20"/>
  <c r="D26"/>
  <c r="D32"/>
  <c r="H26"/>
  <c r="H7"/>
  <c r="H27"/>
  <c r="H14"/>
  <c r="H20"/>
  <c r="I29"/>
  <c r="E29"/>
  <c r="G38" i="41"/>
  <c r="F38"/>
  <c r="N38"/>
  <c r="G40"/>
  <c r="F40"/>
  <c r="N40"/>
  <c r="M40"/>
  <c r="G45"/>
  <c r="F45"/>
  <c r="N45"/>
  <c r="G43"/>
  <c r="G48"/>
  <c r="F43"/>
  <c r="N43"/>
  <c r="F48"/>
  <c r="G36"/>
  <c r="F36"/>
  <c r="N36"/>
  <c r="G27"/>
  <c r="F27"/>
  <c r="L20"/>
  <c r="I20"/>
  <c r="O20"/>
  <c r="E20"/>
  <c r="O18"/>
  <c r="O19"/>
  <c r="G19"/>
  <c r="F19"/>
  <c r="N19"/>
  <c r="D19"/>
  <c r="L19"/>
  <c r="H19"/>
  <c r="I19"/>
  <c r="L18"/>
  <c r="I18"/>
  <c r="E18"/>
  <c r="F16"/>
  <c r="N16"/>
  <c r="G16"/>
  <c r="H16"/>
  <c r="J16"/>
  <c r="K16"/>
  <c r="D16"/>
  <c r="L15"/>
  <c r="I15"/>
  <c r="O15"/>
  <c r="E15"/>
  <c r="L14"/>
  <c r="I14"/>
  <c r="E14"/>
  <c r="F10"/>
  <c r="N10"/>
  <c r="M10"/>
  <c r="G10"/>
  <c r="G17"/>
  <c r="G41"/>
  <c r="G49"/>
  <c r="H10"/>
  <c r="J10"/>
  <c r="K10"/>
  <c r="E9"/>
  <c r="D10"/>
  <c r="G55" i="190"/>
  <c r="O55"/>
  <c r="G52"/>
  <c r="O52"/>
  <c r="G46"/>
  <c r="O46"/>
  <c r="G39"/>
  <c r="O39"/>
  <c r="G26"/>
  <c r="O26"/>
  <c r="G25"/>
  <c r="O25"/>
  <c r="G9"/>
  <c r="O9"/>
  <c r="F64"/>
  <c r="F67"/>
  <c r="N67"/>
  <c r="G64"/>
  <c r="G67"/>
  <c r="D64"/>
  <c r="H23" i="194"/>
  <c r="I29"/>
  <c r="J29"/>
  <c r="J20"/>
  <c r="I32" i="196"/>
  <c r="J32"/>
  <c r="K32"/>
  <c r="H32"/>
  <c r="E11" i="198"/>
  <c r="E14"/>
  <c r="E15"/>
  <c r="E12"/>
  <c r="E13"/>
  <c r="E10"/>
  <c r="F14"/>
  <c r="F15"/>
  <c r="G14"/>
  <c r="G15"/>
  <c r="D15"/>
  <c r="D14"/>
  <c r="I32" i="197"/>
  <c r="J32"/>
  <c r="K32"/>
  <c r="I18"/>
  <c r="J9"/>
  <c r="J19"/>
  <c r="J37"/>
  <c r="K9"/>
  <c r="K19"/>
  <c r="K36"/>
  <c r="I11"/>
  <c r="I10"/>
  <c r="I6"/>
  <c r="I19"/>
  <c r="D32"/>
  <c r="E32"/>
  <c r="F32"/>
  <c r="E19"/>
  <c r="E37"/>
  <c r="F19"/>
  <c r="F36"/>
  <c r="D17"/>
  <c r="D6"/>
  <c r="H32"/>
  <c r="H33"/>
  <c r="H35"/>
  <c r="H9"/>
  <c r="H19"/>
  <c r="J27" i="196"/>
  <c r="K27"/>
  <c r="K28"/>
  <c r="J18"/>
  <c r="J31"/>
  <c r="K18"/>
  <c r="K31"/>
  <c r="I26"/>
  <c r="I25"/>
  <c r="I14"/>
  <c r="I7"/>
  <c r="I18"/>
  <c r="I8"/>
  <c r="I9"/>
  <c r="I10"/>
  <c r="I11"/>
  <c r="I6"/>
  <c r="E19"/>
  <c r="E27"/>
  <c r="F19"/>
  <c r="F27"/>
  <c r="E18"/>
  <c r="E32"/>
  <c r="F18"/>
  <c r="F31"/>
  <c r="D23"/>
  <c r="D22"/>
  <c r="D20"/>
  <c r="D10"/>
  <c r="D9"/>
  <c r="D7"/>
  <c r="D6"/>
  <c r="H27"/>
  <c r="H18"/>
  <c r="H31"/>
  <c r="L22" i="5"/>
  <c r="I31"/>
  <c r="I30"/>
  <c r="I32"/>
  <c r="I25"/>
  <c r="I24"/>
  <c r="I23"/>
  <c r="I26"/>
  <c r="I21"/>
  <c r="I19"/>
  <c r="I18"/>
  <c r="I17"/>
  <c r="I20"/>
  <c r="I16"/>
  <c r="I15"/>
  <c r="I13"/>
  <c r="I9"/>
  <c r="I10"/>
  <c r="I11"/>
  <c r="I12"/>
  <c r="I14"/>
  <c r="I27"/>
  <c r="I8"/>
  <c r="I6"/>
  <c r="I5"/>
  <c r="H40" i="194"/>
  <c r="H29"/>
  <c r="L66" i="190"/>
  <c r="M66"/>
  <c r="I66"/>
  <c r="E66"/>
  <c r="E64"/>
  <c r="E67"/>
  <c r="F41"/>
  <c r="F38"/>
  <c r="G38"/>
  <c r="F36"/>
  <c r="F60"/>
  <c r="N60"/>
  <c r="G36"/>
  <c r="F30"/>
  <c r="F32"/>
  <c r="G30"/>
  <c r="G32"/>
  <c r="F21"/>
  <c r="G21"/>
  <c r="F13"/>
  <c r="G13"/>
  <c r="G28"/>
  <c r="G33"/>
  <c r="F11"/>
  <c r="G11"/>
  <c r="F8"/>
  <c r="J64"/>
  <c r="K64"/>
  <c r="I62"/>
  <c r="J62"/>
  <c r="J67"/>
  <c r="J68"/>
  <c r="K62"/>
  <c r="K67"/>
  <c r="J41"/>
  <c r="K41"/>
  <c r="K60"/>
  <c r="J38"/>
  <c r="K38"/>
  <c r="J36"/>
  <c r="J60"/>
  <c r="K36"/>
  <c r="J30"/>
  <c r="J32"/>
  <c r="K30"/>
  <c r="K32"/>
  <c r="J21"/>
  <c r="K21"/>
  <c r="J13"/>
  <c r="K13"/>
  <c r="J11"/>
  <c r="K11"/>
  <c r="K28"/>
  <c r="K33"/>
  <c r="J8"/>
  <c r="N8"/>
  <c r="K8"/>
  <c r="N64"/>
  <c r="O64"/>
  <c r="O67"/>
  <c r="N36"/>
  <c r="O36"/>
  <c r="N30"/>
  <c r="O30"/>
  <c r="O32"/>
  <c r="N21"/>
  <c r="N13"/>
  <c r="N11"/>
  <c r="O11"/>
  <c r="I62" i="194"/>
  <c r="I64"/>
  <c r="H55"/>
  <c r="I55"/>
  <c r="J55"/>
  <c r="I46"/>
  <c r="I58"/>
  <c r="I26"/>
  <c r="J26"/>
  <c r="J25"/>
  <c r="I20"/>
  <c r="I17"/>
  <c r="I10"/>
  <c r="I44"/>
  <c r="I59"/>
  <c r="I65"/>
  <c r="J17"/>
  <c r="H63"/>
  <c r="H62"/>
  <c r="H64"/>
  <c r="H31"/>
  <c r="H32"/>
  <c r="H33"/>
  <c r="H34"/>
  <c r="H35"/>
  <c r="H36"/>
  <c r="H37"/>
  <c r="H38"/>
  <c r="H41"/>
  <c r="H42"/>
  <c r="H30"/>
  <c r="H27"/>
  <c r="H26"/>
  <c r="H25"/>
  <c r="H22"/>
  <c r="H20"/>
  <c r="H10"/>
  <c r="H44"/>
  <c r="H59"/>
  <c r="H65"/>
  <c r="H21"/>
  <c r="H18"/>
  <c r="H17"/>
  <c r="H9"/>
  <c r="H8"/>
  <c r="J7"/>
  <c r="J15"/>
  <c r="J47"/>
  <c r="J46"/>
  <c r="J58"/>
  <c r="J52"/>
  <c r="J62"/>
  <c r="J64"/>
  <c r="L65" i="190"/>
  <c r="M65"/>
  <c r="M64"/>
  <c r="L63"/>
  <c r="L43"/>
  <c r="M43"/>
  <c r="L44"/>
  <c r="M44"/>
  <c r="L45"/>
  <c r="M45"/>
  <c r="L46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L42"/>
  <c r="M42"/>
  <c r="L39"/>
  <c r="M39"/>
  <c r="L37"/>
  <c r="M37"/>
  <c r="M36"/>
  <c r="L31"/>
  <c r="L23"/>
  <c r="L24"/>
  <c r="M24"/>
  <c r="L25"/>
  <c r="M25"/>
  <c r="L26"/>
  <c r="M26"/>
  <c r="L27"/>
  <c r="L22"/>
  <c r="M22"/>
  <c r="L15"/>
  <c r="M15"/>
  <c r="M13"/>
  <c r="L16"/>
  <c r="M16"/>
  <c r="L17"/>
  <c r="M17"/>
  <c r="L18"/>
  <c r="M18"/>
  <c r="L19"/>
  <c r="M19"/>
  <c r="L20"/>
  <c r="M20"/>
  <c r="L14"/>
  <c r="M14"/>
  <c r="L12"/>
  <c r="L9"/>
  <c r="M9"/>
  <c r="I65"/>
  <c r="I64"/>
  <c r="I57"/>
  <c r="I56"/>
  <c r="I55"/>
  <c r="I54"/>
  <c r="I53"/>
  <c r="I52"/>
  <c r="I51"/>
  <c r="I50"/>
  <c r="I49"/>
  <c r="I48"/>
  <c r="I47"/>
  <c r="I46"/>
  <c r="I45"/>
  <c r="I44"/>
  <c r="I43"/>
  <c r="I42"/>
  <c r="I39"/>
  <c r="I38"/>
  <c r="I37"/>
  <c r="I36"/>
  <c r="I31"/>
  <c r="I30"/>
  <c r="I32"/>
  <c r="I26"/>
  <c r="I25"/>
  <c r="I24"/>
  <c r="I23"/>
  <c r="I22"/>
  <c r="I21"/>
  <c r="I20"/>
  <c r="I19"/>
  <c r="I18"/>
  <c r="I17"/>
  <c r="I13"/>
  <c r="I28"/>
  <c r="I33"/>
  <c r="I16"/>
  <c r="I15"/>
  <c r="I14"/>
  <c r="I12"/>
  <c r="I11"/>
  <c r="I9"/>
  <c r="I8"/>
  <c r="E65"/>
  <c r="E43"/>
  <c r="E44"/>
  <c r="E45"/>
  <c r="E46"/>
  <c r="E47"/>
  <c r="E48"/>
  <c r="E49"/>
  <c r="E50"/>
  <c r="E51"/>
  <c r="E52"/>
  <c r="E53"/>
  <c r="E54"/>
  <c r="E55"/>
  <c r="E56"/>
  <c r="E57"/>
  <c r="E42"/>
  <c r="E39"/>
  <c r="E38"/>
  <c r="O38"/>
  <c r="E37"/>
  <c r="E36"/>
  <c r="E31"/>
  <c r="E30"/>
  <c r="E32"/>
  <c r="E23"/>
  <c r="E24"/>
  <c r="E21"/>
  <c r="E25"/>
  <c r="E26"/>
  <c r="E22"/>
  <c r="E15"/>
  <c r="E13"/>
  <c r="E16"/>
  <c r="E17"/>
  <c r="E18"/>
  <c r="E19"/>
  <c r="E20"/>
  <c r="E14"/>
  <c r="E12"/>
  <c r="E11"/>
  <c r="E28"/>
  <c r="E9"/>
  <c r="E8"/>
  <c r="L64"/>
  <c r="L67"/>
  <c r="L68"/>
  <c r="L62"/>
  <c r="L36"/>
  <c r="I46" i="41"/>
  <c r="I44"/>
  <c r="I42"/>
  <c r="I39"/>
  <c r="I37"/>
  <c r="I35"/>
  <c r="I34"/>
  <c r="I33"/>
  <c r="I32"/>
  <c r="I31"/>
  <c r="I30"/>
  <c r="I29"/>
  <c r="I28"/>
  <c r="I26"/>
  <c r="O26"/>
  <c r="I24"/>
  <c r="I23"/>
  <c r="O23"/>
  <c r="I22"/>
  <c r="O22"/>
  <c r="O25"/>
  <c r="I21"/>
  <c r="O21"/>
  <c r="I13"/>
  <c r="O13"/>
  <c r="O16"/>
  <c r="I12"/>
  <c r="I11"/>
  <c r="I8"/>
  <c r="O8"/>
  <c r="I7"/>
  <c r="O7"/>
  <c r="I6"/>
  <c r="I5"/>
  <c r="E26"/>
  <c r="E21"/>
  <c r="E46"/>
  <c r="E44"/>
  <c r="E42"/>
  <c r="E39"/>
  <c r="E37"/>
  <c r="E29"/>
  <c r="E30"/>
  <c r="E31"/>
  <c r="E32"/>
  <c r="E33"/>
  <c r="E34"/>
  <c r="E35"/>
  <c r="E28"/>
  <c r="E24"/>
  <c r="E23"/>
  <c r="E22"/>
  <c r="E13"/>
  <c r="E12"/>
  <c r="E11"/>
  <c r="E8"/>
  <c r="E6"/>
  <c r="E7"/>
  <c r="E10"/>
  <c r="E5"/>
  <c r="L46"/>
  <c r="M46"/>
  <c r="L44"/>
  <c r="M44"/>
  <c r="L42"/>
  <c r="L39"/>
  <c r="M39"/>
  <c r="L37"/>
  <c r="L29"/>
  <c r="M29"/>
  <c r="L30"/>
  <c r="L31"/>
  <c r="M31"/>
  <c r="L32"/>
  <c r="L33"/>
  <c r="L34"/>
  <c r="L35"/>
  <c r="M35"/>
  <c r="L28"/>
  <c r="L26"/>
  <c r="M26"/>
  <c r="L23"/>
  <c r="L24"/>
  <c r="M24"/>
  <c r="L22"/>
  <c r="L21"/>
  <c r="M21"/>
  <c r="L12"/>
  <c r="L13"/>
  <c r="M13"/>
  <c r="L11"/>
  <c r="L16"/>
  <c r="L10"/>
  <c r="L6"/>
  <c r="M6"/>
  <c r="L7"/>
  <c r="L8"/>
  <c r="M8"/>
  <c r="L5"/>
  <c r="O47"/>
  <c r="O45"/>
  <c r="O42"/>
  <c r="O43"/>
  <c r="O48"/>
  <c r="O39"/>
  <c r="O40"/>
  <c r="O38"/>
  <c r="O24"/>
  <c r="O12"/>
  <c r="O11"/>
  <c r="O6"/>
  <c r="M42"/>
  <c r="M37"/>
  <c r="M33"/>
  <c r="M22"/>
  <c r="M12"/>
  <c r="M16"/>
  <c r="M11"/>
  <c r="C19" i="196"/>
  <c r="C27"/>
  <c r="C28"/>
  <c r="C30"/>
  <c r="L7" i="5"/>
  <c r="L14"/>
  <c r="L20"/>
  <c r="H32"/>
  <c r="H33"/>
  <c r="H43" i="41"/>
  <c r="I43"/>
  <c r="H45"/>
  <c r="I45"/>
  <c r="H47"/>
  <c r="I47"/>
  <c r="D43"/>
  <c r="E43"/>
  <c r="D45"/>
  <c r="E45"/>
  <c r="D47"/>
  <c r="E47"/>
  <c r="H17"/>
  <c r="I17"/>
  <c r="H25"/>
  <c r="I25"/>
  <c r="H36"/>
  <c r="I36"/>
  <c r="H38"/>
  <c r="I38"/>
  <c r="H40"/>
  <c r="I40"/>
  <c r="D17"/>
  <c r="D41"/>
  <c r="D25"/>
  <c r="D27"/>
  <c r="D36"/>
  <c r="L36"/>
  <c r="M36"/>
  <c r="D38"/>
  <c r="E38"/>
  <c r="D40"/>
  <c r="L40"/>
  <c r="H41" i="190"/>
  <c r="H38"/>
  <c r="H30"/>
  <c r="H32"/>
  <c r="H13"/>
  <c r="H21"/>
  <c r="H11"/>
  <c r="H28"/>
  <c r="H33"/>
  <c r="H8"/>
  <c r="H64"/>
  <c r="H62"/>
  <c r="H67"/>
  <c r="H36"/>
  <c r="H60"/>
  <c r="C19" i="197"/>
  <c r="C20"/>
  <c r="C32"/>
  <c r="C33"/>
  <c r="C35"/>
  <c r="C26"/>
  <c r="C18" i="196"/>
  <c r="C24"/>
  <c r="G52" i="194"/>
  <c r="D62" i="190"/>
  <c r="D67"/>
  <c r="G29" i="194"/>
  <c r="G25"/>
  <c r="G7"/>
  <c r="G15"/>
  <c r="G17"/>
  <c r="G20"/>
  <c r="G26"/>
  <c r="G47"/>
  <c r="G46"/>
  <c r="G58"/>
  <c r="G55"/>
  <c r="G62"/>
  <c r="G64"/>
  <c r="D36" i="190"/>
  <c r="D38"/>
  <c r="D60"/>
  <c r="D68"/>
  <c r="D41"/>
  <c r="D11"/>
  <c r="D13"/>
  <c r="D21"/>
  <c r="D30"/>
  <c r="D32"/>
  <c r="D8"/>
  <c r="L8"/>
  <c r="H28" i="196"/>
  <c r="H30"/>
  <c r="L32" i="5"/>
  <c r="L26"/>
  <c r="L13" i="190"/>
  <c r="M5" i="41"/>
  <c r="M7"/>
  <c r="M30"/>
  <c r="M32"/>
  <c r="M34"/>
  <c r="L17"/>
  <c r="L60" i="190"/>
  <c r="H68"/>
  <c r="I41"/>
  <c r="I60"/>
  <c r="E41"/>
  <c r="L41"/>
  <c r="F28"/>
  <c r="I25" i="194"/>
  <c r="J10"/>
  <c r="J44"/>
  <c r="J59"/>
  <c r="J65"/>
  <c r="G10"/>
  <c r="G44"/>
  <c r="G59"/>
  <c r="G65"/>
  <c r="H47"/>
  <c r="H46"/>
  <c r="H58"/>
  <c r="I7" i="5"/>
  <c r="E19" i="41"/>
  <c r="L28" i="5"/>
  <c r="M28" i="41"/>
  <c r="M20"/>
  <c r="M18"/>
  <c r="M23"/>
  <c r="E16"/>
  <c r="M15"/>
  <c r="O14"/>
  <c r="I9" i="197"/>
  <c r="I27" i="196"/>
  <c r="C31"/>
  <c r="D19" i="197"/>
  <c r="D36"/>
  <c r="D19" i="196"/>
  <c r="D27"/>
  <c r="D28"/>
  <c r="D30"/>
  <c r="D18"/>
  <c r="D31"/>
  <c r="N38" i="190"/>
  <c r="M38"/>
  <c r="N32"/>
  <c r="F33"/>
  <c r="H36" i="197"/>
  <c r="H37"/>
  <c r="D33"/>
  <c r="D35"/>
  <c r="C36"/>
  <c r="J49" i="41"/>
  <c r="K51"/>
  <c r="M14" i="5"/>
  <c r="N27"/>
  <c r="N33"/>
  <c r="E27" i="41"/>
  <c r="J36" i="197"/>
  <c r="J33"/>
  <c r="J35"/>
  <c r="N48" i="41"/>
  <c r="K33" i="5"/>
  <c r="K35"/>
  <c r="K28"/>
  <c r="O27"/>
  <c r="O28"/>
  <c r="E60" i="190"/>
  <c r="M60"/>
  <c r="E27" i="5"/>
  <c r="E33"/>
  <c r="M26"/>
  <c r="O28" i="190"/>
  <c r="O33"/>
  <c r="H27" i="41"/>
  <c r="I27"/>
  <c r="D48"/>
  <c r="E48"/>
  <c r="H48"/>
  <c r="I48"/>
  <c r="L25"/>
  <c r="M25"/>
  <c r="L45"/>
  <c r="M45"/>
  <c r="E36"/>
  <c r="E40"/>
  <c r="F28" i="196"/>
  <c r="F30"/>
  <c r="J28"/>
  <c r="J30"/>
  <c r="F33" i="197"/>
  <c r="F35"/>
  <c r="F32" i="196"/>
  <c r="E36" i="197"/>
  <c r="G8" i="190"/>
  <c r="O8"/>
  <c r="F17" i="41"/>
  <c r="F41"/>
  <c r="L38"/>
  <c r="M38"/>
  <c r="L43"/>
  <c r="L47"/>
  <c r="M47"/>
  <c r="E25"/>
  <c r="E28" i="196"/>
  <c r="E30"/>
  <c r="M43" i="41"/>
  <c r="L27"/>
  <c r="M27"/>
  <c r="E41"/>
  <c r="E68" i="190"/>
  <c r="M67"/>
  <c r="M68"/>
  <c r="I33" i="5"/>
  <c r="I28"/>
  <c r="I31" i="196"/>
  <c r="I28"/>
  <c r="I30"/>
  <c r="K30"/>
  <c r="C32"/>
  <c r="I36" i="197"/>
  <c r="I33"/>
  <c r="I35"/>
  <c r="M33" i="5"/>
  <c r="M28"/>
  <c r="I37" i="197"/>
  <c r="D70" i="190"/>
  <c r="L41" i="41"/>
  <c r="L49"/>
  <c r="N41"/>
  <c r="F49"/>
  <c r="E33" i="190"/>
  <c r="M41"/>
  <c r="K37" i="197"/>
  <c r="M12" i="190"/>
  <c r="M11"/>
  <c r="L11"/>
  <c r="L28"/>
  <c r="L33"/>
  <c r="L70"/>
  <c r="L30"/>
  <c r="L32"/>
  <c r="M31"/>
  <c r="M30"/>
  <c r="M32"/>
  <c r="D49" i="41"/>
  <c r="E17"/>
  <c r="E33" i="197"/>
  <c r="E35"/>
  <c r="E31" i="196"/>
  <c r="F68" i="190"/>
  <c r="K33" i="197"/>
  <c r="K35"/>
  <c r="D37"/>
  <c r="D32" i="196"/>
  <c r="L38" i="190"/>
  <c r="D28"/>
  <c r="D33"/>
  <c r="O5" i="41"/>
  <c r="I10"/>
  <c r="O10"/>
  <c r="O17"/>
  <c r="O27"/>
  <c r="M8" i="190"/>
  <c r="K68"/>
  <c r="K70"/>
  <c r="I67"/>
  <c r="I68"/>
  <c r="I70"/>
  <c r="H28" i="5"/>
  <c r="G33"/>
  <c r="L27"/>
  <c r="L33"/>
  <c r="L48" i="41"/>
  <c r="M48"/>
  <c r="N17"/>
  <c r="M17"/>
  <c r="H70" i="190"/>
  <c r="M19" i="41"/>
  <c r="H41"/>
  <c r="F37" i="197"/>
  <c r="N41" i="190"/>
  <c r="I16" i="41"/>
  <c r="M23" i="190"/>
  <c r="M21"/>
  <c r="L21"/>
  <c r="J28"/>
  <c r="J33"/>
  <c r="N33"/>
  <c r="G68"/>
  <c r="J28" i="5"/>
  <c r="N28"/>
  <c r="G41" i="190"/>
  <c r="G60"/>
  <c r="O60"/>
  <c r="M41" i="41"/>
  <c r="N49"/>
  <c r="M49"/>
  <c r="F70" i="190"/>
  <c r="N70"/>
  <c r="N68"/>
  <c r="N28"/>
  <c r="I41" i="41"/>
  <c r="H49"/>
  <c r="I49"/>
  <c r="O41"/>
  <c r="O49"/>
  <c r="O41" i="190"/>
  <c r="C37" i="197"/>
  <c r="E49" i="41"/>
  <c r="G51"/>
  <c r="J70" i="190"/>
  <c r="G70"/>
  <c r="O68"/>
  <c r="O70"/>
  <c r="M70"/>
  <c r="G35" i="5"/>
  <c r="O33"/>
  <c r="M28" i="190"/>
  <c r="M33"/>
  <c r="E70"/>
</calcChain>
</file>

<file path=xl/sharedStrings.xml><?xml version="1.0" encoding="utf-8"?>
<sst xmlns="http://schemas.openxmlformats.org/spreadsheetml/2006/main" count="609" uniqueCount="360">
  <si>
    <t>Működési célú támogatásértékű kiadások</t>
  </si>
  <si>
    <t>Tartósan adott kölcsönök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</si>
  <si>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</si>
  <si>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</si>
  <si>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</si>
  <si>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</si>
  <si>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</si>
  <si>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</si>
  <si>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Felhalmozási célú támogatásértékű kiadások</t>
  </si>
  <si>
    <t>Egyéb vállalkozásoknak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</si>
  <si>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</si>
  <si>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</si>
  <si>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</si>
  <si>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</si>
  <si>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</si>
  <si>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</si>
  <si>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</si>
  <si>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</si>
  <si>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</si>
  <si>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</si>
  <si>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Képzőművészeti alkotások vásárlása</t>
  </si>
  <si>
    <t>Gépek, berendezések és felszerelések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</si>
  <si>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</si>
  <si>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</si>
  <si>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</si>
  <si>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</si>
  <si>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</si>
  <si>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2. Felhalmozási célú pénzeszközátadások</t>
  </si>
  <si>
    <t>Pénzeszközátadások államháztartáson kívülre összesen</t>
  </si>
  <si>
    <t>Felhalmozási célú támogatásértékű kiad. összesen</t>
  </si>
  <si>
    <t>Ügyvitel- és számítástechnikai eszközök vás.</t>
  </si>
  <si>
    <t>Egyéb gépek, berendezések és felszerelések vás.</t>
  </si>
  <si>
    <t>Hangszerek vásárlása</t>
  </si>
  <si>
    <t>Fejezeti kezelésű előirányzatoknak</t>
  </si>
  <si>
    <t>11.</t>
  </si>
  <si>
    <t>12.</t>
  </si>
  <si>
    <t>14.</t>
  </si>
  <si>
    <t>17.</t>
  </si>
  <si>
    <t>KIADÁSOK ÖSSZESEN</t>
  </si>
  <si>
    <t>Járművek felújítása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</si>
  <si>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</si>
  <si>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</si>
  <si>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</si>
  <si>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</si>
  <si>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</si>
  <si>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</si>
  <si>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</si>
  <si>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</si>
  <si>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</si>
  <si>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</si>
  <si>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</si>
  <si>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</si>
  <si>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</si>
  <si>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</si>
  <si>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</si>
  <si>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37.</t>
  </si>
  <si>
    <t>Felhalmozási célú támogatási kölcsönök áht-n kívülre</t>
  </si>
  <si>
    <t>Háztartásoknak nyújtott felhalm. célú támog. kölcs.</t>
  </si>
  <si>
    <t>Tartósan adott kölcsönök összesen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</si>
  <si>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</si>
  <si>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</si>
  <si>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</si>
  <si>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</si>
  <si>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</si>
  <si>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</si>
  <si>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</si>
  <si>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</si>
  <si>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</si>
  <si>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</si>
  <si>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</si>
  <si>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I.+II. KIADÁSOK ÖSSZESEN</t>
  </si>
  <si>
    <t>Első lakáshoz jutók támogatása</t>
  </si>
  <si>
    <t>15.</t>
  </si>
  <si>
    <t>Mozgáskorlátozott E</t>
  </si>
  <si>
    <t xml:space="preserve">ATEFITA Alapítvány </t>
  </si>
  <si>
    <t>Abdai Lovas Egyesület</t>
  </si>
  <si>
    <t>Önkéntes Tűzoltó Egyesület</t>
  </si>
  <si>
    <t xml:space="preserve">Holt Rábcáért Egyesület      </t>
  </si>
  <si>
    <t xml:space="preserve">Abdai Egyházközösségért A.   </t>
  </si>
  <si>
    <t xml:space="preserve">F-10 Postagalamb Egyesület   </t>
  </si>
  <si>
    <t xml:space="preserve">Polgárőr Egyesület           </t>
  </si>
  <si>
    <t xml:space="preserve">Zrínyi I. Abdai Ifj. Kh. A.   </t>
  </si>
  <si>
    <t xml:space="preserve">Vándorbot Egyesület           </t>
  </si>
  <si>
    <t xml:space="preserve">ABDA SC támogatás    </t>
  </si>
  <si>
    <t>16.</t>
  </si>
  <si>
    <t>18.</t>
  </si>
  <si>
    <t>KIADÁSOK MINDÖSSZESEN</t>
  </si>
  <si>
    <t>Öttevény Közs. Önk. (KMB tám.)</t>
  </si>
  <si>
    <t>Vállalkozásoknak</t>
  </si>
  <si>
    <t>Fogorvosi ellátás</t>
  </si>
  <si>
    <t>Szalai Gyula Alapítvány</t>
  </si>
  <si>
    <t>Győr M. J. Város jelzőrendszer</t>
  </si>
  <si>
    <t>Társulásnak és költségvetési szerveinek</t>
  </si>
  <si>
    <t>Irányítás (felügyelet) alá tartozó költségvetési szervnek folyósított támogatás</t>
  </si>
  <si>
    <t xml:space="preserve">Jelzőrendszeres házi segítségnyújtás </t>
  </si>
  <si>
    <t>K511</t>
  </si>
  <si>
    <t>K84</t>
  </si>
  <si>
    <t>K88</t>
  </si>
  <si>
    <t>K86</t>
  </si>
  <si>
    <t>K915</t>
  </si>
  <si>
    <t>K50613</t>
  </si>
  <si>
    <t>K50616</t>
  </si>
  <si>
    <t>K50617</t>
  </si>
  <si>
    <t>Irányítás (felügyelet) alá tartozó költségvetési szervnek folyósított működési támogatás( KÖZÖS HIVATAL)</t>
  </si>
  <si>
    <t xml:space="preserve">Szigetköz Felső-Duna mente" Térségi Fejlesztési Tanács 2014. évi tagdíj </t>
  </si>
  <si>
    <t>Civil szervezeteknek</t>
  </si>
  <si>
    <t>20.</t>
  </si>
  <si>
    <t>K62</t>
  </si>
  <si>
    <t>K621</t>
  </si>
  <si>
    <t>K6214</t>
  </si>
  <si>
    <t>K64</t>
  </si>
  <si>
    <t>K641</t>
  </si>
  <si>
    <t>K71</t>
  </si>
  <si>
    <t>K711</t>
  </si>
  <si>
    <t>K71112</t>
  </si>
  <si>
    <t>K8613</t>
  </si>
  <si>
    <t>Önkormányzat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</si>
  <si>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</si>
  <si>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</si>
  <si>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</si>
  <si>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</si>
  <si>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</si>
  <si>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</si>
  <si>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</si>
  <si>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</si>
  <si>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</si>
  <si>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</si>
  <si>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</si>
  <si>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</si>
  <si>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</si>
  <si>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</si>
  <si>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Központi ,rányitó szervi támogatás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</si>
  <si>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</si>
  <si>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</si>
  <si>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</si>
  <si>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</si>
  <si>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</si>
  <si>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</si>
  <si>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</si>
  <si>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</si>
  <si>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</si>
  <si>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</si>
  <si>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</si>
  <si>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</si>
  <si>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</si>
  <si>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</si>
  <si>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</si>
  <si>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</si>
  <si>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</si>
  <si>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</si>
  <si>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</si>
  <si>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</si>
  <si>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</si>
  <si>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</si>
  <si>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</si>
  <si>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</si>
  <si>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</si>
  <si>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</si>
  <si>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</si>
  <si>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</si>
  <si>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</si>
  <si>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</si>
  <si>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</si>
  <si>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</si>
  <si>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</si>
  <si>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</si>
  <si>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</si>
  <si>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</si>
  <si>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</si>
  <si>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</si>
  <si>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</si>
  <si>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</si>
  <si>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</si>
  <si>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</si>
  <si>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</si>
  <si>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</si>
  <si>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</si>
  <si>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</si>
  <si>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</si>
  <si>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</si>
  <si>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</si>
  <si>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</si>
  <si>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</si>
  <si>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</si>
  <si>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</si>
  <si>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</si>
  <si>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</si>
  <si>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</si>
  <si>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</si>
  <si>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</si>
  <si>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</si>
  <si>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</si>
  <si>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</si>
  <si>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</si>
  <si>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</si>
  <si>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</si>
  <si>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</si>
  <si>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</si>
  <si>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</si>
  <si>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</si>
  <si>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</si>
  <si>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</si>
  <si>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</si>
  <si>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</si>
  <si>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</si>
  <si>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</si>
  <si>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</si>
  <si>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</si>
  <si>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</si>
  <si>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</si>
  <si>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</si>
  <si>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</si>
  <si>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</si>
  <si>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</si>
  <si>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</si>
  <si>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</si>
  <si>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</si>
  <si>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</si>
  <si>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</si>
  <si>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Illetékek</t>
  </si>
  <si>
    <t>Helyi adók</t>
  </si>
  <si>
    <t>Gépjárműadó</t>
  </si>
  <si>
    <t>Kamatbevételek</t>
  </si>
  <si>
    <t>Üzemeltetésből származó bevétel</t>
  </si>
  <si>
    <t>Saját bevételek</t>
  </si>
  <si>
    <t>Adósságot keletkeztető éves kötelezetts. váll. felső határa 50%</t>
  </si>
  <si>
    <t xml:space="preserve"> Működési bevételek</t>
  </si>
  <si>
    <t>Támogatások (Önkorm.műk.támog.), kiegészítések (működési célú)</t>
  </si>
  <si>
    <t>Áht-n belüli megelőlegezések visszafizetése</t>
  </si>
  <si>
    <t>Györi Többc.Kist.Társ. 2015. évi belső ellenörzés</t>
  </si>
  <si>
    <t>Gyermekj.Társ.-nak Abda Önkormányzat</t>
  </si>
  <si>
    <t>Óvoda Társ.-nak Abda Önkormányzat</t>
  </si>
  <si>
    <t>K5121</t>
  </si>
  <si>
    <t xml:space="preserve">Mikulásbirodalom Alapítvány  </t>
  </si>
  <si>
    <t>II. Rákóczi F. Alapítvány</t>
  </si>
  <si>
    <t>Pannon Kincse LEADER</t>
  </si>
  <si>
    <t>K63</t>
  </si>
  <si>
    <t xml:space="preserve">   Értékpapírok ért.bevétel </t>
  </si>
  <si>
    <t xml:space="preserve"> Ft-ban</t>
  </si>
  <si>
    <t>BURSA HUNGARICA, Arany J. Tehetség.</t>
  </si>
  <si>
    <t xml:space="preserve">  forintban !</t>
  </si>
  <si>
    <t>Kamatbevételek és más nyereségjellegű bevételek</t>
  </si>
  <si>
    <t>Felhalmozási bevételek</t>
  </si>
  <si>
    <t>Felhalmozási célú átvett pénzeszközök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</si>
  <si>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</si>
  <si>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</si>
  <si>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</si>
  <si>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</si>
  <si>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</si>
  <si>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</si>
  <si>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</si>
  <si>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</si>
  <si>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</si>
  <si>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</si>
  <si>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</si>
  <si>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</si>
  <si>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</si>
  <si>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</si>
  <si>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</si>
  <si>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</si>
  <si>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</si>
  <si>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</si>
  <si>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</si>
  <si>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</si>
  <si>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</si>
  <si>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</si>
  <si>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</si>
  <si>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</si>
  <si>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</si>
  <si>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</si>
  <si>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</si>
  <si>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</si>
  <si>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</si>
  <si>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</si>
  <si>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</si>
  <si>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</si>
  <si>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</si>
  <si>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</si>
  <si>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</si>
  <si>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</si>
  <si>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</si>
  <si>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</si>
  <si>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</si>
  <si>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</si>
  <si>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</si>
  <si>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</si>
  <si>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</si>
  <si>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</si>
  <si>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</si>
  <si>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</si>
  <si>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</si>
  <si>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</si>
  <si>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</si>
  <si>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</si>
  <si>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</si>
  <si>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</si>
  <si>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</si>
  <si>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</si>
  <si>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</si>
  <si>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</si>
  <si>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</si>
  <si>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</si>
  <si>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2017. évi eredeti előirányzat</t>
  </si>
  <si>
    <t>Ft-ban</t>
  </si>
  <si>
    <t>2017. évi előirányzat</t>
  </si>
  <si>
    <t>Elvonások és befízetések</t>
  </si>
  <si>
    <t>Börcs  Önkorm.-nak óvoda 2016.évi elszámolás</t>
  </si>
  <si>
    <t xml:space="preserve">Ikrény Önkorm.-nak óvoda 2016. évi elszámolás </t>
  </si>
  <si>
    <t>Börcs  Önkorm.-nak védőnő 2016.évi elszámolás</t>
  </si>
  <si>
    <t xml:space="preserve">Ikrény Önkorm.-nak családsegítő 2016. évi elszámolás </t>
  </si>
  <si>
    <t>Arrabona EGTC 2017. évi tagdíj</t>
  </si>
  <si>
    <t>Duna Projekt</t>
  </si>
  <si>
    <t>ÖTE pályázat önrész</t>
  </si>
  <si>
    <t>K89</t>
  </si>
  <si>
    <t>Központi, irányítószervi támogatás</t>
  </si>
  <si>
    <t>Belföldi finanszírozás bevételei</t>
  </si>
  <si>
    <t>Abda   Önkorm.-nak Közös Hivatal  2016.évi elszámolás</t>
  </si>
  <si>
    <t>Ingatlan beszerzés Szt.István u.22.</t>
  </si>
  <si>
    <t>Külter, utak, földutak burkolata (pályázat önrész)</t>
  </si>
  <si>
    <t>Körny.véd.Infrastuktúra fejl.vízrendezés (pályázat önrész)</t>
  </si>
  <si>
    <t>2 db számitógép op. Rendszerrel,1 db laptop</t>
  </si>
  <si>
    <t>Lombfúvók 2 db</t>
  </si>
  <si>
    <t>Fűnyírók 2 db</t>
  </si>
  <si>
    <t xml:space="preserve">Egyéb szerszámok </t>
  </si>
  <si>
    <t>Traktor+munkaeszközök</t>
  </si>
  <si>
    <t>Kamera</t>
  </si>
  <si>
    <t xml:space="preserve">Iskola felső 1 osztálynyi pad, udvari játék </t>
  </si>
  <si>
    <t>Védőnő vizsgáló eszközök</t>
  </si>
  <si>
    <t>Közművelődés tűzoltó készülék</t>
  </si>
  <si>
    <t>Sportpálya illemhely</t>
  </si>
  <si>
    <t>Ei.mód.I.</t>
  </si>
  <si>
    <t>Mód.ei.</t>
  </si>
  <si>
    <t>Teljesítés</t>
  </si>
  <si>
    <t>Gyöngyvirág Nyugdíjas Klub (Abda Baráti Kör)</t>
  </si>
  <si>
    <t>Abda Projekt Kft tornacsarnok</t>
  </si>
  <si>
    <t>Hunyadi utcai játszótér kerítéshez anyagok</t>
  </si>
  <si>
    <t>Napvitorla (Hunyadi utcai játszótér)</t>
  </si>
  <si>
    <t>Sátor ponyva (új önkormányzati sátor)</t>
  </si>
  <si>
    <t>védőnő szg.egér</t>
  </si>
  <si>
    <t>Működési célú költségvetési tám.és kiegészítések</t>
  </si>
  <si>
    <t>Müködési c. támog.bevétel központi költségvetési szerv (MVH)</t>
  </si>
  <si>
    <t>Müködési c. támog.bevétel egyéb fejezeti kezelésű (ABDA KGYV támogatás)</t>
  </si>
  <si>
    <t xml:space="preserve">Felhalmozásic. Támogatások egyéb fejezeti kezelésű </t>
  </si>
  <si>
    <t>Felhalmozási célú támogatások áht-n belülről összesen:</t>
  </si>
  <si>
    <t xml:space="preserve">Magánszemélyek jövedelemadója </t>
  </si>
  <si>
    <t>Forgatási célú belföldi értékpapír vásárlása</t>
  </si>
  <si>
    <t>Belföldi értékpapírok vásárlása</t>
  </si>
  <si>
    <t>Abda</t>
  </si>
  <si>
    <t xml:space="preserve"> Eredeti ei.</t>
  </si>
  <si>
    <t>Ei.mód. I.</t>
  </si>
  <si>
    <t>Mód. ei.</t>
  </si>
  <si>
    <t>Abdai Közös Önk. Hivatal</t>
  </si>
  <si>
    <t>Eredeti ei.</t>
  </si>
  <si>
    <t>Összesen Abda - Közös Hiv.</t>
  </si>
  <si>
    <t>ABDA KÖZSÉG ÖNKORMÁNYZATA   2017. I. f. évi ei. mód. és teljesítés</t>
  </si>
  <si>
    <t>ABDA KÖZSÉG ÖNKORMÁNYZATA   2017. I. félévi évi  ei. mód. és teljesítés</t>
  </si>
  <si>
    <t>Járda építés Arany J. utcai (Nyőgér Balázs)</t>
  </si>
  <si>
    <t>ABDA KÖZSÉG ÖNKORMÁNYZATA   2017. I. f. évi ei. módosítás és teljesítés</t>
  </si>
  <si>
    <t>ABDA KÖZSÉG ÖNKORMÁNYZATA 2017. I. f. évi ei. módosítás és teljesítés</t>
  </si>
  <si>
    <t>Ei. mód. I.</t>
  </si>
</sst>
</file>

<file path=xl/styles.xml><?xml version="1.0" encoding="utf-8"?>
<styleSheet xmlns="http://schemas.openxmlformats.org/spreadsheetml/2006/main">
  <numFmts count="2">
    <numFmt numFmtId="41" formatCode="_-* #,##0\ _F_t_-;\-* #,##0\ _F_t_-;_-* &quot;-&quot;\ _F_t_-;_-@_-"/>
    <numFmt numFmtId="166" formatCode="#,###"/>
  </numFmts>
  <fonts count="50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0"/>
      <color indexed="10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9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</cellStyleXfs>
  <cellXfs count="46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left" vertical="center" wrapText="1"/>
    </xf>
    <xf numFmtId="3" fontId="3" fillId="0" borderId="11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24" borderId="13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24" borderId="17" xfId="0" applyFont="1" applyFill="1" applyBorder="1" applyAlignment="1">
      <alignment vertical="center"/>
    </xf>
    <xf numFmtId="0" fontId="2" fillId="24" borderId="18" xfId="0" applyFont="1" applyFill="1" applyBorder="1" applyAlignment="1">
      <alignment vertical="center"/>
    </xf>
    <xf numFmtId="3" fontId="2" fillId="1" borderId="11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24" borderId="16" xfId="0" applyNumberFormat="1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3" fontId="2" fillId="24" borderId="2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3" fontId="2" fillId="24" borderId="24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1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4" xfId="0" applyFont="1" applyFill="1" applyBorder="1" applyAlignment="1">
      <alignment horizontal="center" vertical="center"/>
    </xf>
    <xf numFmtId="0" fontId="2" fillId="1" borderId="1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1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1" borderId="12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0" fontId="26" fillId="0" borderId="11" xfId="0" applyFont="1" applyBorder="1"/>
    <xf numFmtId="0" fontId="2" fillId="0" borderId="16" xfId="0" applyFont="1" applyFill="1" applyBorder="1" applyAlignment="1">
      <alignment horizontal="center" vertical="center"/>
    </xf>
    <xf numFmtId="0" fontId="26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vertical="center"/>
    </xf>
    <xf numFmtId="3" fontId="2" fillId="1" borderId="14" xfId="0" applyNumberFormat="1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top"/>
    </xf>
    <xf numFmtId="166" fontId="28" fillId="0" borderId="0" xfId="0" applyNumberFormat="1" applyFont="1" applyFill="1" applyAlignment="1" applyProtection="1">
      <alignment horizontal="centerContinuous" vertical="center" wrapText="1"/>
    </xf>
    <xf numFmtId="166" fontId="30" fillId="0" borderId="0" xfId="0" applyNumberFormat="1" applyFont="1" applyFill="1" applyAlignment="1" applyProtection="1">
      <alignment horizontal="right" vertical="center"/>
    </xf>
    <xf numFmtId="166" fontId="32" fillId="0" borderId="27" xfId="0" applyNumberFormat="1" applyFont="1" applyFill="1" applyBorder="1" applyAlignment="1" applyProtection="1">
      <alignment horizontal="centerContinuous" vertical="center" wrapText="1"/>
    </xf>
    <xf numFmtId="166" fontId="32" fillId="0" borderId="24" xfId="0" applyNumberFormat="1" applyFont="1" applyFill="1" applyBorder="1" applyAlignment="1" applyProtection="1">
      <alignment horizontal="centerContinuous" vertical="center" wrapText="1"/>
    </xf>
    <xf numFmtId="166" fontId="32" fillId="0" borderId="35" xfId="0" applyNumberFormat="1" applyFont="1" applyFill="1" applyBorder="1" applyAlignment="1" applyProtection="1">
      <alignment horizontal="centerContinuous" vertical="center" wrapText="1"/>
    </xf>
    <xf numFmtId="166" fontId="32" fillId="0" borderId="27" xfId="0" applyNumberFormat="1" applyFont="1" applyFill="1" applyBorder="1" applyAlignment="1" applyProtection="1">
      <alignment horizontal="center" vertical="center" wrapText="1"/>
    </xf>
    <xf numFmtId="166" fontId="32" fillId="0" borderId="24" xfId="0" applyNumberFormat="1" applyFont="1" applyFill="1" applyBorder="1" applyAlignment="1" applyProtection="1">
      <alignment horizontal="center" vertical="center" wrapText="1"/>
    </xf>
    <xf numFmtId="166" fontId="32" fillId="0" borderId="35" xfId="0" applyNumberFormat="1" applyFont="1" applyFill="1" applyBorder="1" applyAlignment="1" applyProtection="1">
      <alignment horizontal="center" vertical="center" wrapText="1"/>
    </xf>
    <xf numFmtId="166" fontId="33" fillId="0" borderId="0" xfId="0" applyNumberFormat="1" applyFont="1" applyFill="1" applyAlignment="1" applyProtection="1">
      <alignment horizontal="center" vertical="center" wrapText="1"/>
    </xf>
    <xf numFmtId="166" fontId="34" fillId="0" borderId="36" xfId="0" applyNumberFormat="1" applyFont="1" applyFill="1" applyBorder="1" applyAlignment="1" applyProtection="1">
      <alignment horizontal="center" vertical="center" wrapText="1"/>
    </xf>
    <xf numFmtId="166" fontId="34" fillId="0" borderId="27" xfId="0" applyNumberFormat="1" applyFont="1" applyFill="1" applyBorder="1" applyAlignment="1" applyProtection="1">
      <alignment horizontal="center" vertical="center" wrapText="1"/>
    </xf>
    <xf numFmtId="166" fontId="34" fillId="0" borderId="24" xfId="0" applyNumberFormat="1" applyFont="1" applyFill="1" applyBorder="1" applyAlignment="1" applyProtection="1">
      <alignment horizontal="center" vertical="center" wrapText="1"/>
    </xf>
    <xf numFmtId="166" fontId="34" fillId="0" borderId="35" xfId="0" applyNumberFormat="1" applyFont="1" applyFill="1" applyBorder="1" applyAlignment="1" applyProtection="1">
      <alignment horizontal="center" vertical="center" wrapText="1"/>
    </xf>
    <xf numFmtId="166" fontId="34" fillId="0" borderId="0" xfId="0" applyNumberFormat="1" applyFont="1" applyFill="1" applyAlignment="1" applyProtection="1">
      <alignment horizontal="center" vertical="center" wrapText="1"/>
    </xf>
    <xf numFmtId="166" fontId="35" fillId="0" borderId="37" xfId="0" applyNumberFormat="1" applyFont="1" applyFill="1" applyBorder="1" applyAlignment="1" applyProtection="1">
      <alignment horizontal="left" vertical="center" wrapText="1" indent="1"/>
    </xf>
    <xf numFmtId="166" fontId="3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10" xfId="0" applyNumberFormat="1" applyFont="1" applyFill="1" applyBorder="1" applyAlignment="1" applyProtection="1">
      <alignment horizontal="left" vertical="center" wrapText="1" indent="1"/>
    </xf>
    <xf numFmtId="166" fontId="3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23" xfId="0" applyNumberFormat="1" applyFont="1" applyFill="1" applyBorder="1" applyAlignment="1" applyProtection="1">
      <alignment horizontal="left" vertical="center" wrapText="1" indent="1"/>
    </xf>
    <xf numFmtId="166" fontId="3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36" fillId="0" borderId="0" xfId="0" applyNumberFormat="1" applyFont="1" applyFill="1" applyBorder="1" applyAlignment="1" applyProtection="1">
      <alignment horizontal="left" vertical="center" wrapText="1" indent="1"/>
    </xf>
    <xf numFmtId="166" fontId="35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6" fontId="3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6" fontId="37" fillId="0" borderId="36" xfId="0" applyNumberFormat="1" applyFont="1" applyFill="1" applyBorder="1" applyAlignment="1" applyProtection="1">
      <alignment horizontal="left" vertical="center" wrapText="1" indent="1"/>
    </xf>
    <xf numFmtId="166" fontId="34" fillId="0" borderId="27" xfId="0" applyNumberFormat="1" applyFont="1" applyFill="1" applyBorder="1" applyAlignment="1" applyProtection="1">
      <alignment horizontal="left" vertical="center" wrapText="1" indent="1"/>
    </xf>
    <xf numFmtId="166" fontId="34" fillId="0" borderId="24" xfId="0" applyNumberFormat="1" applyFont="1" applyFill="1" applyBorder="1" applyAlignment="1" applyProtection="1">
      <alignment horizontal="right" vertical="center" wrapText="1" indent="1"/>
    </xf>
    <xf numFmtId="166" fontId="34" fillId="0" borderId="35" xfId="0" applyNumberFormat="1" applyFont="1" applyFill="1" applyBorder="1" applyAlignment="1" applyProtection="1">
      <alignment horizontal="right" vertical="center" wrapText="1" indent="1"/>
    </xf>
    <xf numFmtId="166" fontId="38" fillId="0" borderId="42" xfId="0" applyNumberFormat="1" applyFont="1" applyFill="1" applyBorder="1" applyAlignment="1" applyProtection="1">
      <alignment horizontal="left" vertical="center" wrapText="1" indent="1"/>
    </xf>
    <xf numFmtId="166" fontId="36" fillId="0" borderId="43" xfId="0" applyNumberFormat="1" applyFont="1" applyFill="1" applyBorder="1" applyAlignment="1" applyProtection="1">
      <alignment horizontal="left" vertical="center" wrapText="1" indent="1"/>
    </xf>
    <xf numFmtId="166" fontId="36" fillId="0" borderId="10" xfId="0" applyNumberFormat="1" applyFont="1" applyFill="1" applyBorder="1" applyAlignment="1" applyProtection="1">
      <alignment horizontal="left" vertical="center" wrapText="1" indent="1"/>
    </xf>
    <xf numFmtId="166" fontId="3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38" fillId="0" borderId="45" xfId="0" applyNumberFormat="1" applyFont="1" applyFill="1" applyBorder="1" applyAlignment="1" applyProtection="1">
      <alignment horizontal="left" vertical="center" wrapText="1" indent="1"/>
    </xf>
    <xf numFmtId="166" fontId="3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39" fillId="0" borderId="11" xfId="0" applyNumberFormat="1" applyFont="1" applyFill="1" applyBorder="1" applyAlignment="1" applyProtection="1">
      <alignment horizontal="right" vertical="center" wrapText="1" indent="1"/>
    </xf>
    <xf numFmtId="166" fontId="3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27" xfId="0" applyNumberFormat="1" applyFont="1" applyFill="1" applyBorder="1" applyAlignment="1" applyProtection="1">
      <alignment horizontal="left" vertical="center" wrapText="1" indent="1"/>
    </xf>
    <xf numFmtId="166" fontId="3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6" fontId="37" fillId="0" borderId="27" xfId="0" applyNumberFormat="1" applyFont="1" applyFill="1" applyBorder="1" applyAlignment="1" applyProtection="1">
      <alignment horizontal="left" vertical="center" wrapText="1" indent="1"/>
    </xf>
    <xf numFmtId="166" fontId="37" fillId="0" borderId="46" xfId="0" applyNumberFormat="1" applyFont="1" applyFill="1" applyBorder="1" applyAlignment="1" applyProtection="1">
      <alignment horizontal="right" vertical="center" wrapText="1" indent="1"/>
    </xf>
    <xf numFmtId="0" fontId="3" fillId="0" borderId="29" xfId="0" applyFont="1" applyFill="1" applyBorder="1" applyAlignment="1">
      <alignment vertical="center"/>
    </xf>
    <xf numFmtId="166" fontId="35" fillId="0" borderId="10" xfId="0" quotePrefix="1" applyNumberFormat="1" applyFont="1" applyFill="1" applyBorder="1" applyAlignment="1" applyProtection="1">
      <alignment horizontal="left" vertical="center" wrapText="1" indent="6"/>
    </xf>
    <xf numFmtId="166" fontId="36" fillId="0" borderId="10" xfId="0" quotePrefix="1" applyNumberFormat="1" applyFont="1" applyFill="1" applyBorder="1" applyAlignment="1" applyProtection="1">
      <alignment horizontal="left" vertical="center" wrapText="1" indent="6"/>
    </xf>
    <xf numFmtId="166" fontId="35" fillId="0" borderId="10" xfId="0" quotePrefix="1" applyNumberFormat="1" applyFont="1" applyFill="1" applyBorder="1" applyAlignment="1" applyProtection="1">
      <alignment horizontal="left" vertical="center" wrapText="1" indent="3"/>
    </xf>
    <xf numFmtId="166" fontId="35" fillId="0" borderId="43" xfId="0" applyNumberFormat="1" applyFont="1" applyFill="1" applyBorder="1" applyAlignment="1" applyProtection="1">
      <alignment horizontal="left" vertical="center" wrapText="1" indent="1"/>
    </xf>
    <xf numFmtId="166" fontId="35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6" fontId="38" fillId="0" borderId="48" xfId="0" applyNumberFormat="1" applyFont="1" applyFill="1" applyBorder="1" applyAlignment="1" applyProtection="1">
      <alignment horizontal="left" vertical="center" wrapText="1" indent="1"/>
    </xf>
    <xf numFmtId="166" fontId="39" fillId="0" borderId="43" xfId="0" applyNumberFormat="1" applyFont="1" applyFill="1" applyBorder="1" applyAlignment="1" applyProtection="1">
      <alignment horizontal="left" vertical="center" wrapText="1" indent="1"/>
    </xf>
    <xf numFmtId="166" fontId="39" fillId="0" borderId="14" xfId="0" applyNumberFormat="1" applyFont="1" applyFill="1" applyBorder="1" applyAlignment="1" applyProtection="1">
      <alignment horizontal="right" vertical="center" wrapText="1" indent="1"/>
    </xf>
    <xf numFmtId="166" fontId="3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10" xfId="0" applyNumberFormat="1" applyFont="1" applyFill="1" applyBorder="1" applyAlignment="1" applyProtection="1">
      <alignment horizontal="left" vertical="center" wrapText="1" indent="2"/>
    </xf>
    <xf numFmtId="166" fontId="36" fillId="0" borderId="11" xfId="0" applyNumberFormat="1" applyFont="1" applyFill="1" applyBorder="1" applyAlignment="1" applyProtection="1">
      <alignment horizontal="left" vertical="center" wrapText="1" indent="2"/>
    </xf>
    <xf numFmtId="166" fontId="39" fillId="0" borderId="11" xfId="0" applyNumberFormat="1" applyFont="1" applyFill="1" applyBorder="1" applyAlignment="1" applyProtection="1">
      <alignment horizontal="left" vertical="center" wrapText="1" indent="1"/>
    </xf>
    <xf numFmtId="166" fontId="36" fillId="0" borderId="37" xfId="0" applyNumberFormat="1" applyFont="1" applyFill="1" applyBorder="1" applyAlignment="1" applyProtection="1">
      <alignment horizontal="left" vertical="center" wrapText="1" indent="1"/>
    </xf>
    <xf numFmtId="166" fontId="36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6" fontId="35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6" fontId="35" fillId="0" borderId="37" xfId="0" applyNumberFormat="1" applyFont="1" applyFill="1" applyBorder="1" applyAlignment="1" applyProtection="1">
      <alignment horizontal="left" vertical="center" wrapText="1" indent="2"/>
    </xf>
    <xf numFmtId="166" fontId="35" fillId="0" borderId="40" xfId="0" applyNumberFormat="1" applyFont="1" applyFill="1" applyBorder="1" applyAlignment="1" applyProtection="1">
      <alignment horizontal="left" vertical="center" wrapText="1" indent="2"/>
    </xf>
    <xf numFmtId="3" fontId="2" fillId="0" borderId="0" xfId="0" applyNumberFormat="1" applyFont="1" applyFill="1" applyAlignment="1">
      <alignment horizontal="center" vertical="center"/>
    </xf>
    <xf numFmtId="3" fontId="2" fillId="24" borderId="20" xfId="0" applyNumberFormat="1" applyFont="1" applyFill="1" applyBorder="1" applyAlignment="1">
      <alignment horizontal="center" vertical="center"/>
    </xf>
    <xf numFmtId="3" fontId="2" fillId="24" borderId="16" xfId="0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vertical="center" wrapText="1"/>
    </xf>
    <xf numFmtId="3" fontId="3" fillId="0" borderId="36" xfId="0" applyNumberFormat="1" applyFont="1" applyFill="1" applyBorder="1" applyAlignment="1">
      <alignment vertical="center"/>
    </xf>
    <xf numFmtId="3" fontId="3" fillId="0" borderId="49" xfId="0" applyNumberFormat="1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horizontal="right" vertical="center"/>
    </xf>
    <xf numFmtId="3" fontId="3" fillId="0" borderId="50" xfId="0" applyNumberFormat="1" applyFont="1" applyFill="1" applyBorder="1" applyAlignment="1">
      <alignment vertical="center"/>
    </xf>
    <xf numFmtId="3" fontId="2" fillId="0" borderId="51" xfId="0" applyNumberFormat="1" applyFont="1" applyFill="1" applyBorder="1" applyAlignment="1">
      <alignment vertical="center"/>
    </xf>
    <xf numFmtId="3" fontId="3" fillId="0" borderId="51" xfId="0" applyNumberFormat="1" applyFont="1" applyFill="1" applyBorder="1" applyAlignment="1">
      <alignment vertical="center"/>
    </xf>
    <xf numFmtId="3" fontId="3" fillId="1" borderId="51" xfId="0" applyNumberFormat="1" applyFont="1" applyFill="1" applyBorder="1" applyAlignment="1">
      <alignment vertical="center"/>
    </xf>
    <xf numFmtId="3" fontId="3" fillId="0" borderId="46" xfId="0" applyNumberFormat="1" applyFont="1" applyFill="1" applyBorder="1" applyAlignment="1">
      <alignment vertical="center"/>
    </xf>
    <xf numFmtId="0" fontId="2" fillId="24" borderId="52" xfId="0" applyFont="1" applyFill="1" applyBorder="1" applyAlignment="1">
      <alignment horizontal="center" vertical="center" wrapText="1"/>
    </xf>
    <xf numFmtId="3" fontId="2" fillId="24" borderId="35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3" fontId="40" fillId="0" borderId="15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3" fillId="1" borderId="0" xfId="0" applyNumberFormat="1" applyFont="1" applyFill="1" applyBorder="1" applyAlignment="1">
      <alignment vertical="center"/>
    </xf>
    <xf numFmtId="3" fontId="3" fillId="0" borderId="53" xfId="0" applyNumberFormat="1" applyFont="1" applyFill="1" applyBorder="1" applyAlignment="1">
      <alignment vertical="center"/>
    </xf>
    <xf numFmtId="3" fontId="0" fillId="0" borderId="0" xfId="0" applyNumberFormat="1"/>
    <xf numFmtId="0" fontId="44" fillId="0" borderId="0" xfId="0" applyFont="1"/>
    <xf numFmtId="0" fontId="45" fillId="0" borderId="0" xfId="0" applyFont="1"/>
    <xf numFmtId="0" fontId="0" fillId="0" borderId="0" xfId="0" applyAlignment="1">
      <alignment horizontal="center" vertical="center"/>
    </xf>
    <xf numFmtId="0" fontId="46" fillId="0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2" fillId="0" borderId="11" xfId="0" applyFont="1" applyBorder="1" applyAlignment="1">
      <alignment horizontal="center" vertical="top" wrapText="1"/>
    </xf>
    <xf numFmtId="0" fontId="42" fillId="0" borderId="11" xfId="0" applyFont="1" applyBorder="1" applyAlignment="1">
      <alignment horizontal="left" vertical="top" wrapText="1"/>
    </xf>
    <xf numFmtId="3" fontId="42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6" fillId="0" borderId="11" xfId="0" applyFont="1" applyBorder="1" applyAlignment="1">
      <alignment horizontal="center" vertical="top" wrapText="1"/>
    </xf>
    <xf numFmtId="3" fontId="46" fillId="0" borderId="11" xfId="0" applyNumberFormat="1" applyFont="1" applyBorder="1" applyAlignment="1">
      <alignment horizontal="right" vertical="top" wrapText="1"/>
    </xf>
    <xf numFmtId="0" fontId="0" fillId="0" borderId="11" xfId="0" applyBorder="1"/>
    <xf numFmtId="0" fontId="45" fillId="0" borderId="11" xfId="0" applyFont="1" applyBorder="1"/>
    <xf numFmtId="3" fontId="43" fillId="24" borderId="11" xfId="0" applyNumberFormat="1" applyFont="1" applyFill="1" applyBorder="1" applyAlignment="1">
      <alignment horizontal="right" vertical="center" wrapText="1"/>
    </xf>
    <xf numFmtId="3" fontId="43" fillId="26" borderId="11" xfId="0" applyNumberFormat="1" applyFont="1" applyFill="1" applyBorder="1" applyAlignment="1">
      <alignment horizontal="right" vertical="top" wrapText="1"/>
    </xf>
    <xf numFmtId="3" fontId="43" fillId="24" borderId="11" xfId="0" applyNumberFormat="1" applyFont="1" applyFill="1" applyBorder="1" applyAlignment="1">
      <alignment horizontal="right" vertical="top" wrapText="1"/>
    </xf>
    <xf numFmtId="3" fontId="43" fillId="27" borderId="11" xfId="0" applyNumberFormat="1" applyFont="1" applyFill="1" applyBorder="1" applyAlignment="1">
      <alignment horizontal="right" vertical="center" wrapText="1"/>
    </xf>
    <xf numFmtId="3" fontId="44" fillId="28" borderId="11" xfId="0" applyNumberFormat="1" applyFont="1" applyFill="1" applyBorder="1" applyAlignment="1">
      <alignment horizontal="right"/>
    </xf>
    <xf numFmtId="3" fontId="48" fillId="28" borderId="11" xfId="0" applyNumberFormat="1" applyFont="1" applyFill="1" applyBorder="1" applyAlignment="1">
      <alignment horizontal="right"/>
    </xf>
    <xf numFmtId="0" fontId="48" fillId="0" borderId="0" xfId="0" applyFont="1"/>
    <xf numFmtId="0" fontId="4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166" fontId="3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39" fillId="0" borderId="34" xfId="0" applyNumberFormat="1" applyFont="1" applyFill="1" applyBorder="1" applyAlignment="1" applyProtection="1">
      <alignment horizontal="right" vertical="center" wrapText="1" indent="1"/>
    </xf>
    <xf numFmtId="166" fontId="1" fillId="0" borderId="0" xfId="0" applyNumberFormat="1" applyFont="1" applyFill="1" applyAlignment="1" applyProtection="1">
      <alignment vertical="center" wrapText="1"/>
    </xf>
    <xf numFmtId="166" fontId="45" fillId="0" borderId="0" xfId="0" applyNumberFormat="1" applyFont="1" applyFill="1" applyAlignment="1" applyProtection="1">
      <alignment horizontal="centerContinuous" vertical="center"/>
    </xf>
    <xf numFmtId="166" fontId="45" fillId="0" borderId="0" xfId="0" applyNumberFormat="1" applyFont="1" applyFill="1" applyAlignment="1" applyProtection="1">
      <alignment vertical="center" wrapText="1"/>
    </xf>
    <xf numFmtId="166" fontId="45" fillId="0" borderId="0" xfId="0" applyNumberFormat="1" applyFont="1" applyFill="1" applyAlignment="1" applyProtection="1">
      <alignment horizontal="center" vertical="center" wrapText="1"/>
    </xf>
    <xf numFmtId="166" fontId="45" fillId="0" borderId="48" xfId="0" applyNumberFormat="1" applyFont="1" applyFill="1" applyBorder="1" applyAlignment="1" applyProtection="1">
      <alignment horizontal="left" vertical="center" wrapText="1" indent="1"/>
    </xf>
    <xf numFmtId="166" fontId="45" fillId="0" borderId="45" xfId="0" applyNumberFormat="1" applyFont="1" applyFill="1" applyBorder="1" applyAlignment="1" applyProtection="1">
      <alignment horizontal="left" vertical="center" wrapText="1" indent="1"/>
    </xf>
    <xf numFmtId="166" fontId="3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1" xfId="0" applyFont="1" applyBorder="1" applyAlignment="1">
      <alignment vertical="top" wrapText="1"/>
    </xf>
    <xf numFmtId="0" fontId="2" fillId="0" borderId="54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3" fontId="49" fillId="24" borderId="11" xfId="0" applyNumberFormat="1" applyFont="1" applyFill="1" applyBorder="1" applyAlignment="1">
      <alignment horizontal="center" vertical="center" wrapText="1"/>
    </xf>
    <xf numFmtId="3" fontId="2" fillId="1" borderId="55" xfId="0" applyNumberFormat="1" applyFont="1" applyFill="1" applyBorder="1" applyAlignment="1">
      <alignment vertical="center"/>
    </xf>
    <xf numFmtId="3" fontId="2" fillId="25" borderId="15" xfId="0" applyNumberFormat="1" applyFont="1" applyFill="1" applyBorder="1" applyAlignment="1">
      <alignment horizontal="right" vertical="center"/>
    </xf>
    <xf numFmtId="3" fontId="2" fillId="1" borderId="15" xfId="0" applyNumberFormat="1" applyFont="1" applyFill="1" applyBorder="1" applyAlignment="1">
      <alignment horizontal="right" vertical="center"/>
    </xf>
    <xf numFmtId="3" fontId="2" fillId="24" borderId="15" xfId="0" applyNumberFormat="1" applyFont="1" applyFill="1" applyBorder="1" applyAlignment="1">
      <alignment vertical="center"/>
    </xf>
    <xf numFmtId="3" fontId="2" fillId="1" borderId="15" xfId="0" applyNumberFormat="1" applyFont="1" applyFill="1" applyBorder="1" applyAlignment="1">
      <alignment vertical="center"/>
    </xf>
    <xf numFmtId="3" fontId="2" fillId="24" borderId="56" xfId="0" applyNumberFormat="1" applyFont="1" applyFill="1" applyBorder="1" applyAlignment="1">
      <alignment vertical="center"/>
    </xf>
    <xf numFmtId="3" fontId="2" fillId="24" borderId="57" xfId="0" applyNumberFormat="1" applyFont="1" applyFill="1" applyBorder="1" applyAlignment="1">
      <alignment vertical="center"/>
    </xf>
    <xf numFmtId="3" fontId="3" fillId="1" borderId="15" xfId="0" applyNumberFormat="1" applyFont="1" applyFill="1" applyBorder="1" applyAlignment="1">
      <alignment vertical="center"/>
    </xf>
    <xf numFmtId="3" fontId="2" fillId="24" borderId="26" xfId="0" applyNumberFormat="1" applyFont="1" applyFill="1" applyBorder="1" applyAlignment="1">
      <alignment vertical="center"/>
    </xf>
    <xf numFmtId="3" fontId="2" fillId="25" borderId="11" xfId="0" applyNumberFormat="1" applyFont="1" applyFill="1" applyBorder="1" applyAlignment="1">
      <alignment horizontal="right" vertical="center"/>
    </xf>
    <xf numFmtId="3" fontId="2" fillId="24" borderId="11" xfId="0" applyNumberFormat="1" applyFont="1" applyFill="1" applyBorder="1" applyAlignment="1">
      <alignment vertical="center"/>
    </xf>
    <xf numFmtId="3" fontId="3" fillId="0" borderId="34" xfId="0" applyNumberFormat="1" applyFont="1" applyFill="1" applyBorder="1" applyAlignment="1">
      <alignment vertical="center"/>
    </xf>
    <xf numFmtId="3" fontId="2" fillId="24" borderId="21" xfId="0" applyNumberFormat="1" applyFont="1" applyFill="1" applyBorder="1" applyAlignment="1">
      <alignment vertical="center"/>
    </xf>
    <xf numFmtId="3" fontId="2" fillId="24" borderId="24" xfId="0" applyNumberFormat="1" applyFont="1" applyFill="1" applyBorder="1" applyAlignment="1">
      <alignment vertical="center"/>
    </xf>
    <xf numFmtId="3" fontId="3" fillId="1" borderId="11" xfId="0" applyNumberFormat="1" applyFont="1" applyFill="1" applyBorder="1" applyAlignment="1">
      <alignment vertical="center"/>
    </xf>
    <xf numFmtId="0" fontId="2" fillId="0" borderId="58" xfId="0" applyFont="1" applyFill="1" applyBorder="1" applyAlignment="1">
      <alignment vertical="center"/>
    </xf>
    <xf numFmtId="0" fontId="8" fillId="0" borderId="42" xfId="0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horizontal="right" vertical="center"/>
    </xf>
    <xf numFmtId="0" fontId="2" fillId="0" borderId="42" xfId="0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vertical="center"/>
    </xf>
    <xf numFmtId="3" fontId="40" fillId="0" borderId="45" xfId="0" applyNumberFormat="1" applyFont="1" applyFill="1" applyBorder="1" applyAlignment="1">
      <alignment vertical="center"/>
    </xf>
    <xf numFmtId="0" fontId="8" fillId="1" borderId="42" xfId="0" applyFont="1" applyFill="1" applyBorder="1" applyAlignment="1">
      <alignment horizontal="left" vertical="center"/>
    </xf>
    <xf numFmtId="3" fontId="2" fillId="1" borderId="45" xfId="0" applyNumberFormat="1" applyFont="1" applyFill="1" applyBorder="1" applyAlignment="1">
      <alignment vertical="center"/>
    </xf>
    <xf numFmtId="3" fontId="3" fillId="0" borderId="42" xfId="0" applyNumberFormat="1" applyFont="1" applyFill="1" applyBorder="1" applyAlignment="1">
      <alignment vertical="center"/>
    </xf>
    <xf numFmtId="0" fontId="2" fillId="0" borderId="36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/>
    </xf>
    <xf numFmtId="3" fontId="2" fillId="0" borderId="42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/>
    </xf>
    <xf numFmtId="3" fontId="3" fillId="0" borderId="29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vertical="center"/>
    </xf>
    <xf numFmtId="3" fontId="40" fillId="0" borderId="29" xfId="0" applyNumberFormat="1" applyFont="1" applyFill="1" applyBorder="1" applyAlignment="1">
      <alignment vertical="center"/>
    </xf>
    <xf numFmtId="0" fontId="8" fillId="1" borderId="23" xfId="0" applyFont="1" applyFill="1" applyBorder="1" applyAlignment="1">
      <alignment horizontal="left" vertical="center"/>
    </xf>
    <xf numFmtId="3" fontId="2" fillId="1" borderId="29" xfId="0" applyNumberFormat="1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0" fontId="8" fillId="0" borderId="23" xfId="0" applyFont="1" applyFill="1" applyBorder="1" applyAlignment="1">
      <alignment horizontal="left" vertical="center"/>
    </xf>
    <xf numFmtId="3" fontId="2" fillId="0" borderId="2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49" fillId="24" borderId="36" xfId="0" applyNumberFormat="1" applyFont="1" applyFill="1" applyBorder="1" applyAlignment="1">
      <alignment horizontal="center" vertical="center" wrapText="1"/>
    </xf>
    <xf numFmtId="3" fontId="2" fillId="0" borderId="34" xfId="0" applyNumberFormat="1" applyFont="1" applyFill="1" applyBorder="1" applyAlignment="1">
      <alignment vertical="center"/>
    </xf>
    <xf numFmtId="3" fontId="3" fillId="1" borderId="34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/>
    </xf>
    <xf numFmtId="3" fontId="2" fillId="24" borderId="20" xfId="0" applyNumberFormat="1" applyFont="1" applyFill="1" applyBorder="1" applyAlignment="1">
      <alignment vertical="center"/>
    </xf>
    <xf numFmtId="3" fontId="3" fillId="0" borderId="58" xfId="0" applyNumberFormat="1" applyFont="1" applyFill="1" applyBorder="1" applyAlignment="1">
      <alignment vertical="center"/>
    </xf>
    <xf numFmtId="3" fontId="2" fillId="0" borderId="42" xfId="0" applyNumberFormat="1" applyFont="1" applyFill="1" applyBorder="1" applyAlignment="1">
      <alignment vertical="center"/>
    </xf>
    <xf numFmtId="3" fontId="3" fillId="1" borderId="42" xfId="0" applyNumberFormat="1" applyFont="1" applyFill="1" applyBorder="1" applyAlignment="1">
      <alignment vertical="center"/>
    </xf>
    <xf numFmtId="3" fontId="3" fillId="0" borderId="55" xfId="0" applyNumberFormat="1" applyFont="1" applyFill="1" applyBorder="1" applyAlignment="1">
      <alignment vertical="center"/>
    </xf>
    <xf numFmtId="166" fontId="32" fillId="0" borderId="52" xfId="0" applyNumberFormat="1" applyFont="1" applyFill="1" applyBorder="1" applyAlignment="1" applyProtection="1">
      <alignment horizontal="centerContinuous" vertical="center" wrapText="1"/>
    </xf>
    <xf numFmtId="166" fontId="34" fillId="0" borderId="52" xfId="0" applyNumberFormat="1" applyFont="1" applyFill="1" applyBorder="1" applyAlignment="1" applyProtection="1">
      <alignment horizontal="center" vertical="center" wrapText="1"/>
    </xf>
    <xf numFmtId="166" fontId="35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6" fontId="39" fillId="0" borderId="12" xfId="0" applyNumberFormat="1" applyFont="1" applyFill="1" applyBorder="1" applyAlignment="1" applyProtection="1">
      <alignment horizontal="right" vertical="center" wrapText="1" indent="1"/>
    </xf>
    <xf numFmtId="166" fontId="34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61" xfId="0" applyNumberFormat="1" applyFont="1" applyFill="1" applyBorder="1" applyAlignment="1" applyProtection="1">
      <alignment horizontal="centerContinuous" vertical="center" wrapText="1"/>
    </xf>
    <xf numFmtId="3" fontId="49" fillId="0" borderId="11" xfId="0" applyNumberFormat="1" applyFont="1" applyFill="1" applyBorder="1" applyAlignment="1">
      <alignment horizontal="center" vertical="center" wrapText="1"/>
    </xf>
    <xf numFmtId="166" fontId="3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6" fontId="39" fillId="0" borderId="59" xfId="0" applyNumberFormat="1" applyFont="1" applyFill="1" applyBorder="1" applyAlignment="1" applyProtection="1">
      <alignment horizontal="right" vertical="center" wrapText="1" indent="1"/>
    </xf>
    <xf numFmtId="166" fontId="3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1" xfId="0" applyBorder="1" applyAlignment="1">
      <alignment horizontal="center"/>
    </xf>
    <xf numFmtId="0" fontId="2" fillId="0" borderId="47" xfId="0" applyFont="1" applyFill="1" applyBorder="1" applyAlignment="1">
      <alignment horizontal="center" vertical="top"/>
    </xf>
    <xf numFmtId="0" fontId="42" fillId="0" borderId="11" xfId="0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 wrapText="1"/>
    </xf>
    <xf numFmtId="0" fontId="43" fillId="27" borderId="16" xfId="0" applyFont="1" applyFill="1" applyBorder="1" applyAlignment="1">
      <alignment horizontal="left" vertical="center" wrapText="1"/>
    </xf>
    <xf numFmtId="3" fontId="3" fillId="0" borderId="16" xfId="0" applyNumberFormat="1" applyFont="1" applyFill="1" applyBorder="1" applyAlignment="1">
      <alignment horizontal="right" vertical="center"/>
    </xf>
    <xf numFmtId="3" fontId="49" fillId="24" borderId="15" xfId="0" applyNumberFormat="1" applyFont="1" applyFill="1" applyBorder="1" applyAlignment="1">
      <alignment horizontal="center" vertical="center" wrapText="1"/>
    </xf>
    <xf numFmtId="3" fontId="42" fillId="0" borderId="15" xfId="0" applyNumberFormat="1" applyFont="1" applyBorder="1" applyAlignment="1">
      <alignment horizontal="right" vertical="top" wrapText="1"/>
    </xf>
    <xf numFmtId="3" fontId="43" fillId="26" borderId="15" xfId="0" applyNumberFormat="1" applyFont="1" applyFill="1" applyBorder="1" applyAlignment="1">
      <alignment horizontal="right" vertical="top" wrapText="1"/>
    </xf>
    <xf numFmtId="3" fontId="43" fillId="24" borderId="15" xfId="0" applyNumberFormat="1" applyFont="1" applyFill="1" applyBorder="1" applyAlignment="1">
      <alignment horizontal="right" vertical="center" wrapText="1"/>
    </xf>
    <xf numFmtId="3" fontId="43" fillId="27" borderId="15" xfId="0" applyNumberFormat="1" applyFont="1" applyFill="1" applyBorder="1" applyAlignment="1">
      <alignment horizontal="right" vertical="center" wrapText="1"/>
    </xf>
    <xf numFmtId="3" fontId="48" fillId="28" borderId="15" xfId="0" applyNumberFormat="1" applyFont="1" applyFill="1" applyBorder="1" applyAlignment="1">
      <alignment horizontal="right"/>
    </xf>
    <xf numFmtId="3" fontId="49" fillId="24" borderId="62" xfId="0" applyNumberFormat="1" applyFont="1" applyFill="1" applyBorder="1" applyAlignment="1">
      <alignment horizontal="center" vertical="center" wrapText="1"/>
    </xf>
    <xf numFmtId="3" fontId="49" fillId="24" borderId="63" xfId="0" applyNumberFormat="1" applyFont="1" applyFill="1" applyBorder="1" applyAlignment="1">
      <alignment horizontal="center" vertical="center" wrapText="1"/>
    </xf>
    <xf numFmtId="3" fontId="42" fillId="0" borderId="62" xfId="0" applyNumberFormat="1" applyFont="1" applyBorder="1" applyAlignment="1">
      <alignment horizontal="right" vertical="top" wrapText="1"/>
    </xf>
    <xf numFmtId="3" fontId="42" fillId="0" borderId="63" xfId="0" applyNumberFormat="1" applyFont="1" applyBorder="1" applyAlignment="1">
      <alignment horizontal="right" vertical="top" wrapText="1"/>
    </xf>
    <xf numFmtId="3" fontId="43" fillId="26" borderId="63" xfId="0" applyNumberFormat="1" applyFont="1" applyFill="1" applyBorder="1" applyAlignment="1">
      <alignment horizontal="right" vertical="top" wrapText="1"/>
    </xf>
    <xf numFmtId="3" fontId="43" fillId="26" borderId="62" xfId="0" applyNumberFormat="1" applyFont="1" applyFill="1" applyBorder="1" applyAlignment="1">
      <alignment horizontal="right" vertical="top" wrapText="1"/>
    </xf>
    <xf numFmtId="3" fontId="43" fillId="24" borderId="62" xfId="0" applyNumberFormat="1" applyFont="1" applyFill="1" applyBorder="1" applyAlignment="1">
      <alignment horizontal="right" vertical="center" wrapText="1"/>
    </xf>
    <xf numFmtId="3" fontId="43" fillId="24" borderId="63" xfId="0" applyNumberFormat="1" applyFont="1" applyFill="1" applyBorder="1" applyAlignment="1">
      <alignment horizontal="right" vertical="center" wrapText="1"/>
    </xf>
    <xf numFmtId="3" fontId="43" fillId="24" borderId="63" xfId="0" applyNumberFormat="1" applyFont="1" applyFill="1" applyBorder="1" applyAlignment="1">
      <alignment horizontal="right" vertical="top" wrapText="1"/>
    </xf>
    <xf numFmtId="3" fontId="43" fillId="27" borderId="62" xfId="0" applyNumberFormat="1" applyFont="1" applyFill="1" applyBorder="1" applyAlignment="1">
      <alignment horizontal="right" vertical="center" wrapText="1"/>
    </xf>
    <xf numFmtId="3" fontId="43" fillId="27" borderId="63" xfId="0" applyNumberFormat="1" applyFont="1" applyFill="1" applyBorder="1" applyAlignment="1">
      <alignment horizontal="right" vertical="center" wrapText="1"/>
    </xf>
    <xf numFmtId="3" fontId="48" fillId="28" borderId="62" xfId="0" applyNumberFormat="1" applyFont="1" applyFill="1" applyBorder="1" applyAlignment="1">
      <alignment horizontal="right"/>
    </xf>
    <xf numFmtId="3" fontId="48" fillId="28" borderId="63" xfId="0" applyNumberFormat="1" applyFont="1" applyFill="1" applyBorder="1" applyAlignment="1">
      <alignment horizontal="right"/>
    </xf>
    <xf numFmtId="3" fontId="46" fillId="0" borderId="15" xfId="0" applyNumberFormat="1" applyFont="1" applyBorder="1" applyAlignment="1">
      <alignment horizontal="right" vertical="top" wrapText="1"/>
    </xf>
    <xf numFmtId="3" fontId="43" fillId="24" borderId="15" xfId="0" applyNumberFormat="1" applyFont="1" applyFill="1" applyBorder="1" applyAlignment="1">
      <alignment horizontal="right" vertical="top" wrapText="1"/>
    </xf>
    <xf numFmtId="3" fontId="46" fillId="0" borderId="62" xfId="0" applyNumberFormat="1" applyFont="1" applyBorder="1" applyAlignment="1">
      <alignment horizontal="right" vertical="top" wrapText="1"/>
    </xf>
    <xf numFmtId="3" fontId="43" fillId="24" borderId="62" xfId="0" applyNumberFormat="1" applyFont="1" applyFill="1" applyBorder="1" applyAlignment="1">
      <alignment horizontal="right" vertical="top" wrapText="1"/>
    </xf>
    <xf numFmtId="3" fontId="44" fillId="28" borderId="15" xfId="0" applyNumberFormat="1" applyFont="1" applyFill="1" applyBorder="1" applyAlignment="1">
      <alignment horizontal="right"/>
    </xf>
    <xf numFmtId="3" fontId="49" fillId="24" borderId="12" xfId="0" applyNumberFormat="1" applyFont="1" applyFill="1" applyBorder="1" applyAlignment="1">
      <alignment horizontal="center" vertical="center" wrapText="1"/>
    </xf>
    <xf numFmtId="3" fontId="42" fillId="0" borderId="12" xfId="0" applyNumberFormat="1" applyFont="1" applyBorder="1" applyAlignment="1">
      <alignment horizontal="right" vertical="top" wrapText="1"/>
    </xf>
    <xf numFmtId="3" fontId="43" fillId="24" borderId="12" xfId="0" applyNumberFormat="1" applyFont="1" applyFill="1" applyBorder="1" applyAlignment="1">
      <alignment horizontal="right" vertical="center" wrapText="1"/>
    </xf>
    <xf numFmtId="3" fontId="43" fillId="27" borderId="12" xfId="0" applyNumberFormat="1" applyFont="1" applyFill="1" applyBorder="1" applyAlignment="1">
      <alignment horizontal="right" vertical="center" wrapText="1"/>
    </xf>
    <xf numFmtId="3" fontId="44" fillId="28" borderId="12" xfId="0" applyNumberFormat="1" applyFont="1" applyFill="1" applyBorder="1" applyAlignment="1">
      <alignment horizontal="right"/>
    </xf>
    <xf numFmtId="3" fontId="44" fillId="28" borderId="62" xfId="0" applyNumberFormat="1" applyFont="1" applyFill="1" applyBorder="1" applyAlignment="1">
      <alignment horizontal="right"/>
    </xf>
    <xf numFmtId="3" fontId="44" fillId="28" borderId="63" xfId="0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8" fillId="1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3" fontId="2" fillId="0" borderId="15" xfId="0" applyNumberFormat="1" applyFont="1" applyFill="1" applyBorder="1" applyAlignment="1">
      <alignment horizontal="center" vertical="center"/>
    </xf>
    <xf numFmtId="3" fontId="3" fillId="0" borderId="22" xfId="0" applyNumberFormat="1" applyFont="1" applyFill="1" applyBorder="1" applyAlignment="1">
      <alignment vertical="center"/>
    </xf>
    <xf numFmtId="3" fontId="2" fillId="25" borderId="30" xfId="0" applyNumberFormat="1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vertical="center"/>
    </xf>
    <xf numFmtId="3" fontId="2" fillId="1" borderId="30" xfId="0" applyNumberFormat="1" applyFont="1" applyFill="1" applyBorder="1" applyAlignment="1">
      <alignment horizontal="right" vertical="center"/>
    </xf>
    <xf numFmtId="3" fontId="2" fillId="24" borderId="30" xfId="0" applyNumberFormat="1" applyFont="1" applyFill="1" applyBorder="1" applyAlignment="1">
      <alignment vertical="center"/>
    </xf>
    <xf numFmtId="3" fontId="2" fillId="1" borderId="30" xfId="0" applyNumberFormat="1" applyFont="1" applyFill="1" applyBorder="1" applyAlignment="1">
      <alignment vertical="center"/>
    </xf>
    <xf numFmtId="3" fontId="2" fillId="24" borderId="64" xfId="0" applyNumberFormat="1" applyFont="1" applyFill="1" applyBorder="1" applyAlignment="1">
      <alignment vertical="center"/>
    </xf>
    <xf numFmtId="3" fontId="2" fillId="24" borderId="61" xfId="0" applyNumberFormat="1" applyFont="1" applyFill="1" applyBorder="1" applyAlignment="1">
      <alignment vertical="center"/>
    </xf>
    <xf numFmtId="3" fontId="3" fillId="0" borderId="61" xfId="0" applyNumberFormat="1" applyFont="1" applyFill="1" applyBorder="1" applyAlignment="1">
      <alignment vertical="center"/>
    </xf>
    <xf numFmtId="3" fontId="3" fillId="1" borderId="30" xfId="0" applyNumberFormat="1" applyFont="1" applyFill="1" applyBorder="1" applyAlignment="1">
      <alignment vertical="center"/>
    </xf>
    <xf numFmtId="3" fontId="2" fillId="24" borderId="65" xfId="0" applyNumberFormat="1" applyFont="1" applyFill="1" applyBorder="1" applyAlignment="1">
      <alignment vertical="center"/>
    </xf>
    <xf numFmtId="3" fontId="3" fillId="0" borderId="62" xfId="0" applyNumberFormat="1" applyFont="1" applyFill="1" applyBorder="1" applyAlignment="1">
      <alignment vertical="center"/>
    </xf>
    <xf numFmtId="3" fontId="3" fillId="0" borderId="63" xfId="0" applyNumberFormat="1" applyFont="1" applyFill="1" applyBorder="1" applyAlignment="1">
      <alignment vertical="center"/>
    </xf>
    <xf numFmtId="3" fontId="2" fillId="0" borderId="66" xfId="0" applyNumberFormat="1" applyFont="1" applyFill="1" applyBorder="1" applyAlignment="1">
      <alignment vertical="center"/>
    </xf>
    <xf numFmtId="3" fontId="2" fillId="0" borderId="67" xfId="0" applyNumberFormat="1" applyFont="1" applyFill="1" applyBorder="1" applyAlignment="1">
      <alignment vertical="center"/>
    </xf>
    <xf numFmtId="3" fontId="2" fillId="25" borderId="62" xfId="0" applyNumberFormat="1" applyFont="1" applyFill="1" applyBorder="1" applyAlignment="1">
      <alignment horizontal="right" vertical="center"/>
    </xf>
    <xf numFmtId="3" fontId="2" fillId="25" borderId="63" xfId="0" applyNumberFormat="1" applyFont="1" applyFill="1" applyBorder="1" applyAlignment="1">
      <alignment horizontal="right" vertical="center"/>
    </xf>
    <xf numFmtId="3" fontId="3" fillId="0" borderId="66" xfId="0" applyNumberFormat="1" applyFont="1" applyFill="1" applyBorder="1" applyAlignment="1">
      <alignment vertical="center"/>
    </xf>
    <xf numFmtId="3" fontId="3" fillId="0" borderId="67" xfId="0" applyNumberFormat="1" applyFont="1" applyFill="1" applyBorder="1" applyAlignment="1">
      <alignment vertical="center"/>
    </xf>
    <xf numFmtId="3" fontId="2" fillId="1" borderId="62" xfId="0" applyNumberFormat="1" applyFont="1" applyFill="1" applyBorder="1" applyAlignment="1">
      <alignment horizontal="right" vertical="center"/>
    </xf>
    <xf numFmtId="3" fontId="2" fillId="1" borderId="63" xfId="0" applyNumberFormat="1" applyFont="1" applyFill="1" applyBorder="1" applyAlignment="1">
      <alignment horizontal="right" vertical="center"/>
    </xf>
    <xf numFmtId="3" fontId="3" fillId="0" borderId="62" xfId="0" applyNumberFormat="1" applyFont="1" applyFill="1" applyBorder="1" applyAlignment="1">
      <alignment horizontal="right" vertical="center"/>
    </xf>
    <xf numFmtId="3" fontId="3" fillId="0" borderId="63" xfId="0" applyNumberFormat="1" applyFont="1" applyFill="1" applyBorder="1" applyAlignment="1">
      <alignment horizontal="right" vertical="center"/>
    </xf>
    <xf numFmtId="3" fontId="2" fillId="24" borderId="62" xfId="0" applyNumberFormat="1" applyFont="1" applyFill="1" applyBorder="1" applyAlignment="1">
      <alignment vertical="center"/>
    </xf>
    <xf numFmtId="3" fontId="2" fillId="24" borderId="63" xfId="0" applyNumberFormat="1" applyFont="1" applyFill="1" applyBorder="1" applyAlignment="1">
      <alignment vertical="center"/>
    </xf>
    <xf numFmtId="3" fontId="3" fillId="1" borderId="66" xfId="0" applyNumberFormat="1" applyFont="1" applyFill="1" applyBorder="1" applyAlignment="1">
      <alignment vertical="center"/>
    </xf>
    <xf numFmtId="3" fontId="3" fillId="1" borderId="67" xfId="0" applyNumberFormat="1" applyFont="1" applyFill="1" applyBorder="1" applyAlignment="1">
      <alignment vertical="center"/>
    </xf>
    <xf numFmtId="3" fontId="2" fillId="1" borderId="62" xfId="0" applyNumberFormat="1" applyFont="1" applyFill="1" applyBorder="1" applyAlignment="1">
      <alignment vertical="center"/>
    </xf>
    <xf numFmtId="3" fontId="2" fillId="1" borderId="63" xfId="0" applyNumberFormat="1" applyFont="1" applyFill="1" applyBorder="1" applyAlignment="1">
      <alignment vertical="center"/>
    </xf>
    <xf numFmtId="3" fontId="2" fillId="24" borderId="68" xfId="0" applyNumberFormat="1" applyFont="1" applyFill="1" applyBorder="1" applyAlignment="1">
      <alignment vertical="center"/>
    </xf>
    <xf numFmtId="3" fontId="2" fillId="24" borderId="69" xfId="0" applyNumberFormat="1" applyFont="1" applyFill="1" applyBorder="1" applyAlignment="1">
      <alignment vertical="center"/>
    </xf>
    <xf numFmtId="3" fontId="2" fillId="24" borderId="70" xfId="0" applyNumberFormat="1" applyFont="1" applyFill="1" applyBorder="1" applyAlignment="1">
      <alignment vertical="center"/>
    </xf>
    <xf numFmtId="3" fontId="2" fillId="24" borderId="71" xfId="0" applyNumberFormat="1" applyFont="1" applyFill="1" applyBorder="1" applyAlignment="1">
      <alignment vertical="center"/>
    </xf>
    <xf numFmtId="3" fontId="3" fillId="0" borderId="70" xfId="0" applyNumberFormat="1" applyFont="1" applyFill="1" applyBorder="1" applyAlignment="1">
      <alignment vertical="center"/>
    </xf>
    <xf numFmtId="3" fontId="3" fillId="0" borderId="71" xfId="0" applyNumberFormat="1" applyFont="1" applyFill="1" applyBorder="1" applyAlignment="1">
      <alignment vertical="center"/>
    </xf>
    <xf numFmtId="3" fontId="3" fillId="1" borderId="62" xfId="0" applyNumberFormat="1" applyFont="1" applyFill="1" applyBorder="1" applyAlignment="1">
      <alignment vertical="center"/>
    </xf>
    <xf numFmtId="3" fontId="3" fillId="1" borderId="63" xfId="0" applyNumberFormat="1" applyFont="1" applyFill="1" applyBorder="1" applyAlignment="1">
      <alignment vertical="center"/>
    </xf>
    <xf numFmtId="3" fontId="2" fillId="24" borderId="72" xfId="0" applyNumberFormat="1" applyFont="1" applyFill="1" applyBorder="1" applyAlignment="1">
      <alignment vertical="center"/>
    </xf>
    <xf numFmtId="3" fontId="2" fillId="24" borderId="73" xfId="0" applyNumberFormat="1" applyFont="1" applyFill="1" applyBorder="1" applyAlignment="1">
      <alignment vertical="center"/>
    </xf>
    <xf numFmtId="3" fontId="2" fillId="24" borderId="74" xfId="0" applyNumberFormat="1" applyFont="1" applyFill="1" applyBorder="1" applyAlignment="1">
      <alignment vertical="center"/>
    </xf>
    <xf numFmtId="3" fontId="2" fillId="24" borderId="75" xfId="0" applyNumberFormat="1" applyFont="1" applyFill="1" applyBorder="1" applyAlignment="1">
      <alignment vertical="center"/>
    </xf>
    <xf numFmtId="9" fontId="0" fillId="0" borderId="0" xfId="0" applyNumberFormat="1"/>
    <xf numFmtId="3" fontId="0" fillId="0" borderId="0" xfId="0" applyNumberFormat="1" applyAlignment="1">
      <alignment vertical="center"/>
    </xf>
    <xf numFmtId="0" fontId="0" fillId="0" borderId="11" xfId="0" applyBorder="1" applyAlignment="1">
      <alignment horizontal="center"/>
    </xf>
    <xf numFmtId="3" fontId="41" fillId="24" borderId="15" xfId="0" applyNumberFormat="1" applyFont="1" applyFill="1" applyBorder="1" applyAlignment="1">
      <alignment horizontal="center" vertical="center" wrapText="1"/>
    </xf>
    <xf numFmtId="3" fontId="41" fillId="24" borderId="30" xfId="0" applyNumberFormat="1" applyFont="1" applyFill="1" applyBorder="1" applyAlignment="1">
      <alignment horizontal="center" vertical="center" wrapText="1"/>
    </xf>
    <xf numFmtId="3" fontId="41" fillId="24" borderId="77" xfId="0" applyNumberFormat="1" applyFont="1" applyFill="1" applyBorder="1" applyAlignment="1">
      <alignment horizontal="center" vertical="center" wrapText="1"/>
    </xf>
    <xf numFmtId="3" fontId="41" fillId="24" borderId="76" xfId="0" applyNumberFormat="1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left" vertical="center" wrapText="1"/>
    </xf>
    <xf numFmtId="0" fontId="43" fillId="24" borderId="11" xfId="0" applyFont="1" applyFill="1" applyBorder="1" applyAlignment="1">
      <alignment horizontal="left" vertical="center" wrapText="1"/>
    </xf>
    <xf numFmtId="0" fontId="27" fillId="26" borderId="11" xfId="0" applyFont="1" applyFill="1" applyBorder="1" applyAlignment="1">
      <alignment horizontal="left" vertical="top" wrapText="1"/>
    </xf>
    <xf numFmtId="0" fontId="43" fillId="26" borderId="11" xfId="0" applyFont="1" applyFill="1" applyBorder="1" applyAlignment="1">
      <alignment horizontal="left" vertical="top" wrapText="1"/>
    </xf>
    <xf numFmtId="0" fontId="43" fillId="24" borderId="11" xfId="0" applyFont="1" applyFill="1" applyBorder="1" applyAlignment="1">
      <alignment horizontal="left" vertical="top" wrapText="1"/>
    </xf>
    <xf numFmtId="0" fontId="48" fillId="28" borderId="11" xfId="0" applyFont="1" applyFill="1" applyBorder="1" applyAlignment="1">
      <alignment horizontal="left"/>
    </xf>
    <xf numFmtId="0" fontId="43" fillId="27" borderId="11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41" fillId="24" borderId="33" xfId="0" applyFont="1" applyFill="1" applyBorder="1" applyAlignment="1">
      <alignment horizontal="center" vertical="center" wrapText="1"/>
    </xf>
    <xf numFmtId="0" fontId="41" fillId="24" borderId="78" xfId="0" applyFont="1" applyFill="1" applyBorder="1" applyAlignment="1">
      <alignment horizontal="center" vertical="center" wrapText="1"/>
    </xf>
    <xf numFmtId="0" fontId="41" fillId="24" borderId="60" xfId="0" applyFont="1" applyFill="1" applyBorder="1" applyAlignment="1">
      <alignment horizontal="center" vertical="center" wrapText="1"/>
    </xf>
    <xf numFmtId="0" fontId="41" fillId="24" borderId="25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0" fontId="41" fillId="24" borderId="59" xfId="0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/>
    </xf>
    <xf numFmtId="0" fontId="44" fillId="28" borderId="11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43" fillId="27" borderId="25" xfId="0" applyFont="1" applyFill="1" applyBorder="1" applyAlignment="1">
      <alignment horizontal="left" vertical="center" wrapText="1"/>
    </xf>
    <xf numFmtId="0" fontId="43" fillId="27" borderId="32" xfId="0" applyFont="1" applyFill="1" applyBorder="1" applyAlignment="1">
      <alignment horizontal="left" vertical="center" wrapText="1"/>
    </xf>
    <xf numFmtId="0" fontId="43" fillId="27" borderId="59" xfId="0" applyFont="1" applyFill="1" applyBorder="1" applyAlignment="1">
      <alignment horizontal="left" vertical="center" wrapText="1"/>
    </xf>
    <xf numFmtId="166" fontId="29" fillId="0" borderId="0" xfId="0" applyNumberFormat="1" applyFont="1" applyFill="1" applyAlignment="1" applyProtection="1">
      <alignment horizontal="center" textRotation="180" wrapText="1"/>
    </xf>
    <xf numFmtId="166" fontId="31" fillId="0" borderId="79" xfId="0" applyNumberFormat="1" applyFont="1" applyFill="1" applyBorder="1" applyAlignment="1" applyProtection="1">
      <alignment horizontal="center" vertical="center" wrapText="1"/>
    </xf>
    <xf numFmtId="166" fontId="31" fillId="0" borderId="80" xfId="0" applyNumberFormat="1" applyFont="1" applyFill="1" applyBorder="1" applyAlignment="1" applyProtection="1">
      <alignment horizontal="center" vertical="center" wrapText="1"/>
    </xf>
    <xf numFmtId="166" fontId="31" fillId="0" borderId="58" xfId="0" applyNumberFormat="1" applyFont="1" applyFill="1" applyBorder="1" applyAlignment="1" applyProtection="1">
      <alignment horizontal="center" vertical="center" wrapText="1"/>
    </xf>
    <xf numFmtId="166" fontId="31" fillId="0" borderId="81" xfId="0" applyNumberFormat="1" applyFont="1" applyFill="1" applyBorder="1" applyAlignment="1" applyProtection="1">
      <alignment horizontal="center" vertical="center" wrapText="1"/>
    </xf>
    <xf numFmtId="0" fontId="2" fillId="24" borderId="54" xfId="0" applyFont="1" applyFill="1" applyBorder="1" applyAlignment="1">
      <alignment horizontal="left" vertical="center"/>
    </xf>
    <xf numFmtId="0" fontId="2" fillId="24" borderId="52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2" fillId="24" borderId="29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left" vertical="center"/>
    </xf>
    <xf numFmtId="0" fontId="8" fillId="0" borderId="82" xfId="0" applyFont="1" applyFill="1" applyBorder="1" applyAlignment="1">
      <alignment horizontal="left" vertical="center"/>
    </xf>
    <xf numFmtId="0" fontId="8" fillId="0" borderId="78" xfId="0" applyFont="1" applyFill="1" applyBorder="1" applyAlignment="1">
      <alignment horizontal="left" vertical="center"/>
    </xf>
    <xf numFmtId="0" fontId="2" fillId="24" borderId="83" xfId="0" applyFont="1" applyFill="1" applyBorder="1" applyAlignment="1">
      <alignment horizontal="left" vertical="center"/>
    </xf>
    <xf numFmtId="0" fontId="2" fillId="24" borderId="84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left" vertical="center"/>
    </xf>
    <xf numFmtId="0" fontId="8" fillId="1" borderId="82" xfId="0" applyFont="1" applyFill="1" applyBorder="1" applyAlignment="1">
      <alignment horizontal="left" vertical="center"/>
    </xf>
    <xf numFmtId="0" fontId="8" fillId="1" borderId="78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/>
    </xf>
    <xf numFmtId="0" fontId="2" fillId="24" borderId="54" xfId="0" applyFont="1" applyFill="1" applyBorder="1" applyAlignment="1">
      <alignment horizontal="center" vertical="center" wrapText="1"/>
    </xf>
    <xf numFmtId="0" fontId="2" fillId="24" borderId="61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top"/>
    </xf>
    <xf numFmtId="0" fontId="2" fillId="0" borderId="86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vertical="center"/>
    </xf>
    <xf numFmtId="0" fontId="2" fillId="1" borderId="15" xfId="0" applyFont="1" applyFill="1" applyBorder="1" applyAlignment="1">
      <alignment horizontal="left" vertical="center"/>
    </xf>
    <xf numFmtId="0" fontId="2" fillId="1" borderId="30" xfId="0" applyFont="1" applyFill="1" applyBorder="1" applyAlignment="1">
      <alignment horizontal="left" vertical="center"/>
    </xf>
    <xf numFmtId="0" fontId="2" fillId="1" borderId="12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2" fillId="24" borderId="56" xfId="0" applyFont="1" applyFill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2" fillId="24" borderId="16" xfId="0" applyFont="1" applyFill="1" applyBorder="1" applyAlignment="1">
      <alignment horizontal="left" vertical="center"/>
    </xf>
    <xf numFmtId="0" fontId="2" fillId="24" borderId="13" xfId="0" applyFont="1" applyFill="1" applyBorder="1" applyAlignment="1">
      <alignment horizontal="left" vertical="center"/>
    </xf>
    <xf numFmtId="0" fontId="2" fillId="24" borderId="24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3" fontId="2" fillId="0" borderId="11" xfId="0" applyNumberFormat="1" applyFont="1" applyFill="1" applyBorder="1" applyAlignment="1">
      <alignment horizontal="left" vertical="center"/>
    </xf>
    <xf numFmtId="3" fontId="2" fillId="0" borderId="16" xfId="0" applyNumberFormat="1" applyFont="1" applyFill="1" applyBorder="1" applyAlignment="1">
      <alignment horizontal="center" vertical="top"/>
    </xf>
    <xf numFmtId="3" fontId="2" fillId="0" borderId="14" xfId="0" applyNumberFormat="1" applyFont="1" applyFill="1" applyBorder="1" applyAlignment="1">
      <alignment horizontal="center" vertical="top"/>
    </xf>
    <xf numFmtId="0" fontId="2" fillId="24" borderId="2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 wrapText="1"/>
    </xf>
    <xf numFmtId="0" fontId="0" fillId="0" borderId="36" xfId="0" applyBorder="1"/>
    <xf numFmtId="0" fontId="3" fillId="0" borderId="54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center" vertical="center"/>
    </xf>
    <xf numFmtId="0" fontId="2" fillId="24" borderId="88" xfId="0" applyFont="1" applyFill="1" applyBorder="1" applyAlignment="1">
      <alignment horizontal="center" vertical="center" wrapText="1"/>
    </xf>
    <xf numFmtId="0" fontId="2" fillId="24" borderId="89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40" xfId="0" applyFont="1" applyFill="1" applyBorder="1" applyAlignment="1">
      <alignment horizontal="center" vertical="center" wrapText="1"/>
    </xf>
    <xf numFmtId="0" fontId="2" fillId="24" borderId="60" xfId="0" applyFont="1" applyFill="1" applyBorder="1" applyAlignment="1">
      <alignment horizontal="center" vertical="center" wrapText="1"/>
    </xf>
    <xf numFmtId="0" fontId="2" fillId="24" borderId="16" xfId="0" applyFont="1" applyFill="1" applyBorder="1" applyAlignment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17"/>
  </sheetPr>
  <dimension ref="A1:O51"/>
  <sheetViews>
    <sheetView topLeftCell="E19" zoomScaleNormal="100" workbookViewId="0">
      <selection activeCell="I51" sqref="I51"/>
    </sheetView>
  </sheetViews>
  <sheetFormatPr defaultRowHeight="12.75"/>
  <cols>
    <col min="1" max="1" width="3.7109375" customWidth="1"/>
    <col min="2" max="2" width="3.140625" customWidth="1"/>
    <col min="3" max="3" width="54.5703125" bestFit="1" customWidth="1"/>
    <col min="4" max="4" width="13.7109375" style="179" bestFit="1" customWidth="1"/>
    <col min="5" max="5" width="14.140625" style="179" customWidth="1"/>
    <col min="6" max="7" width="12.42578125" style="179" customWidth="1"/>
    <col min="8" max="8" width="14.7109375" style="179" bestFit="1" customWidth="1"/>
    <col min="9" max="9" width="14.140625" style="179" customWidth="1"/>
    <col min="10" max="11" width="14.5703125" style="179" customWidth="1"/>
    <col min="12" max="12" width="13.7109375" style="179" bestFit="1" customWidth="1"/>
    <col min="13" max="14" width="14.140625" style="179" customWidth="1"/>
    <col min="15" max="15" width="12.42578125" style="179" bestFit="1" customWidth="1"/>
  </cols>
  <sheetData>
    <row r="1" spans="1:15" ht="21.75" customHeight="1">
      <c r="A1" s="381" t="s">
        <v>355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ht="28.5" customHeight="1">
      <c r="A2" s="382" t="s">
        <v>119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</row>
    <row r="3" spans="1:15" ht="36.75" customHeight="1">
      <c r="A3" s="383" t="s">
        <v>49</v>
      </c>
      <c r="B3" s="384"/>
      <c r="C3" s="385"/>
      <c r="D3" s="368" t="s">
        <v>347</v>
      </c>
      <c r="E3" s="369"/>
      <c r="F3" s="369"/>
      <c r="G3" s="370"/>
      <c r="H3" s="371" t="s">
        <v>351</v>
      </c>
      <c r="I3" s="369"/>
      <c r="J3" s="369"/>
      <c r="K3" s="370"/>
      <c r="L3" s="371" t="s">
        <v>353</v>
      </c>
      <c r="M3" s="369"/>
      <c r="N3" s="369"/>
      <c r="O3" s="370"/>
    </row>
    <row r="4" spans="1:15" ht="21.75" customHeight="1">
      <c r="A4" s="386"/>
      <c r="B4" s="387"/>
      <c r="C4" s="388"/>
      <c r="D4" s="218" t="s">
        <v>348</v>
      </c>
      <c r="E4" s="218" t="s">
        <v>349</v>
      </c>
      <c r="F4" s="218" t="s">
        <v>350</v>
      </c>
      <c r="G4" s="286" t="s">
        <v>332</v>
      </c>
      <c r="H4" s="292" t="s">
        <v>352</v>
      </c>
      <c r="I4" s="218" t="s">
        <v>349</v>
      </c>
      <c r="J4" s="218" t="s">
        <v>331</v>
      </c>
      <c r="K4" s="286" t="s">
        <v>332</v>
      </c>
      <c r="L4" s="292" t="s">
        <v>352</v>
      </c>
      <c r="M4" s="218" t="s">
        <v>349</v>
      </c>
      <c r="N4" s="218" t="s">
        <v>350</v>
      </c>
      <c r="O4" s="293" t="s">
        <v>332</v>
      </c>
    </row>
    <row r="5" spans="1:15" ht="17.25" customHeight="1">
      <c r="A5" s="367" t="s">
        <v>50</v>
      </c>
      <c r="B5" s="189"/>
      <c r="C5" s="186" t="s">
        <v>248</v>
      </c>
      <c r="D5" s="187">
        <v>72427706</v>
      </c>
      <c r="E5" s="187">
        <f>F5-D5</f>
        <v>0</v>
      </c>
      <c r="F5" s="187">
        <v>72427706</v>
      </c>
      <c r="G5" s="287">
        <v>37731839</v>
      </c>
      <c r="H5" s="294">
        <v>0</v>
      </c>
      <c r="I5" s="187">
        <f>J5-H5</f>
        <v>0</v>
      </c>
      <c r="J5" s="187"/>
      <c r="K5" s="287"/>
      <c r="L5" s="294">
        <f>D5+H5</f>
        <v>72427706</v>
      </c>
      <c r="M5" s="187">
        <f>N5-L5</f>
        <v>0</v>
      </c>
      <c r="N5" s="187">
        <f t="shared" ref="N5:N26" si="0">F5+J5</f>
        <v>72427706</v>
      </c>
      <c r="O5" s="295">
        <f>SUM(G5:K5)</f>
        <v>37731839</v>
      </c>
    </row>
    <row r="6" spans="1:15" ht="25.5">
      <c r="A6" s="367"/>
      <c r="B6" s="189"/>
      <c r="C6" s="186" t="s">
        <v>249</v>
      </c>
      <c r="D6" s="187">
        <v>134043680</v>
      </c>
      <c r="E6" s="187">
        <f t="shared" ref="E6:E13" si="1">F6-D6</f>
        <v>2202000</v>
      </c>
      <c r="F6" s="187">
        <v>136245680</v>
      </c>
      <c r="G6" s="287">
        <v>69964927</v>
      </c>
      <c r="H6" s="294">
        <v>0</v>
      </c>
      <c r="I6" s="187">
        <f t="shared" ref="I6:I13" si="2">J6-H6</f>
        <v>0</v>
      </c>
      <c r="J6" s="187"/>
      <c r="K6" s="287"/>
      <c r="L6" s="294">
        <f t="shared" ref="L6:L13" si="3">D6+H6</f>
        <v>134043680</v>
      </c>
      <c r="M6" s="187">
        <f t="shared" ref="M6:M13" si="4">N6-L6</f>
        <v>2202000</v>
      </c>
      <c r="N6" s="187">
        <f t="shared" si="0"/>
        <v>136245680</v>
      </c>
      <c r="O6" s="295">
        <f>SUM(G6:K6)</f>
        <v>69964927</v>
      </c>
    </row>
    <row r="7" spans="1:15" ht="25.5">
      <c r="A7" s="367"/>
      <c r="B7" s="189"/>
      <c r="C7" s="186" t="s">
        <v>250</v>
      </c>
      <c r="D7" s="187">
        <v>45266701</v>
      </c>
      <c r="E7" s="187">
        <f t="shared" si="1"/>
        <v>1740317</v>
      </c>
      <c r="F7" s="187">
        <v>47007018</v>
      </c>
      <c r="G7" s="287">
        <v>25279001</v>
      </c>
      <c r="H7" s="294">
        <v>0</v>
      </c>
      <c r="I7" s="187">
        <f t="shared" si="2"/>
        <v>0</v>
      </c>
      <c r="J7" s="187"/>
      <c r="K7" s="287"/>
      <c r="L7" s="294">
        <f t="shared" si="3"/>
        <v>45266701</v>
      </c>
      <c r="M7" s="187">
        <f t="shared" si="4"/>
        <v>1740317</v>
      </c>
      <c r="N7" s="187">
        <f t="shared" si="0"/>
        <v>47007018</v>
      </c>
      <c r="O7" s="295">
        <f>SUM(G7:K7)</f>
        <v>25279001</v>
      </c>
    </row>
    <row r="8" spans="1:15" ht="14.25" customHeight="1">
      <c r="A8" s="367"/>
      <c r="B8" s="189"/>
      <c r="C8" s="186" t="s">
        <v>251</v>
      </c>
      <c r="D8" s="187">
        <v>3726660</v>
      </c>
      <c r="E8" s="187">
        <f t="shared" si="1"/>
        <v>0</v>
      </c>
      <c r="F8" s="187">
        <v>3726660</v>
      </c>
      <c r="G8" s="287">
        <v>1937864</v>
      </c>
      <c r="H8" s="294">
        <v>0</v>
      </c>
      <c r="I8" s="187">
        <f t="shared" si="2"/>
        <v>0</v>
      </c>
      <c r="J8" s="187"/>
      <c r="K8" s="287"/>
      <c r="L8" s="294">
        <f t="shared" si="3"/>
        <v>3726660</v>
      </c>
      <c r="M8" s="187">
        <f t="shared" si="4"/>
        <v>0</v>
      </c>
      <c r="N8" s="187">
        <f t="shared" si="0"/>
        <v>3726660</v>
      </c>
      <c r="O8" s="295">
        <f>SUM(G8:K8)</f>
        <v>1937864</v>
      </c>
    </row>
    <row r="9" spans="1:15" ht="14.25" customHeight="1">
      <c r="A9" s="367"/>
      <c r="B9" s="189"/>
      <c r="C9" s="186" t="s">
        <v>339</v>
      </c>
      <c r="D9" s="187">
        <v>0</v>
      </c>
      <c r="E9" s="187">
        <f t="shared" si="1"/>
        <v>2288371</v>
      </c>
      <c r="F9" s="187">
        <v>2288371</v>
      </c>
      <c r="G9" s="287">
        <v>2288371</v>
      </c>
      <c r="H9" s="294"/>
      <c r="I9" s="187"/>
      <c r="J9" s="187"/>
      <c r="K9" s="287"/>
      <c r="L9" s="294"/>
      <c r="M9" s="187">
        <f t="shared" si="4"/>
        <v>2288371</v>
      </c>
      <c r="N9" s="187">
        <f t="shared" si="0"/>
        <v>2288371</v>
      </c>
      <c r="O9" s="295"/>
    </row>
    <row r="10" spans="1:15" ht="18" customHeight="1">
      <c r="A10" s="367"/>
      <c r="B10" s="375" t="s">
        <v>252</v>
      </c>
      <c r="C10" s="375"/>
      <c r="D10" s="195">
        <f>SUM(D5:D9)</f>
        <v>255464747</v>
      </c>
      <c r="E10" s="195">
        <f>SUM(E5:E9)</f>
        <v>6230688</v>
      </c>
      <c r="F10" s="195">
        <f t="shared" ref="F10:K10" si="5">SUM(F5:F9)</f>
        <v>261695435</v>
      </c>
      <c r="G10" s="288">
        <f t="shared" si="5"/>
        <v>137202002</v>
      </c>
      <c r="H10" s="297">
        <f t="shared" si="5"/>
        <v>0</v>
      </c>
      <c r="I10" s="195">
        <f t="shared" si="5"/>
        <v>0</v>
      </c>
      <c r="J10" s="195">
        <f t="shared" si="5"/>
        <v>0</v>
      </c>
      <c r="K10" s="288">
        <f t="shared" si="5"/>
        <v>0</v>
      </c>
      <c r="L10" s="297">
        <f>D10+H10</f>
        <v>255464747</v>
      </c>
      <c r="M10" s="187">
        <f t="shared" si="4"/>
        <v>6230688</v>
      </c>
      <c r="N10" s="195">
        <f t="shared" si="0"/>
        <v>261695435</v>
      </c>
      <c r="O10" s="296">
        <f t="shared" ref="O10:O15" si="6">SUM(G10:K10)</f>
        <v>137202002</v>
      </c>
    </row>
    <row r="11" spans="1:15">
      <c r="A11" s="367"/>
      <c r="B11" s="190"/>
      <c r="C11" s="183" t="s">
        <v>266</v>
      </c>
      <c r="D11" s="191">
        <v>12179400</v>
      </c>
      <c r="E11" s="187">
        <f t="shared" si="1"/>
        <v>0</v>
      </c>
      <c r="F11" s="191">
        <v>12179400</v>
      </c>
      <c r="G11" s="305">
        <v>6088000</v>
      </c>
      <c r="H11" s="307">
        <v>0</v>
      </c>
      <c r="I11" s="187">
        <f t="shared" si="2"/>
        <v>0</v>
      </c>
      <c r="J11" s="191"/>
      <c r="K11" s="305"/>
      <c r="L11" s="294">
        <f t="shared" si="3"/>
        <v>12179400</v>
      </c>
      <c r="M11" s="187">
        <f t="shared" si="4"/>
        <v>0</v>
      </c>
      <c r="N11" s="187">
        <f t="shared" si="0"/>
        <v>12179400</v>
      </c>
      <c r="O11" s="295">
        <f t="shared" si="6"/>
        <v>6088000</v>
      </c>
    </row>
    <row r="12" spans="1:15">
      <c r="A12" s="367"/>
      <c r="B12" s="190"/>
      <c r="C12" s="183" t="s">
        <v>267</v>
      </c>
      <c r="D12" s="191">
        <v>13985716</v>
      </c>
      <c r="E12" s="187">
        <f t="shared" si="1"/>
        <v>0</v>
      </c>
      <c r="F12" s="191">
        <v>13985716</v>
      </c>
      <c r="G12" s="305">
        <v>3666051</v>
      </c>
      <c r="H12" s="307">
        <v>0</v>
      </c>
      <c r="I12" s="187">
        <f t="shared" si="2"/>
        <v>0</v>
      </c>
      <c r="J12" s="191"/>
      <c r="K12" s="305"/>
      <c r="L12" s="294">
        <f t="shared" si="3"/>
        <v>13985716</v>
      </c>
      <c r="M12" s="187">
        <f t="shared" si="4"/>
        <v>0</v>
      </c>
      <c r="N12" s="187">
        <f t="shared" si="0"/>
        <v>13985716</v>
      </c>
      <c r="O12" s="295">
        <f t="shared" si="6"/>
        <v>3666051</v>
      </c>
    </row>
    <row r="13" spans="1:15">
      <c r="A13" s="367"/>
      <c r="B13" s="190"/>
      <c r="C13" s="183" t="s">
        <v>268</v>
      </c>
      <c r="D13" s="191">
        <v>6508181</v>
      </c>
      <c r="E13" s="187">
        <f t="shared" si="1"/>
        <v>188100</v>
      </c>
      <c r="F13" s="191">
        <v>6696281</v>
      </c>
      <c r="G13" s="305">
        <v>1130649</v>
      </c>
      <c r="H13" s="307">
        <v>0</v>
      </c>
      <c r="I13" s="187">
        <f t="shared" si="2"/>
        <v>0</v>
      </c>
      <c r="J13" s="191"/>
      <c r="K13" s="305"/>
      <c r="L13" s="294">
        <f t="shared" si="3"/>
        <v>6508181</v>
      </c>
      <c r="M13" s="187">
        <f t="shared" si="4"/>
        <v>188100</v>
      </c>
      <c r="N13" s="187">
        <f t="shared" si="0"/>
        <v>6696281</v>
      </c>
      <c r="O13" s="295">
        <f t="shared" si="6"/>
        <v>1130649</v>
      </c>
    </row>
    <row r="14" spans="1:15">
      <c r="A14" s="367"/>
      <c r="B14" s="190"/>
      <c r="C14" s="282" t="s">
        <v>340</v>
      </c>
      <c r="D14" s="191"/>
      <c r="E14" s="187">
        <f>F14-D14</f>
        <v>182024</v>
      </c>
      <c r="F14" s="191">
        <v>182024</v>
      </c>
      <c r="G14" s="305">
        <v>182024</v>
      </c>
      <c r="H14" s="307">
        <v>0</v>
      </c>
      <c r="I14" s="187">
        <f>J14-H14</f>
        <v>0</v>
      </c>
      <c r="J14" s="191"/>
      <c r="K14" s="305"/>
      <c r="L14" s="294">
        <f>D14+H14</f>
        <v>0</v>
      </c>
      <c r="M14" s="187">
        <f>N14-L14</f>
        <v>182024</v>
      </c>
      <c r="N14" s="187">
        <f t="shared" si="0"/>
        <v>182024</v>
      </c>
      <c r="O14" s="295">
        <f t="shared" si="6"/>
        <v>182024</v>
      </c>
    </row>
    <row r="15" spans="1:15" ht="25.5">
      <c r="A15" s="367"/>
      <c r="B15" s="190"/>
      <c r="C15" s="283" t="s">
        <v>341</v>
      </c>
      <c r="D15" s="191"/>
      <c r="E15" s="187">
        <f>F15-D15</f>
        <v>131670</v>
      </c>
      <c r="F15" s="191">
        <v>131670</v>
      </c>
      <c r="G15" s="305">
        <v>131670</v>
      </c>
      <c r="H15" s="307">
        <v>0</v>
      </c>
      <c r="I15" s="187">
        <f>J15-H15</f>
        <v>0</v>
      </c>
      <c r="J15" s="191"/>
      <c r="K15" s="305"/>
      <c r="L15" s="294">
        <f>D15+H15</f>
        <v>0</v>
      </c>
      <c r="M15" s="187">
        <f>N15-L15</f>
        <v>131670</v>
      </c>
      <c r="N15" s="187">
        <f t="shared" si="0"/>
        <v>131670</v>
      </c>
      <c r="O15" s="295">
        <f t="shared" si="6"/>
        <v>131670</v>
      </c>
    </row>
    <row r="16" spans="1:15" s="180" customFormat="1" ht="18.75" customHeight="1">
      <c r="A16" s="367"/>
      <c r="B16" s="375" t="s">
        <v>269</v>
      </c>
      <c r="C16" s="375"/>
      <c r="D16" s="195">
        <f>SUM(D11:D15)</f>
        <v>32673297</v>
      </c>
      <c r="E16" s="195">
        <f t="shared" ref="E16:O16" si="7">SUM(E11:E15)</f>
        <v>501794</v>
      </c>
      <c r="F16" s="195">
        <f t="shared" si="7"/>
        <v>33175091</v>
      </c>
      <c r="G16" s="288">
        <f t="shared" si="7"/>
        <v>11198394</v>
      </c>
      <c r="H16" s="297">
        <f t="shared" si="7"/>
        <v>0</v>
      </c>
      <c r="I16" s="195">
        <f t="shared" si="7"/>
        <v>0</v>
      </c>
      <c r="J16" s="195">
        <f t="shared" si="7"/>
        <v>0</v>
      </c>
      <c r="K16" s="288">
        <f t="shared" si="7"/>
        <v>0</v>
      </c>
      <c r="L16" s="297">
        <f t="shared" si="7"/>
        <v>32673297</v>
      </c>
      <c r="M16" s="195">
        <f t="shared" si="7"/>
        <v>501794</v>
      </c>
      <c r="N16" s="195">
        <f t="shared" si="0"/>
        <v>33175091</v>
      </c>
      <c r="O16" s="296">
        <f t="shared" si="7"/>
        <v>11198394</v>
      </c>
    </row>
    <row r="17" spans="1:15" s="184" customFormat="1" ht="22.5" customHeight="1">
      <c r="A17" s="367"/>
      <c r="B17" s="373" t="s">
        <v>270</v>
      </c>
      <c r="C17" s="373"/>
      <c r="D17" s="194">
        <f>D10+D16</f>
        <v>288138044</v>
      </c>
      <c r="E17" s="194">
        <f t="shared" ref="E17:E27" si="8">F17-D17</f>
        <v>6732482</v>
      </c>
      <c r="F17" s="194">
        <f>F10+F16</f>
        <v>294870526</v>
      </c>
      <c r="G17" s="289">
        <f>G10+G16</f>
        <v>148400396</v>
      </c>
      <c r="H17" s="298">
        <f>H10+H16</f>
        <v>0</v>
      </c>
      <c r="I17" s="194">
        <f t="shared" ref="I17:I27" si="9">J17-H17</f>
        <v>0</v>
      </c>
      <c r="J17" s="194"/>
      <c r="K17" s="289"/>
      <c r="L17" s="298">
        <f t="shared" ref="L17:L27" si="10">D17+H17</f>
        <v>288138044</v>
      </c>
      <c r="M17" s="194">
        <f t="shared" ref="M17:M27" si="11">N17-L17</f>
        <v>6732482</v>
      </c>
      <c r="N17" s="194">
        <f t="shared" si="0"/>
        <v>294870526</v>
      </c>
      <c r="O17" s="299">
        <f>O10+O16</f>
        <v>148400396</v>
      </c>
    </row>
    <row r="18" spans="1:15">
      <c r="A18" s="280"/>
      <c r="B18" s="190"/>
      <c r="C18" s="282" t="s">
        <v>342</v>
      </c>
      <c r="D18" s="191"/>
      <c r="E18" s="187">
        <f t="shared" si="8"/>
        <v>128079004</v>
      </c>
      <c r="F18" s="191">
        <v>128079004</v>
      </c>
      <c r="G18" s="305">
        <v>128079004</v>
      </c>
      <c r="H18" s="307">
        <v>0</v>
      </c>
      <c r="I18" s="187">
        <f t="shared" si="9"/>
        <v>0</v>
      </c>
      <c r="J18" s="191"/>
      <c r="K18" s="305"/>
      <c r="L18" s="294">
        <f t="shared" si="10"/>
        <v>0</v>
      </c>
      <c r="M18" s="187">
        <f t="shared" si="11"/>
        <v>128079004</v>
      </c>
      <c r="N18" s="187">
        <f t="shared" si="0"/>
        <v>128079004</v>
      </c>
      <c r="O18" s="295">
        <f>G18+K18</f>
        <v>128079004</v>
      </c>
    </row>
    <row r="19" spans="1:15" s="184" customFormat="1" ht="22.5" customHeight="1">
      <c r="A19" s="280"/>
      <c r="B19" s="372" t="s">
        <v>343</v>
      </c>
      <c r="C19" s="373"/>
      <c r="D19" s="194">
        <f>D18</f>
        <v>0</v>
      </c>
      <c r="E19" s="194">
        <f>F19-D19</f>
        <v>128079004</v>
      </c>
      <c r="F19" s="194">
        <f>F18</f>
        <v>128079004</v>
      </c>
      <c r="G19" s="289">
        <f>G18</f>
        <v>128079004</v>
      </c>
      <c r="H19" s="298">
        <f>H12+H18</f>
        <v>0</v>
      </c>
      <c r="I19" s="194">
        <f>J19-H19</f>
        <v>0</v>
      </c>
      <c r="J19" s="194"/>
      <c r="K19" s="289"/>
      <c r="L19" s="298">
        <f>D19+H19</f>
        <v>0</v>
      </c>
      <c r="M19" s="194">
        <f>N19-L19</f>
        <v>128079004</v>
      </c>
      <c r="N19" s="194">
        <f t="shared" si="0"/>
        <v>128079004</v>
      </c>
      <c r="O19" s="299">
        <f>O18</f>
        <v>128079004</v>
      </c>
    </row>
    <row r="20" spans="1:15" s="180" customFormat="1">
      <c r="A20" s="280"/>
      <c r="B20" s="374" t="s">
        <v>344</v>
      </c>
      <c r="C20" s="375"/>
      <c r="D20" s="195"/>
      <c r="E20" s="195">
        <f>F20-D20</f>
        <v>35158</v>
      </c>
      <c r="F20" s="195">
        <v>35158</v>
      </c>
      <c r="G20" s="288">
        <v>35158</v>
      </c>
      <c r="H20" s="297">
        <v>0</v>
      </c>
      <c r="I20" s="195">
        <f>J20-H20</f>
        <v>0</v>
      </c>
      <c r="J20" s="195"/>
      <c r="K20" s="288"/>
      <c r="L20" s="297">
        <f>D20+H20</f>
        <v>0</v>
      </c>
      <c r="M20" s="195">
        <f>N20-L20</f>
        <v>35158</v>
      </c>
      <c r="N20" s="195">
        <f t="shared" si="0"/>
        <v>35158</v>
      </c>
      <c r="O20" s="296">
        <f>SUM(G20:K20)</f>
        <v>35158</v>
      </c>
    </row>
    <row r="21" spans="1:15" s="180" customFormat="1">
      <c r="A21" s="367" t="s">
        <v>51</v>
      </c>
      <c r="B21" s="375" t="s">
        <v>253</v>
      </c>
      <c r="C21" s="375"/>
      <c r="D21" s="195">
        <v>6400000</v>
      </c>
      <c r="E21" s="195">
        <f t="shared" si="8"/>
        <v>663470</v>
      </c>
      <c r="F21" s="195">
        <v>7063470</v>
      </c>
      <c r="G21" s="288">
        <v>3230764</v>
      </c>
      <c r="H21" s="297">
        <v>0</v>
      </c>
      <c r="I21" s="195">
        <f t="shared" si="9"/>
        <v>0</v>
      </c>
      <c r="J21" s="195"/>
      <c r="K21" s="288"/>
      <c r="L21" s="297">
        <f t="shared" si="10"/>
        <v>6400000</v>
      </c>
      <c r="M21" s="195">
        <f t="shared" si="11"/>
        <v>663470</v>
      </c>
      <c r="N21" s="195">
        <f t="shared" si="0"/>
        <v>7063470</v>
      </c>
      <c r="O21" s="296">
        <f>SUM(G21:K21)</f>
        <v>3230764</v>
      </c>
    </row>
    <row r="22" spans="1:15">
      <c r="A22" s="367"/>
      <c r="B22" s="189" t="s">
        <v>50</v>
      </c>
      <c r="C22" s="186" t="s">
        <v>245</v>
      </c>
      <c r="D22" s="187">
        <v>130291000</v>
      </c>
      <c r="E22" s="187">
        <f t="shared" si="8"/>
        <v>0</v>
      </c>
      <c r="F22" s="187">
        <v>130291000</v>
      </c>
      <c r="G22" s="287">
        <v>62400893</v>
      </c>
      <c r="H22" s="294">
        <v>0</v>
      </c>
      <c r="I22" s="187">
        <f t="shared" si="9"/>
        <v>0</v>
      </c>
      <c r="J22" s="187"/>
      <c r="K22" s="287"/>
      <c r="L22" s="294">
        <f t="shared" si="10"/>
        <v>130291000</v>
      </c>
      <c r="M22" s="187">
        <f t="shared" si="11"/>
        <v>0</v>
      </c>
      <c r="N22" s="187">
        <f t="shared" si="0"/>
        <v>130291000</v>
      </c>
      <c r="O22" s="295">
        <f>SUM(G22:K22)</f>
        <v>62400893</v>
      </c>
    </row>
    <row r="23" spans="1:15">
      <c r="A23" s="367"/>
      <c r="B23" s="189" t="s">
        <v>51</v>
      </c>
      <c r="C23" s="186" t="s">
        <v>254</v>
      </c>
      <c r="D23" s="187">
        <v>12000000</v>
      </c>
      <c r="E23" s="187">
        <f t="shared" si="8"/>
        <v>13859738</v>
      </c>
      <c r="F23" s="187">
        <v>25859738</v>
      </c>
      <c r="G23" s="287">
        <v>7640389</v>
      </c>
      <c r="H23" s="294">
        <v>0</v>
      </c>
      <c r="I23" s="187">
        <f t="shared" si="9"/>
        <v>0</v>
      </c>
      <c r="J23" s="187"/>
      <c r="K23" s="287"/>
      <c r="L23" s="294">
        <f t="shared" si="10"/>
        <v>12000000</v>
      </c>
      <c r="M23" s="187">
        <f t="shared" si="11"/>
        <v>13859738</v>
      </c>
      <c r="N23" s="187">
        <f t="shared" si="0"/>
        <v>25859738</v>
      </c>
      <c r="O23" s="295">
        <f>SUM(G23:K23)</f>
        <v>7640389</v>
      </c>
    </row>
    <row r="24" spans="1:15">
      <c r="A24" s="367"/>
      <c r="B24" s="189" t="s">
        <v>52</v>
      </c>
      <c r="C24" s="186" t="s">
        <v>246</v>
      </c>
      <c r="D24" s="187">
        <v>450000</v>
      </c>
      <c r="E24" s="187">
        <f t="shared" si="8"/>
        <v>0</v>
      </c>
      <c r="F24" s="187">
        <v>450000</v>
      </c>
      <c r="G24" s="287">
        <v>224000</v>
      </c>
      <c r="H24" s="294">
        <v>0</v>
      </c>
      <c r="I24" s="187">
        <f t="shared" si="9"/>
        <v>0</v>
      </c>
      <c r="J24" s="187"/>
      <c r="K24" s="287"/>
      <c r="L24" s="294">
        <f t="shared" si="10"/>
        <v>450000</v>
      </c>
      <c r="M24" s="187">
        <f t="shared" si="11"/>
        <v>0</v>
      </c>
      <c r="N24" s="187">
        <f t="shared" si="0"/>
        <v>450000</v>
      </c>
      <c r="O24" s="295">
        <f>SUM(G24:K24)</f>
        <v>224000</v>
      </c>
    </row>
    <row r="25" spans="1:15" ht="17.25" customHeight="1">
      <c r="A25" s="367"/>
      <c r="B25" s="375" t="s">
        <v>300</v>
      </c>
      <c r="C25" s="375"/>
      <c r="D25" s="195">
        <f>SUM(D22:D24)</f>
        <v>142741000</v>
      </c>
      <c r="E25" s="195">
        <f t="shared" si="8"/>
        <v>13859738</v>
      </c>
      <c r="F25" s="195">
        <v>156600738</v>
      </c>
      <c r="G25" s="288">
        <v>70265282</v>
      </c>
      <c r="H25" s="297">
        <f>SUM(H22:H24)</f>
        <v>0</v>
      </c>
      <c r="I25" s="195">
        <f t="shared" si="9"/>
        <v>0</v>
      </c>
      <c r="J25" s="195"/>
      <c r="K25" s="288"/>
      <c r="L25" s="297">
        <f t="shared" si="10"/>
        <v>142741000</v>
      </c>
      <c r="M25" s="195">
        <f t="shared" si="11"/>
        <v>13859738</v>
      </c>
      <c r="N25" s="195">
        <f t="shared" si="0"/>
        <v>156600738</v>
      </c>
      <c r="O25" s="296">
        <f>SUM(O22:O24)</f>
        <v>70265282</v>
      </c>
    </row>
    <row r="26" spans="1:15" s="180" customFormat="1" ht="18.75" customHeight="1">
      <c r="A26" s="367"/>
      <c r="B26" s="375" t="s">
        <v>247</v>
      </c>
      <c r="C26" s="375"/>
      <c r="D26" s="195">
        <v>80000</v>
      </c>
      <c r="E26" s="195">
        <f t="shared" si="8"/>
        <v>1331098</v>
      </c>
      <c r="F26" s="195">
        <v>1411098</v>
      </c>
      <c r="G26" s="288">
        <v>200985</v>
      </c>
      <c r="H26" s="297">
        <v>0</v>
      </c>
      <c r="I26" s="195">
        <f t="shared" si="9"/>
        <v>0</v>
      </c>
      <c r="J26" s="195"/>
      <c r="K26" s="288"/>
      <c r="L26" s="297">
        <f t="shared" si="10"/>
        <v>80000</v>
      </c>
      <c r="M26" s="195">
        <f t="shared" si="11"/>
        <v>1331098</v>
      </c>
      <c r="N26" s="195">
        <f t="shared" si="0"/>
        <v>1411098</v>
      </c>
      <c r="O26" s="296">
        <f>SUM(G26:K26)</f>
        <v>200985</v>
      </c>
    </row>
    <row r="27" spans="1:15" s="184" customFormat="1" ht="18" customHeight="1">
      <c r="A27" s="367"/>
      <c r="B27" s="373" t="s">
        <v>255</v>
      </c>
      <c r="C27" s="373"/>
      <c r="D27" s="194">
        <f>D21+D25+D26+D20</f>
        <v>149221000</v>
      </c>
      <c r="E27" s="194">
        <f t="shared" si="8"/>
        <v>15889464</v>
      </c>
      <c r="F27" s="194">
        <f>F21+F25+F26+F20</f>
        <v>165110464</v>
      </c>
      <c r="G27" s="289">
        <f>G21+G25+G26+G20</f>
        <v>73732189</v>
      </c>
      <c r="H27" s="298">
        <f>H21+H25+H26</f>
        <v>0</v>
      </c>
      <c r="I27" s="194">
        <f t="shared" si="9"/>
        <v>0</v>
      </c>
      <c r="J27" s="194"/>
      <c r="K27" s="289"/>
      <c r="L27" s="298">
        <f t="shared" si="10"/>
        <v>149221000</v>
      </c>
      <c r="M27" s="194">
        <f t="shared" si="11"/>
        <v>15889464</v>
      </c>
      <c r="N27" s="194">
        <f>N21+N25+N26+N20</f>
        <v>165110464</v>
      </c>
      <c r="O27" s="299">
        <f>O21+O25+O26+O20</f>
        <v>73732189</v>
      </c>
    </row>
    <row r="28" spans="1:15">
      <c r="A28" s="367" t="s">
        <v>52</v>
      </c>
      <c r="B28" s="192"/>
      <c r="C28" s="186" t="s">
        <v>257</v>
      </c>
      <c r="D28" s="187">
        <v>3775500</v>
      </c>
      <c r="E28" s="187">
        <f t="shared" ref="E28:E39" si="12">F28-D28</f>
        <v>0</v>
      </c>
      <c r="F28" s="187">
        <v>3775500</v>
      </c>
      <c r="G28" s="287">
        <v>2829822</v>
      </c>
      <c r="H28" s="294">
        <v>0</v>
      </c>
      <c r="I28" s="187">
        <f t="shared" ref="I28:I39" si="13">J28-H28</f>
        <v>0</v>
      </c>
      <c r="J28" s="187"/>
      <c r="K28" s="287"/>
      <c r="L28" s="294">
        <f t="shared" ref="L28:L39" si="14">D28+H28</f>
        <v>3775500</v>
      </c>
      <c r="M28" s="187">
        <f t="shared" ref="M28:M39" si="15">N28-L28</f>
        <v>0</v>
      </c>
      <c r="N28" s="187">
        <f t="shared" ref="N28:N39" si="16">F28+J28</f>
        <v>3775500</v>
      </c>
      <c r="O28" s="295">
        <f>G28+K28</f>
        <v>2829822</v>
      </c>
    </row>
    <row r="29" spans="1:15">
      <c r="A29" s="367"/>
      <c r="B29" s="192"/>
      <c r="C29" s="186" t="s">
        <v>258</v>
      </c>
      <c r="D29" s="187">
        <v>224778</v>
      </c>
      <c r="E29" s="187">
        <f t="shared" si="12"/>
        <v>0</v>
      </c>
      <c r="F29" s="187">
        <v>224778</v>
      </c>
      <c r="G29" s="287">
        <v>107404</v>
      </c>
      <c r="H29" s="294">
        <v>2200000</v>
      </c>
      <c r="I29" s="187">
        <f t="shared" si="13"/>
        <v>0</v>
      </c>
      <c r="J29" s="187">
        <v>2200000</v>
      </c>
      <c r="K29" s="287">
        <v>1186656</v>
      </c>
      <c r="L29" s="294">
        <f t="shared" si="14"/>
        <v>2424778</v>
      </c>
      <c r="M29" s="187">
        <f t="shared" si="15"/>
        <v>0</v>
      </c>
      <c r="N29" s="187">
        <f t="shared" si="16"/>
        <v>2424778</v>
      </c>
      <c r="O29" s="295">
        <f t="shared" ref="O29:O37" si="17">G29+K29</f>
        <v>1294060</v>
      </c>
    </row>
    <row r="30" spans="1:15">
      <c r="A30" s="367"/>
      <c r="B30" s="192"/>
      <c r="C30" s="186" t="s">
        <v>259</v>
      </c>
      <c r="D30" s="187">
        <v>241672</v>
      </c>
      <c r="E30" s="187">
        <f t="shared" si="12"/>
        <v>0</v>
      </c>
      <c r="F30" s="187">
        <v>241672</v>
      </c>
      <c r="G30" s="287">
        <v>120836</v>
      </c>
      <c r="H30" s="294">
        <v>0</v>
      </c>
      <c r="I30" s="187">
        <f t="shared" si="13"/>
        <v>0</v>
      </c>
      <c r="J30" s="187"/>
      <c r="K30" s="287"/>
      <c r="L30" s="294">
        <f t="shared" si="14"/>
        <v>241672</v>
      </c>
      <c r="M30" s="187">
        <f t="shared" si="15"/>
        <v>0</v>
      </c>
      <c r="N30" s="187">
        <f t="shared" si="16"/>
        <v>241672</v>
      </c>
      <c r="O30" s="295">
        <f t="shared" si="17"/>
        <v>120836</v>
      </c>
    </row>
    <row r="31" spans="1:15">
      <c r="A31" s="367"/>
      <c r="B31" s="192"/>
      <c r="C31" s="186" t="s">
        <v>260</v>
      </c>
      <c r="D31" s="187">
        <v>6078645</v>
      </c>
      <c r="E31" s="187">
        <f t="shared" si="12"/>
        <v>0</v>
      </c>
      <c r="F31" s="187">
        <v>6078645</v>
      </c>
      <c r="G31" s="287">
        <v>4204094</v>
      </c>
      <c r="H31" s="294">
        <v>0</v>
      </c>
      <c r="I31" s="187">
        <f t="shared" si="13"/>
        <v>0</v>
      </c>
      <c r="J31" s="187"/>
      <c r="K31" s="287"/>
      <c r="L31" s="294">
        <f t="shared" si="14"/>
        <v>6078645</v>
      </c>
      <c r="M31" s="187">
        <f t="shared" si="15"/>
        <v>0</v>
      </c>
      <c r="N31" s="187">
        <f t="shared" si="16"/>
        <v>6078645</v>
      </c>
      <c r="O31" s="295">
        <f t="shared" si="17"/>
        <v>4204094</v>
      </c>
    </row>
    <row r="32" spans="1:15">
      <c r="A32" s="367"/>
      <c r="B32" s="192"/>
      <c r="C32" s="186" t="s">
        <v>261</v>
      </c>
      <c r="D32" s="187">
        <v>1989734</v>
      </c>
      <c r="E32" s="187">
        <f t="shared" si="12"/>
        <v>0</v>
      </c>
      <c r="F32" s="187">
        <v>1989734</v>
      </c>
      <c r="G32" s="287">
        <v>1197696</v>
      </c>
      <c r="H32" s="294">
        <v>0</v>
      </c>
      <c r="I32" s="187">
        <f t="shared" si="13"/>
        <v>0</v>
      </c>
      <c r="J32" s="187"/>
      <c r="K32" s="287"/>
      <c r="L32" s="294">
        <f t="shared" si="14"/>
        <v>1989734</v>
      </c>
      <c r="M32" s="187">
        <f t="shared" si="15"/>
        <v>0</v>
      </c>
      <c r="N32" s="187">
        <f t="shared" si="16"/>
        <v>1989734</v>
      </c>
      <c r="O32" s="295">
        <f t="shared" si="17"/>
        <v>1197696</v>
      </c>
    </row>
    <row r="33" spans="1:15">
      <c r="A33" s="367"/>
      <c r="B33" s="192"/>
      <c r="C33" s="186" t="s">
        <v>262</v>
      </c>
      <c r="D33" s="187">
        <v>2272000</v>
      </c>
      <c r="E33" s="187">
        <f t="shared" si="12"/>
        <v>0</v>
      </c>
      <c r="F33" s="187">
        <v>2272000</v>
      </c>
      <c r="G33" s="287">
        <v>603930</v>
      </c>
      <c r="H33" s="294">
        <v>0</v>
      </c>
      <c r="I33" s="187">
        <f t="shared" si="13"/>
        <v>0</v>
      </c>
      <c r="J33" s="187"/>
      <c r="K33" s="287"/>
      <c r="L33" s="294">
        <f t="shared" si="14"/>
        <v>2272000</v>
      </c>
      <c r="M33" s="187">
        <f t="shared" si="15"/>
        <v>0</v>
      </c>
      <c r="N33" s="187">
        <f t="shared" si="16"/>
        <v>2272000</v>
      </c>
      <c r="O33" s="295">
        <f t="shared" si="17"/>
        <v>603930</v>
      </c>
    </row>
    <row r="34" spans="1:15" s="181" customFormat="1">
      <c r="A34" s="367"/>
      <c r="B34" s="193"/>
      <c r="C34" s="186" t="s">
        <v>241</v>
      </c>
      <c r="D34" s="187">
        <v>38000</v>
      </c>
      <c r="E34" s="187">
        <f t="shared" si="12"/>
        <v>2367024</v>
      </c>
      <c r="F34" s="187">
        <v>2405024</v>
      </c>
      <c r="G34" s="287">
        <v>2405024</v>
      </c>
      <c r="H34" s="294">
        <v>0</v>
      </c>
      <c r="I34" s="187">
        <f t="shared" si="13"/>
        <v>440</v>
      </c>
      <c r="J34" s="187">
        <v>440</v>
      </c>
      <c r="K34" s="287">
        <v>440</v>
      </c>
      <c r="L34" s="294">
        <f t="shared" si="14"/>
        <v>38000</v>
      </c>
      <c r="M34" s="187">
        <f t="shared" si="15"/>
        <v>2367464</v>
      </c>
      <c r="N34" s="187">
        <f t="shared" si="16"/>
        <v>2405464</v>
      </c>
      <c r="O34" s="295">
        <f t="shared" si="17"/>
        <v>2405464</v>
      </c>
    </row>
    <row r="35" spans="1:15">
      <c r="A35" s="367"/>
      <c r="B35" s="192"/>
      <c r="C35" s="186" t="s">
        <v>263</v>
      </c>
      <c r="D35" s="187">
        <v>1000</v>
      </c>
      <c r="E35" s="187">
        <f t="shared" si="12"/>
        <v>23783</v>
      </c>
      <c r="F35" s="187">
        <v>24783</v>
      </c>
      <c r="G35" s="287">
        <v>24258</v>
      </c>
      <c r="H35" s="294">
        <v>0</v>
      </c>
      <c r="I35" s="187">
        <f t="shared" si="13"/>
        <v>150</v>
      </c>
      <c r="J35" s="187">
        <v>150</v>
      </c>
      <c r="K35" s="287">
        <v>150</v>
      </c>
      <c r="L35" s="294">
        <f t="shared" si="14"/>
        <v>1000</v>
      </c>
      <c r="M35" s="187">
        <f t="shared" si="15"/>
        <v>23933</v>
      </c>
      <c r="N35" s="187">
        <f t="shared" si="16"/>
        <v>24933</v>
      </c>
      <c r="O35" s="295">
        <f t="shared" si="17"/>
        <v>24408</v>
      </c>
    </row>
    <row r="36" spans="1:15">
      <c r="A36" s="367"/>
      <c r="B36" s="376" t="s">
        <v>256</v>
      </c>
      <c r="C36" s="376"/>
      <c r="D36" s="196">
        <f>SUM(D28:D35)</f>
        <v>14621329</v>
      </c>
      <c r="E36" s="194">
        <f>F36-D36</f>
        <v>2390807</v>
      </c>
      <c r="F36" s="196">
        <f>SUM(F28:F35)</f>
        <v>17012136</v>
      </c>
      <c r="G36" s="306">
        <f>SUM(G28:G35)</f>
        <v>11493064</v>
      </c>
      <c r="H36" s="308">
        <f>SUM(H28:H35)</f>
        <v>2200000</v>
      </c>
      <c r="I36" s="194">
        <f>J36-H36</f>
        <v>590</v>
      </c>
      <c r="J36" s="196">
        <f>SUM(J28:J35)</f>
        <v>2200590</v>
      </c>
      <c r="K36" s="306">
        <f>SUM(K28:K35)</f>
        <v>1187246</v>
      </c>
      <c r="L36" s="298">
        <f>D36+H36</f>
        <v>16821329</v>
      </c>
      <c r="M36" s="194">
        <f>N36-L36</f>
        <v>2391397</v>
      </c>
      <c r="N36" s="194">
        <f>F36+J36</f>
        <v>19212726</v>
      </c>
      <c r="O36" s="299">
        <f>SUM(O28:O35)</f>
        <v>12680310</v>
      </c>
    </row>
    <row r="37" spans="1:15" ht="20.25" customHeight="1">
      <c r="A37" s="367" t="s">
        <v>53</v>
      </c>
      <c r="B37" s="192"/>
      <c r="C37" s="186" t="s">
        <v>264</v>
      </c>
      <c r="D37" s="187">
        <v>2372880</v>
      </c>
      <c r="E37" s="187">
        <f t="shared" si="12"/>
        <v>0</v>
      </c>
      <c r="F37" s="187">
        <v>2372880</v>
      </c>
      <c r="G37" s="287">
        <v>1186440</v>
      </c>
      <c r="H37" s="294">
        <v>0</v>
      </c>
      <c r="I37" s="187">
        <f t="shared" si="13"/>
        <v>0</v>
      </c>
      <c r="J37" s="187"/>
      <c r="K37" s="287"/>
      <c r="L37" s="294">
        <f t="shared" si="14"/>
        <v>2372880</v>
      </c>
      <c r="M37" s="187">
        <f t="shared" si="15"/>
        <v>0</v>
      </c>
      <c r="N37" s="187">
        <f t="shared" si="16"/>
        <v>2372880</v>
      </c>
      <c r="O37" s="295">
        <f t="shared" si="17"/>
        <v>1186440</v>
      </c>
    </row>
    <row r="38" spans="1:15" ht="16.5" customHeight="1">
      <c r="A38" s="367"/>
      <c r="B38" s="376" t="s">
        <v>242</v>
      </c>
      <c r="C38" s="376"/>
      <c r="D38" s="196">
        <f>SUM(D37)</f>
        <v>2372880</v>
      </c>
      <c r="E38" s="194">
        <f>F38-D38</f>
        <v>0</v>
      </c>
      <c r="F38" s="196">
        <f>SUM(F37)</f>
        <v>2372880</v>
      </c>
      <c r="G38" s="306">
        <f>SUM(G37)</f>
        <v>1186440</v>
      </c>
      <c r="H38" s="308">
        <f>SUM(H37)</f>
        <v>0</v>
      </c>
      <c r="I38" s="194">
        <f>J38-H38</f>
        <v>0</v>
      </c>
      <c r="J38" s="196"/>
      <c r="K38" s="306"/>
      <c r="L38" s="298">
        <f>D38+H38</f>
        <v>2372880</v>
      </c>
      <c r="M38" s="194">
        <f>N38-L38</f>
        <v>0</v>
      </c>
      <c r="N38" s="194">
        <f>F38+J38</f>
        <v>2372880</v>
      </c>
      <c r="O38" s="300">
        <f>SUM(O37)</f>
        <v>1186440</v>
      </c>
    </row>
    <row r="39" spans="1:15" ht="25.5">
      <c r="A39" s="367" t="s">
        <v>54</v>
      </c>
      <c r="B39" s="192"/>
      <c r="C39" s="186" t="s">
        <v>265</v>
      </c>
      <c r="D39" s="187">
        <v>865440</v>
      </c>
      <c r="E39" s="187">
        <f t="shared" si="12"/>
        <v>0</v>
      </c>
      <c r="F39" s="187">
        <v>865440</v>
      </c>
      <c r="G39" s="287">
        <v>366432</v>
      </c>
      <c r="H39" s="294">
        <v>0</v>
      </c>
      <c r="I39" s="187">
        <f t="shared" si="13"/>
        <v>0</v>
      </c>
      <c r="J39" s="187"/>
      <c r="K39" s="287"/>
      <c r="L39" s="294">
        <f t="shared" si="14"/>
        <v>865440</v>
      </c>
      <c r="M39" s="187">
        <f t="shared" si="15"/>
        <v>0</v>
      </c>
      <c r="N39" s="187">
        <f t="shared" si="16"/>
        <v>865440</v>
      </c>
      <c r="O39" s="295">
        <f>SUM(G39:K39)</f>
        <v>366432</v>
      </c>
    </row>
    <row r="40" spans="1:15">
      <c r="A40" s="367"/>
      <c r="B40" s="376" t="s">
        <v>243</v>
      </c>
      <c r="C40" s="376"/>
      <c r="D40" s="196">
        <f>SUM(D39)</f>
        <v>865440</v>
      </c>
      <c r="E40" s="194">
        <f t="shared" ref="E40:E49" si="18">F40-D40</f>
        <v>0</v>
      </c>
      <c r="F40" s="196">
        <f>SUM(F39)</f>
        <v>865440</v>
      </c>
      <c r="G40" s="306">
        <f>SUM(G39)</f>
        <v>366432</v>
      </c>
      <c r="H40" s="308">
        <f>SUM(H39)</f>
        <v>0</v>
      </c>
      <c r="I40" s="194">
        <f t="shared" ref="I40:I49" si="19">J40-H40</f>
        <v>0</v>
      </c>
      <c r="J40" s="196"/>
      <c r="K40" s="306"/>
      <c r="L40" s="298">
        <f t="shared" ref="L40:L47" si="20">D40+H40</f>
        <v>865440</v>
      </c>
      <c r="M40" s="194">
        <f t="shared" ref="M40:M49" si="21">N40-L40</f>
        <v>0</v>
      </c>
      <c r="N40" s="194">
        <f t="shared" ref="N40:N47" si="22">F40+J40</f>
        <v>865440</v>
      </c>
      <c r="O40" s="300">
        <f>SUM(O39)</f>
        <v>366432</v>
      </c>
    </row>
    <row r="41" spans="1:15" s="182" customFormat="1" ht="24.75" customHeight="1">
      <c r="A41" s="378" t="s">
        <v>244</v>
      </c>
      <c r="B41" s="378"/>
      <c r="C41" s="378"/>
      <c r="D41" s="197">
        <f>D17+D27+D36+D38+D40+D19</f>
        <v>455218693</v>
      </c>
      <c r="E41" s="197">
        <f t="shared" si="18"/>
        <v>153091757</v>
      </c>
      <c r="F41" s="197">
        <f>F17+F27+F36+F38+F40+F19</f>
        <v>608310450</v>
      </c>
      <c r="G41" s="290">
        <f>G17+G27+G36+G38+G40+G19</f>
        <v>363257525</v>
      </c>
      <c r="H41" s="301">
        <f>H17+H27+H36+H38+H40</f>
        <v>2200000</v>
      </c>
      <c r="I41" s="197">
        <f t="shared" si="19"/>
        <v>590</v>
      </c>
      <c r="J41" s="197">
        <f>J17+J27+J36+J38+J40</f>
        <v>2200590</v>
      </c>
      <c r="K41" s="290">
        <f>K17+K27+K36+K38+K40</f>
        <v>1187246</v>
      </c>
      <c r="L41" s="301">
        <f t="shared" si="20"/>
        <v>457418693</v>
      </c>
      <c r="M41" s="197">
        <f t="shared" si="21"/>
        <v>153092347</v>
      </c>
      <c r="N41" s="197">
        <f t="shared" si="22"/>
        <v>610511040</v>
      </c>
      <c r="O41" s="302">
        <f>O17+O27+O36+O38+O40+O19</f>
        <v>364444771</v>
      </c>
    </row>
    <row r="42" spans="1:15" ht="17.25" customHeight="1">
      <c r="A42" s="367" t="s">
        <v>63</v>
      </c>
      <c r="B42" s="192"/>
      <c r="C42" s="186" t="s">
        <v>272</v>
      </c>
      <c r="D42" s="187">
        <v>192768326</v>
      </c>
      <c r="E42" s="187">
        <f t="shared" si="18"/>
        <v>0</v>
      </c>
      <c r="F42" s="187">
        <v>192768326</v>
      </c>
      <c r="G42" s="287">
        <v>110627609</v>
      </c>
      <c r="H42" s="294">
        <v>0</v>
      </c>
      <c r="I42" s="187">
        <f t="shared" si="19"/>
        <v>0</v>
      </c>
      <c r="J42" s="187"/>
      <c r="K42" s="287"/>
      <c r="L42" s="294">
        <f t="shared" si="20"/>
        <v>192768326</v>
      </c>
      <c r="M42" s="187">
        <f t="shared" si="21"/>
        <v>0</v>
      </c>
      <c r="N42" s="187">
        <f t="shared" si="22"/>
        <v>192768326</v>
      </c>
      <c r="O42" s="295">
        <f>SUM(G42:K42)</f>
        <v>110627609</v>
      </c>
    </row>
    <row r="43" spans="1:15" ht="18.75" customHeight="1">
      <c r="A43" s="367"/>
      <c r="B43" s="376" t="s">
        <v>271</v>
      </c>
      <c r="C43" s="376"/>
      <c r="D43" s="196">
        <f>SUM(D42)</f>
        <v>192768326</v>
      </c>
      <c r="E43" s="194">
        <f t="shared" si="18"/>
        <v>0</v>
      </c>
      <c r="F43" s="196">
        <f>SUM(F42)</f>
        <v>192768326</v>
      </c>
      <c r="G43" s="306">
        <f>SUM(G42)</f>
        <v>110627609</v>
      </c>
      <c r="H43" s="308">
        <f>SUM(H42)</f>
        <v>0</v>
      </c>
      <c r="I43" s="194">
        <f t="shared" si="19"/>
        <v>0</v>
      </c>
      <c r="J43" s="196"/>
      <c r="K43" s="306"/>
      <c r="L43" s="298">
        <f t="shared" si="20"/>
        <v>192768326</v>
      </c>
      <c r="M43" s="194">
        <f t="shared" si="21"/>
        <v>0</v>
      </c>
      <c r="N43" s="194">
        <f t="shared" si="22"/>
        <v>192768326</v>
      </c>
      <c r="O43" s="300">
        <f>SUM(O42)</f>
        <v>110627609</v>
      </c>
    </row>
    <row r="44" spans="1:15" ht="15" customHeight="1">
      <c r="A44" s="367" t="s">
        <v>65</v>
      </c>
      <c r="B44" s="192"/>
      <c r="C44" s="186" t="s">
        <v>301</v>
      </c>
      <c r="D44" s="187">
        <v>20634836</v>
      </c>
      <c r="E44" s="187">
        <f t="shared" si="18"/>
        <v>0</v>
      </c>
      <c r="F44" s="187">
        <v>20634836</v>
      </c>
      <c r="G44" s="287">
        <v>20634836</v>
      </c>
      <c r="H44" s="294">
        <v>539102</v>
      </c>
      <c r="I44" s="187">
        <f t="shared" si="19"/>
        <v>0</v>
      </c>
      <c r="J44" s="187">
        <v>539102</v>
      </c>
      <c r="K44" s="287">
        <v>539102</v>
      </c>
      <c r="L44" s="294">
        <f t="shared" si="20"/>
        <v>21173938</v>
      </c>
      <c r="M44" s="187">
        <f t="shared" si="21"/>
        <v>0</v>
      </c>
      <c r="N44" s="187">
        <f t="shared" si="22"/>
        <v>21173938</v>
      </c>
      <c r="O44" s="295">
        <f>G44+K44</f>
        <v>21173938</v>
      </c>
    </row>
    <row r="45" spans="1:15" ht="17.25" customHeight="1">
      <c r="A45" s="367"/>
      <c r="B45" s="376" t="s">
        <v>273</v>
      </c>
      <c r="C45" s="376"/>
      <c r="D45" s="196">
        <f>SUM(D44)</f>
        <v>20634836</v>
      </c>
      <c r="E45" s="194">
        <f t="shared" si="18"/>
        <v>0</v>
      </c>
      <c r="F45" s="196">
        <f>SUM(F44)</f>
        <v>20634836</v>
      </c>
      <c r="G45" s="306">
        <f>SUM(G44)</f>
        <v>20634836</v>
      </c>
      <c r="H45" s="308">
        <f>SUM(H44)</f>
        <v>539102</v>
      </c>
      <c r="I45" s="194">
        <f t="shared" si="19"/>
        <v>0</v>
      </c>
      <c r="J45" s="196">
        <f>SUM(J44)</f>
        <v>539102</v>
      </c>
      <c r="K45" s="306">
        <f>SUM(K44)</f>
        <v>539102</v>
      </c>
      <c r="L45" s="298">
        <f t="shared" si="20"/>
        <v>21173938</v>
      </c>
      <c r="M45" s="194">
        <f t="shared" si="21"/>
        <v>0</v>
      </c>
      <c r="N45" s="194">
        <f t="shared" si="22"/>
        <v>21173938</v>
      </c>
      <c r="O45" s="300">
        <f>SUM(O44)</f>
        <v>21173938</v>
      </c>
    </row>
    <row r="46" spans="1:15" ht="15.75" customHeight="1">
      <c r="A46" s="379" t="s">
        <v>66</v>
      </c>
      <c r="B46" s="192"/>
      <c r="C46" s="186" t="s">
        <v>314</v>
      </c>
      <c r="D46" s="187">
        <v>0</v>
      </c>
      <c r="E46" s="187">
        <f t="shared" si="18"/>
        <v>0</v>
      </c>
      <c r="F46" s="187"/>
      <c r="G46" s="287"/>
      <c r="H46" s="294">
        <v>81263541</v>
      </c>
      <c r="I46" s="187">
        <f t="shared" si="19"/>
        <v>300960</v>
      </c>
      <c r="J46" s="187">
        <v>81564501</v>
      </c>
      <c r="K46" s="287">
        <v>40080972</v>
      </c>
      <c r="L46" s="294">
        <f t="shared" si="20"/>
        <v>81263541</v>
      </c>
      <c r="M46" s="187">
        <f t="shared" si="21"/>
        <v>300960</v>
      </c>
      <c r="N46" s="187">
        <f t="shared" si="22"/>
        <v>81564501</v>
      </c>
      <c r="O46" s="295">
        <f>G46+K46</f>
        <v>40080972</v>
      </c>
    </row>
    <row r="47" spans="1:15" ht="18" customHeight="1">
      <c r="A47" s="380"/>
      <c r="B47" s="376" t="s">
        <v>315</v>
      </c>
      <c r="C47" s="376"/>
      <c r="D47" s="196">
        <f>SUM(D46)</f>
        <v>0</v>
      </c>
      <c r="E47" s="194">
        <f t="shared" si="18"/>
        <v>0</v>
      </c>
      <c r="F47" s="196"/>
      <c r="G47" s="306"/>
      <c r="H47" s="308">
        <f>SUM(H46)</f>
        <v>81263541</v>
      </c>
      <c r="I47" s="194">
        <f t="shared" si="19"/>
        <v>300960</v>
      </c>
      <c r="J47" s="196">
        <f>SUM(J46)</f>
        <v>81564501</v>
      </c>
      <c r="K47" s="306">
        <f>SUM(K46)</f>
        <v>40080972</v>
      </c>
      <c r="L47" s="298">
        <f t="shared" si="20"/>
        <v>81263541</v>
      </c>
      <c r="M47" s="194">
        <f t="shared" si="21"/>
        <v>300960</v>
      </c>
      <c r="N47" s="194">
        <f t="shared" si="22"/>
        <v>81564501</v>
      </c>
      <c r="O47" s="300">
        <f>SUM(O46)</f>
        <v>40080972</v>
      </c>
    </row>
    <row r="48" spans="1:15" s="184" customFormat="1" ht="21.75" customHeight="1">
      <c r="A48" s="378" t="s">
        <v>274</v>
      </c>
      <c r="B48" s="378"/>
      <c r="C48" s="378"/>
      <c r="D48" s="197">
        <f>D43+D45+D47</f>
        <v>213403162</v>
      </c>
      <c r="E48" s="197">
        <f t="shared" si="18"/>
        <v>0</v>
      </c>
      <c r="F48" s="197">
        <f>F43+F45+F47</f>
        <v>213403162</v>
      </c>
      <c r="G48" s="290">
        <f>G43+G45+G47</f>
        <v>131262445</v>
      </c>
      <c r="H48" s="301">
        <f>H43+H45+H47</f>
        <v>81802643</v>
      </c>
      <c r="I48" s="197">
        <f t="shared" si="19"/>
        <v>300960</v>
      </c>
      <c r="J48" s="197">
        <f>J43+J45+J47</f>
        <v>82103603</v>
      </c>
      <c r="K48" s="290">
        <f>K43+K45+K47</f>
        <v>40620074</v>
      </c>
      <c r="L48" s="301">
        <f>L43+L45+L47</f>
        <v>295205805</v>
      </c>
      <c r="M48" s="197">
        <f t="shared" si="21"/>
        <v>300960</v>
      </c>
      <c r="N48" s="197">
        <f>N43+N45+N47</f>
        <v>295506765</v>
      </c>
      <c r="O48" s="302">
        <f>O43+O45+O47</f>
        <v>171882519</v>
      </c>
    </row>
    <row r="49" spans="1:15" s="200" customFormat="1" ht="22.5" customHeight="1">
      <c r="A49" s="377" t="s">
        <v>275</v>
      </c>
      <c r="B49" s="377"/>
      <c r="C49" s="377"/>
      <c r="D49" s="199">
        <f>D41+D48</f>
        <v>668621855</v>
      </c>
      <c r="E49" s="199">
        <f t="shared" si="18"/>
        <v>153091757</v>
      </c>
      <c r="F49" s="199">
        <f>F41+F48</f>
        <v>821713612</v>
      </c>
      <c r="G49" s="291">
        <f>G41+G48</f>
        <v>494519970</v>
      </c>
      <c r="H49" s="303">
        <f>H41+H48</f>
        <v>84002643</v>
      </c>
      <c r="I49" s="199">
        <f t="shared" si="19"/>
        <v>301550</v>
      </c>
      <c r="J49" s="199">
        <f>J41+J48</f>
        <v>84304193</v>
      </c>
      <c r="K49" s="291">
        <f>K41+K48</f>
        <v>41807320</v>
      </c>
      <c r="L49" s="303">
        <f>L41+L48</f>
        <v>752624498</v>
      </c>
      <c r="M49" s="199">
        <f t="shared" si="21"/>
        <v>153393307</v>
      </c>
      <c r="N49" s="199">
        <f>N41+N48</f>
        <v>906017805</v>
      </c>
      <c r="O49" s="304">
        <f>O41+O48</f>
        <v>536327290</v>
      </c>
    </row>
    <row r="50" spans="1:15" ht="6" customHeight="1"/>
    <row r="51" spans="1:15">
      <c r="G51" s="365">
        <f>(G49/F49)</f>
        <v>0.60181547777499877</v>
      </c>
      <c r="K51" s="365">
        <f>(K49/J49)</f>
        <v>0.49591032797146872</v>
      </c>
    </row>
  </sheetData>
  <mergeCells count="32">
    <mergeCell ref="L3:O3"/>
    <mergeCell ref="A1:O1"/>
    <mergeCell ref="A2:O2"/>
    <mergeCell ref="B40:C40"/>
    <mergeCell ref="A39:A40"/>
    <mergeCell ref="A37:A38"/>
    <mergeCell ref="A3:C4"/>
    <mergeCell ref="B10:C10"/>
    <mergeCell ref="B16:C16"/>
    <mergeCell ref="B38:C38"/>
    <mergeCell ref="A49:C49"/>
    <mergeCell ref="A42:A43"/>
    <mergeCell ref="A44:A45"/>
    <mergeCell ref="A41:C41"/>
    <mergeCell ref="B47:C47"/>
    <mergeCell ref="A46:A47"/>
    <mergeCell ref="A48:C48"/>
    <mergeCell ref="B43:C43"/>
    <mergeCell ref="B45:C45"/>
    <mergeCell ref="B36:C36"/>
    <mergeCell ref="A28:A36"/>
    <mergeCell ref="B21:C21"/>
    <mergeCell ref="B25:C25"/>
    <mergeCell ref="A21:A27"/>
    <mergeCell ref="B27:C27"/>
    <mergeCell ref="A5:A17"/>
    <mergeCell ref="D3:G3"/>
    <mergeCell ref="H3:K3"/>
    <mergeCell ref="B19:C19"/>
    <mergeCell ref="B20:C20"/>
    <mergeCell ref="B26:C26"/>
    <mergeCell ref="B17:C17"/>
  </mergeCells>
  <phoneticPr fontId="0" type="noConversion"/>
  <printOptions horizontalCentered="1"/>
  <pageMargins left="0.17" right="0.17" top="0.28999999999999998" bottom="0.3" header="0.15748031496062992" footer="0.17"/>
  <pageSetup paperSize="9" scale="62" firstPageNumber="39" orientation="landscape" r:id="rId1"/>
  <headerFooter alignWithMargins="0">
    <oddHeader>&amp;R&amp;"Times New Roman,Normál"1. számú melléklet</oddHeader>
    <oddFooter>&amp;C&amp;"Times New Roman,Normál"&amp;P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4" enableFormatConditionsCalculation="0">
    <tabColor indexed="11"/>
  </sheetPr>
  <dimension ref="A1:P35"/>
  <sheetViews>
    <sheetView topLeftCell="D4" zoomScaleNormal="100" zoomScaleSheetLayoutView="100" workbookViewId="0">
      <selection activeCell="O22" sqref="O22"/>
    </sheetView>
  </sheetViews>
  <sheetFormatPr defaultRowHeight="12.75"/>
  <cols>
    <col min="1" max="1" width="4.28515625" customWidth="1"/>
    <col min="2" max="2" width="2.85546875" customWidth="1"/>
    <col min="3" max="3" width="54.5703125" customWidth="1"/>
    <col min="4" max="4" width="11.140625" bestFit="1" customWidth="1"/>
    <col min="5" max="5" width="12.7109375" customWidth="1"/>
    <col min="6" max="7" width="11.140625" customWidth="1"/>
    <col min="8" max="8" width="14.5703125" bestFit="1" customWidth="1"/>
    <col min="9" max="11" width="14.5703125" customWidth="1"/>
    <col min="12" max="12" width="11.140625" bestFit="1" customWidth="1"/>
    <col min="13" max="15" width="14.5703125" customWidth="1"/>
    <col min="16" max="16" width="10.140625" bestFit="1" customWidth="1"/>
  </cols>
  <sheetData>
    <row r="1" spans="1:16" ht="21.75" customHeight="1">
      <c r="A1" s="381" t="s">
        <v>354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6" ht="28.5" customHeight="1">
      <c r="A2" s="382" t="s">
        <v>120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</row>
    <row r="3" spans="1:16" ht="36.75" customHeight="1">
      <c r="A3" s="383" t="s">
        <v>49</v>
      </c>
      <c r="B3" s="384"/>
      <c r="C3" s="385"/>
      <c r="D3" s="368" t="s">
        <v>347</v>
      </c>
      <c r="E3" s="369"/>
      <c r="F3" s="369"/>
      <c r="G3" s="369"/>
      <c r="H3" s="371" t="s">
        <v>351</v>
      </c>
      <c r="I3" s="369"/>
      <c r="J3" s="369"/>
      <c r="K3" s="370"/>
      <c r="L3" s="369" t="s">
        <v>353</v>
      </c>
      <c r="M3" s="369"/>
      <c r="N3" s="369"/>
      <c r="O3" s="370"/>
    </row>
    <row r="4" spans="1:16" ht="21.75" customHeight="1">
      <c r="A4" s="386"/>
      <c r="B4" s="387"/>
      <c r="C4" s="388"/>
      <c r="D4" s="218" t="s">
        <v>348</v>
      </c>
      <c r="E4" s="218" t="s">
        <v>349</v>
      </c>
      <c r="F4" s="218" t="s">
        <v>350</v>
      </c>
      <c r="G4" s="286" t="s">
        <v>332</v>
      </c>
      <c r="H4" s="292" t="s">
        <v>352</v>
      </c>
      <c r="I4" s="218" t="s">
        <v>349</v>
      </c>
      <c r="J4" s="218" t="s">
        <v>331</v>
      </c>
      <c r="K4" s="293" t="s">
        <v>332</v>
      </c>
      <c r="L4" s="310" t="s">
        <v>352</v>
      </c>
      <c r="M4" s="218" t="s">
        <v>349</v>
      </c>
      <c r="N4" s="218" t="s">
        <v>350</v>
      </c>
      <c r="O4" s="293" t="s">
        <v>332</v>
      </c>
    </row>
    <row r="5" spans="1:16" s="181" customFormat="1" ht="16.5" customHeight="1">
      <c r="A5" s="389" t="s">
        <v>50</v>
      </c>
      <c r="B5" s="185"/>
      <c r="C5" s="186" t="s">
        <v>277</v>
      </c>
      <c r="D5" s="187">
        <v>29468183</v>
      </c>
      <c r="E5" s="187">
        <f>F5-D5</f>
        <v>0</v>
      </c>
      <c r="F5" s="187">
        <v>29468183</v>
      </c>
      <c r="G5" s="287">
        <v>12851301</v>
      </c>
      <c r="H5" s="294">
        <v>60269514</v>
      </c>
      <c r="I5" s="187">
        <f>J5-H5</f>
        <v>256092</v>
      </c>
      <c r="J5" s="187">
        <v>60525606</v>
      </c>
      <c r="K5" s="295">
        <v>28099294</v>
      </c>
      <c r="L5" s="311">
        <f>D5+H5</f>
        <v>89737697</v>
      </c>
      <c r="M5" s="187">
        <f>N5-L5</f>
        <v>256092</v>
      </c>
      <c r="N5" s="187">
        <f>F5+J5</f>
        <v>89993789</v>
      </c>
      <c r="O5" s="187">
        <f>G5+K5</f>
        <v>40950595</v>
      </c>
    </row>
    <row r="6" spans="1:16" s="181" customFormat="1" ht="16.5" customHeight="1">
      <c r="A6" s="389"/>
      <c r="B6" s="185"/>
      <c r="C6" s="186" t="s">
        <v>278</v>
      </c>
      <c r="D6" s="187">
        <v>14165746</v>
      </c>
      <c r="E6" s="187">
        <f>F6-D6</f>
        <v>-1013115</v>
      </c>
      <c r="F6" s="187">
        <v>13152631</v>
      </c>
      <c r="G6" s="287">
        <v>5451899</v>
      </c>
      <c r="H6" s="294">
        <v>100000</v>
      </c>
      <c r="I6" s="187">
        <f>J6-H6</f>
        <v>0</v>
      </c>
      <c r="J6" s="187">
        <v>100000</v>
      </c>
      <c r="K6" s="295">
        <v>0</v>
      </c>
      <c r="L6" s="311">
        <f>D6+H6</f>
        <v>14265746</v>
      </c>
      <c r="M6" s="187">
        <f>N6-L6</f>
        <v>-1013115</v>
      </c>
      <c r="N6" s="187">
        <f>F6+J6</f>
        <v>13252631</v>
      </c>
      <c r="O6" s="187">
        <f>G6+K6</f>
        <v>5451899</v>
      </c>
    </row>
    <row r="7" spans="1:16" s="184" customFormat="1" ht="21.75" customHeight="1">
      <c r="A7" s="389"/>
      <c r="B7" s="373" t="s">
        <v>276</v>
      </c>
      <c r="C7" s="373"/>
      <c r="D7" s="194">
        <f t="shared" ref="D7:K7" si="0">SUM(D5:D6)</f>
        <v>43633929</v>
      </c>
      <c r="E7" s="194">
        <f t="shared" si="0"/>
        <v>-1013115</v>
      </c>
      <c r="F7" s="194">
        <f t="shared" si="0"/>
        <v>42620814</v>
      </c>
      <c r="G7" s="289">
        <f t="shared" si="0"/>
        <v>18303200</v>
      </c>
      <c r="H7" s="298">
        <f t="shared" si="0"/>
        <v>60369514</v>
      </c>
      <c r="I7" s="194">
        <f t="shared" si="0"/>
        <v>256092</v>
      </c>
      <c r="J7" s="194">
        <f t="shared" si="0"/>
        <v>60625606</v>
      </c>
      <c r="K7" s="299">
        <f t="shared" si="0"/>
        <v>28099294</v>
      </c>
      <c r="L7" s="312">
        <f>SUM(L5:L6)</f>
        <v>104003443</v>
      </c>
      <c r="M7" s="194">
        <f>SUM(M5:M6)</f>
        <v>-757023</v>
      </c>
      <c r="N7" s="194">
        <f t="shared" ref="N7:N26" si="1">F7+J7</f>
        <v>103246420</v>
      </c>
      <c r="O7" s="194">
        <f>SUM(O5:O6)</f>
        <v>46402494</v>
      </c>
      <c r="P7" s="366"/>
    </row>
    <row r="8" spans="1:16" s="184" customFormat="1" ht="22.5" customHeight="1">
      <c r="A8" s="201" t="s">
        <v>51</v>
      </c>
      <c r="B8" s="373" t="s">
        <v>279</v>
      </c>
      <c r="C8" s="373"/>
      <c r="D8" s="194">
        <v>9873493</v>
      </c>
      <c r="E8" s="194">
        <f t="shared" ref="E8:E13" si="2">F8-D8</f>
        <v>-222885</v>
      </c>
      <c r="F8" s="194">
        <v>9650608</v>
      </c>
      <c r="G8" s="289">
        <v>3841255</v>
      </c>
      <c r="H8" s="298">
        <v>13360577</v>
      </c>
      <c r="I8" s="194">
        <f t="shared" ref="I8:I13" si="3">J8-H8</f>
        <v>0</v>
      </c>
      <c r="J8" s="194">
        <v>13360577</v>
      </c>
      <c r="K8" s="299">
        <v>6470277</v>
      </c>
      <c r="L8" s="312">
        <f t="shared" ref="L8:L13" si="4">D8+H8</f>
        <v>23234070</v>
      </c>
      <c r="M8" s="194">
        <f t="shared" ref="M8:M13" si="5">N8-L8</f>
        <v>-222885</v>
      </c>
      <c r="N8" s="194">
        <f t="shared" si="1"/>
        <v>23011185</v>
      </c>
      <c r="O8" s="194">
        <f t="shared" ref="O8:O19" si="6">G8+K8</f>
        <v>10311532</v>
      </c>
    </row>
    <row r="9" spans="1:16" s="181" customFormat="1" ht="13.5" customHeight="1">
      <c r="A9" s="367" t="s">
        <v>52</v>
      </c>
      <c r="B9" s="185"/>
      <c r="C9" s="186" t="s">
        <v>280</v>
      </c>
      <c r="D9" s="187">
        <v>7994720</v>
      </c>
      <c r="E9" s="187">
        <f t="shared" si="2"/>
        <v>0</v>
      </c>
      <c r="F9" s="187">
        <v>7994720</v>
      </c>
      <c r="G9" s="287">
        <v>2519210</v>
      </c>
      <c r="H9" s="294">
        <v>1700600</v>
      </c>
      <c r="I9" s="187">
        <f t="shared" si="3"/>
        <v>-273725</v>
      </c>
      <c r="J9" s="187">
        <v>1426875</v>
      </c>
      <c r="K9" s="295">
        <v>1243657</v>
      </c>
      <c r="L9" s="311">
        <f t="shared" si="4"/>
        <v>9695320</v>
      </c>
      <c r="M9" s="187">
        <f t="shared" si="5"/>
        <v>-273725</v>
      </c>
      <c r="N9" s="187">
        <f t="shared" si="1"/>
        <v>9421595</v>
      </c>
      <c r="O9" s="187">
        <f t="shared" si="6"/>
        <v>3762867</v>
      </c>
    </row>
    <row r="10" spans="1:16" s="181" customFormat="1" ht="13.5" customHeight="1">
      <c r="A10" s="367"/>
      <c r="B10" s="185"/>
      <c r="C10" s="186" t="s">
        <v>281</v>
      </c>
      <c r="D10" s="187">
        <v>1427440</v>
      </c>
      <c r="E10" s="187">
        <f t="shared" si="2"/>
        <v>0</v>
      </c>
      <c r="F10" s="187">
        <v>1427440</v>
      </c>
      <c r="G10" s="287">
        <v>824864</v>
      </c>
      <c r="H10" s="294">
        <v>0</v>
      </c>
      <c r="I10" s="187">
        <f t="shared" si="3"/>
        <v>201944</v>
      </c>
      <c r="J10" s="187">
        <v>201944</v>
      </c>
      <c r="K10" s="295">
        <v>108162</v>
      </c>
      <c r="L10" s="311">
        <f t="shared" si="4"/>
        <v>1427440</v>
      </c>
      <c r="M10" s="187">
        <f t="shared" si="5"/>
        <v>201944</v>
      </c>
      <c r="N10" s="187">
        <f t="shared" si="1"/>
        <v>1629384</v>
      </c>
      <c r="O10" s="187">
        <f t="shared" si="6"/>
        <v>933026</v>
      </c>
    </row>
    <row r="11" spans="1:16" s="181" customFormat="1" ht="13.5" customHeight="1">
      <c r="A11" s="367"/>
      <c r="B11" s="185"/>
      <c r="C11" s="186" t="s">
        <v>282</v>
      </c>
      <c r="D11" s="187">
        <v>46636336</v>
      </c>
      <c r="E11" s="187">
        <f t="shared" si="2"/>
        <v>1175736</v>
      </c>
      <c r="F11" s="187">
        <v>47812072</v>
      </c>
      <c r="G11" s="287">
        <v>23533814</v>
      </c>
      <c r="H11" s="294">
        <v>5429000</v>
      </c>
      <c r="I11" s="187">
        <f t="shared" si="3"/>
        <v>-183721</v>
      </c>
      <c r="J11" s="187">
        <v>5245279</v>
      </c>
      <c r="K11" s="295">
        <v>2978682</v>
      </c>
      <c r="L11" s="311">
        <f t="shared" si="4"/>
        <v>52065336</v>
      </c>
      <c r="M11" s="187">
        <f t="shared" si="5"/>
        <v>992015</v>
      </c>
      <c r="N11" s="187">
        <f t="shared" si="1"/>
        <v>53057351</v>
      </c>
      <c r="O11" s="187">
        <f t="shared" si="6"/>
        <v>26512496</v>
      </c>
    </row>
    <row r="12" spans="1:16" s="181" customFormat="1" ht="13.5" customHeight="1">
      <c r="A12" s="367"/>
      <c r="B12" s="185"/>
      <c r="C12" s="186" t="s">
        <v>283</v>
      </c>
      <c r="D12" s="187">
        <v>420000</v>
      </c>
      <c r="E12" s="187">
        <f t="shared" si="2"/>
        <v>0</v>
      </c>
      <c r="F12" s="187">
        <v>420000</v>
      </c>
      <c r="G12" s="287">
        <v>76478</v>
      </c>
      <c r="H12" s="294">
        <v>1330000</v>
      </c>
      <c r="I12" s="187">
        <f t="shared" si="3"/>
        <v>0</v>
      </c>
      <c r="J12" s="187">
        <v>1330000</v>
      </c>
      <c r="K12" s="295">
        <v>562279</v>
      </c>
      <c r="L12" s="311">
        <f t="shared" si="4"/>
        <v>1750000</v>
      </c>
      <c r="M12" s="187">
        <f t="shared" si="5"/>
        <v>0</v>
      </c>
      <c r="N12" s="187">
        <f t="shared" si="1"/>
        <v>1750000</v>
      </c>
      <c r="O12" s="187">
        <f t="shared" si="6"/>
        <v>638757</v>
      </c>
    </row>
    <row r="13" spans="1:16" s="181" customFormat="1" ht="13.5" customHeight="1">
      <c r="A13" s="367"/>
      <c r="B13" s="185"/>
      <c r="C13" s="186" t="s">
        <v>284</v>
      </c>
      <c r="D13" s="187">
        <v>17123902</v>
      </c>
      <c r="E13" s="187">
        <f t="shared" si="2"/>
        <v>556264</v>
      </c>
      <c r="F13" s="187">
        <v>17680166</v>
      </c>
      <c r="G13" s="287">
        <v>6724709</v>
      </c>
      <c r="H13" s="294">
        <v>1273850</v>
      </c>
      <c r="I13" s="187">
        <f t="shared" si="3"/>
        <v>0</v>
      </c>
      <c r="J13" s="187">
        <v>1273850</v>
      </c>
      <c r="K13" s="295">
        <v>539978</v>
      </c>
      <c r="L13" s="311">
        <f t="shared" si="4"/>
        <v>18397752</v>
      </c>
      <c r="M13" s="187">
        <f t="shared" si="5"/>
        <v>556264</v>
      </c>
      <c r="N13" s="187">
        <f t="shared" si="1"/>
        <v>18954016</v>
      </c>
      <c r="O13" s="187">
        <f t="shared" si="6"/>
        <v>7264687</v>
      </c>
    </row>
    <row r="14" spans="1:16" s="184" customFormat="1" ht="19.5" customHeight="1">
      <c r="A14" s="367"/>
      <c r="B14" s="373" t="s">
        <v>285</v>
      </c>
      <c r="C14" s="373"/>
      <c r="D14" s="194">
        <f t="shared" ref="D14:K14" si="7">SUM(D9:D13)</f>
        <v>73602398</v>
      </c>
      <c r="E14" s="194">
        <f t="shared" si="7"/>
        <v>1732000</v>
      </c>
      <c r="F14" s="194">
        <f t="shared" si="7"/>
        <v>75334398</v>
      </c>
      <c r="G14" s="289">
        <f t="shared" si="7"/>
        <v>33679075</v>
      </c>
      <c r="H14" s="298">
        <f t="shared" si="7"/>
        <v>9733450</v>
      </c>
      <c r="I14" s="194">
        <f t="shared" si="7"/>
        <v>-255502</v>
      </c>
      <c r="J14" s="194">
        <f t="shared" si="7"/>
        <v>9477948</v>
      </c>
      <c r="K14" s="299">
        <f t="shared" si="7"/>
        <v>5432758</v>
      </c>
      <c r="L14" s="312">
        <f>SUM(L9:L13)</f>
        <v>83335848</v>
      </c>
      <c r="M14" s="194">
        <f>SUM(M9:M13)</f>
        <v>1476498</v>
      </c>
      <c r="N14" s="194">
        <f t="shared" si="1"/>
        <v>84812346</v>
      </c>
      <c r="O14" s="194">
        <f t="shared" si="6"/>
        <v>39111833</v>
      </c>
    </row>
    <row r="15" spans="1:16" s="184" customFormat="1" ht="25.5" customHeight="1">
      <c r="A15" s="188" t="s">
        <v>53</v>
      </c>
      <c r="B15" s="373" t="s">
        <v>123</v>
      </c>
      <c r="C15" s="373"/>
      <c r="D15" s="194">
        <v>2055000</v>
      </c>
      <c r="E15" s="194">
        <f>F15-D15</f>
        <v>0</v>
      </c>
      <c r="F15" s="194">
        <v>2055000</v>
      </c>
      <c r="G15" s="289">
        <v>718549</v>
      </c>
      <c r="H15" s="298">
        <v>0</v>
      </c>
      <c r="I15" s="194">
        <f>J15-H15</f>
        <v>300960</v>
      </c>
      <c r="J15" s="194">
        <v>300960</v>
      </c>
      <c r="K15" s="299">
        <v>300960</v>
      </c>
      <c r="L15" s="312">
        <f>D15+H15</f>
        <v>2055000</v>
      </c>
      <c r="M15" s="194">
        <f>N15-L15</f>
        <v>300960</v>
      </c>
      <c r="N15" s="194">
        <f t="shared" si="1"/>
        <v>2355960</v>
      </c>
      <c r="O15" s="194">
        <f t="shared" si="6"/>
        <v>1019509</v>
      </c>
    </row>
    <row r="16" spans="1:16" s="184" customFormat="1" ht="25.5" customHeight="1">
      <c r="A16" s="188" t="s">
        <v>54</v>
      </c>
      <c r="B16" s="373" t="s">
        <v>286</v>
      </c>
      <c r="C16" s="373"/>
      <c r="D16" s="194">
        <v>16691</v>
      </c>
      <c r="E16" s="194">
        <f>F16-D16</f>
        <v>192044</v>
      </c>
      <c r="F16" s="194">
        <v>208735</v>
      </c>
      <c r="G16" s="289">
        <v>208735</v>
      </c>
      <c r="H16" s="298">
        <v>0</v>
      </c>
      <c r="I16" s="194">
        <f>J16-H16</f>
        <v>0</v>
      </c>
      <c r="J16" s="194"/>
      <c r="K16" s="299"/>
      <c r="L16" s="312">
        <f>D16+H16</f>
        <v>16691</v>
      </c>
      <c r="M16" s="194">
        <f>N16-L16</f>
        <v>192044</v>
      </c>
      <c r="N16" s="194">
        <f t="shared" si="1"/>
        <v>208735</v>
      </c>
      <c r="O16" s="194">
        <f t="shared" si="6"/>
        <v>208735</v>
      </c>
    </row>
    <row r="17" spans="1:15">
      <c r="A17" s="367" t="s">
        <v>63</v>
      </c>
      <c r="B17" s="185"/>
      <c r="C17" s="186" t="s">
        <v>287</v>
      </c>
      <c r="D17" s="187">
        <v>208381674</v>
      </c>
      <c r="E17" s="187">
        <f>F17-D17</f>
        <v>0</v>
      </c>
      <c r="F17" s="187">
        <v>208381674</v>
      </c>
      <c r="G17" s="287">
        <v>105283119</v>
      </c>
      <c r="H17" s="294">
        <v>539102</v>
      </c>
      <c r="I17" s="187">
        <f>J17-H17</f>
        <v>0</v>
      </c>
      <c r="J17" s="187">
        <v>539102</v>
      </c>
      <c r="K17" s="295"/>
      <c r="L17" s="311">
        <f>D17+H17</f>
        <v>208920776</v>
      </c>
      <c r="M17" s="187">
        <f>N17-L17</f>
        <v>0</v>
      </c>
      <c r="N17" s="187">
        <f t="shared" si="1"/>
        <v>208920776</v>
      </c>
      <c r="O17" s="187">
        <f t="shared" si="6"/>
        <v>105283119</v>
      </c>
    </row>
    <row r="18" spans="1:15">
      <c r="A18" s="367"/>
      <c r="B18" s="185"/>
      <c r="C18" s="186" t="s">
        <v>288</v>
      </c>
      <c r="D18" s="187">
        <v>18519050</v>
      </c>
      <c r="E18" s="187">
        <f>F18-D18</f>
        <v>1080000</v>
      </c>
      <c r="F18" s="187">
        <v>19599050</v>
      </c>
      <c r="G18" s="287">
        <v>9547800</v>
      </c>
      <c r="H18" s="294">
        <v>0</v>
      </c>
      <c r="I18" s="187">
        <f>J18-H18</f>
        <v>0</v>
      </c>
      <c r="J18" s="187"/>
      <c r="K18" s="295"/>
      <c r="L18" s="311">
        <f>D18+H18</f>
        <v>18519050</v>
      </c>
      <c r="M18" s="187">
        <f>N18-L18</f>
        <v>1080000</v>
      </c>
      <c r="N18" s="187">
        <f t="shared" si="1"/>
        <v>19599050</v>
      </c>
      <c r="O18" s="187">
        <f t="shared" si="6"/>
        <v>9547800</v>
      </c>
    </row>
    <row r="19" spans="1:15">
      <c r="A19" s="367"/>
      <c r="B19" s="185"/>
      <c r="C19" s="186" t="s">
        <v>127</v>
      </c>
      <c r="D19" s="187">
        <v>154511481</v>
      </c>
      <c r="E19" s="187">
        <f>F19-D19</f>
        <v>33350391</v>
      </c>
      <c r="F19" s="187">
        <v>187861872</v>
      </c>
      <c r="G19" s="287">
        <v>0</v>
      </c>
      <c r="H19" s="294">
        <v>0</v>
      </c>
      <c r="I19" s="187">
        <f>J19-H19</f>
        <v>0</v>
      </c>
      <c r="J19" s="187"/>
      <c r="K19" s="295"/>
      <c r="L19" s="311">
        <f>D19+H19</f>
        <v>154511481</v>
      </c>
      <c r="M19" s="187">
        <f>N19-L19</f>
        <v>33350391</v>
      </c>
      <c r="N19" s="187">
        <f t="shared" si="1"/>
        <v>187861872</v>
      </c>
      <c r="O19" s="187">
        <f t="shared" si="6"/>
        <v>0</v>
      </c>
    </row>
    <row r="20" spans="1:15" ht="25.5" customHeight="1">
      <c r="A20" s="367"/>
      <c r="B20" s="373" t="s">
        <v>289</v>
      </c>
      <c r="C20" s="373"/>
      <c r="D20" s="194">
        <f>SUM(D17:D19)+D16</f>
        <v>381428896</v>
      </c>
      <c r="E20" s="194">
        <f t="shared" ref="E20:K20" si="8">SUM(E17:E19)</f>
        <v>34430391</v>
      </c>
      <c r="F20" s="194">
        <f>SUM(F17:F19)+F16</f>
        <v>416051331</v>
      </c>
      <c r="G20" s="289">
        <f>SUM(G17:G19)+G16</f>
        <v>115039654</v>
      </c>
      <c r="H20" s="298">
        <f t="shared" si="8"/>
        <v>539102</v>
      </c>
      <c r="I20" s="194">
        <f t="shared" si="8"/>
        <v>0</v>
      </c>
      <c r="J20" s="194">
        <f t="shared" si="8"/>
        <v>539102</v>
      </c>
      <c r="K20" s="299">
        <f t="shared" si="8"/>
        <v>0</v>
      </c>
      <c r="L20" s="312">
        <f>SUM(L17:L19)</f>
        <v>381951307</v>
      </c>
      <c r="M20" s="194">
        <f>SUM(M17:M19)</f>
        <v>34430391</v>
      </c>
      <c r="N20" s="194">
        <f t="shared" si="1"/>
        <v>416590433</v>
      </c>
      <c r="O20" s="194">
        <f>SUM(O18:O19)</f>
        <v>9547800</v>
      </c>
    </row>
    <row r="21" spans="1:15" s="203" customFormat="1" ht="19.5" customHeight="1">
      <c r="A21" s="202" t="s">
        <v>65</v>
      </c>
      <c r="B21" s="373" t="s">
        <v>290</v>
      </c>
      <c r="C21" s="373"/>
      <c r="D21" s="194">
        <v>59708513</v>
      </c>
      <c r="E21" s="194">
        <f>F21-D21</f>
        <v>140000</v>
      </c>
      <c r="F21" s="194">
        <v>59848513</v>
      </c>
      <c r="G21" s="289">
        <v>17003007</v>
      </c>
      <c r="H21" s="298">
        <v>0</v>
      </c>
      <c r="I21" s="194">
        <f>J21-H21</f>
        <v>0</v>
      </c>
      <c r="J21" s="194"/>
      <c r="K21" s="299"/>
      <c r="L21" s="312">
        <f>D21+H21</f>
        <v>59708513</v>
      </c>
      <c r="M21" s="194">
        <f>N21-L21</f>
        <v>140000</v>
      </c>
      <c r="N21" s="194">
        <f t="shared" si="1"/>
        <v>59848513</v>
      </c>
      <c r="O21" s="194">
        <f>G21+K21</f>
        <v>17003007</v>
      </c>
    </row>
    <row r="22" spans="1:15" s="203" customFormat="1" ht="18.75" customHeight="1">
      <c r="A22" s="202" t="s">
        <v>66</v>
      </c>
      <c r="B22" s="373" t="s">
        <v>172</v>
      </c>
      <c r="C22" s="373"/>
      <c r="D22" s="194">
        <v>0</v>
      </c>
      <c r="E22" s="194"/>
      <c r="F22" s="194"/>
      <c r="G22" s="289"/>
      <c r="H22" s="298">
        <v>0</v>
      </c>
      <c r="I22" s="194"/>
      <c r="J22" s="194"/>
      <c r="K22" s="299"/>
      <c r="L22" s="312">
        <f>D22+H22</f>
        <v>0</v>
      </c>
      <c r="M22" s="194"/>
      <c r="N22" s="194">
        <f t="shared" si="1"/>
        <v>0</v>
      </c>
      <c r="O22" s="194">
        <f>SUM(O20:O21)</f>
        <v>26550807</v>
      </c>
    </row>
    <row r="23" spans="1:15" ht="25.5">
      <c r="A23" s="391" t="s">
        <v>67</v>
      </c>
      <c r="B23" s="185"/>
      <c r="C23" s="186" t="s">
        <v>291</v>
      </c>
      <c r="D23" s="187">
        <v>690000</v>
      </c>
      <c r="E23" s="187">
        <f>F23-D23</f>
        <v>0</v>
      </c>
      <c r="F23" s="187">
        <v>690000</v>
      </c>
      <c r="G23" s="287">
        <v>690000</v>
      </c>
      <c r="H23" s="294">
        <v>0</v>
      </c>
      <c r="I23" s="187">
        <f>J23-H23</f>
        <v>0</v>
      </c>
      <c r="J23" s="187"/>
      <c r="K23" s="295"/>
      <c r="L23" s="311">
        <f>D23+H23</f>
        <v>690000</v>
      </c>
      <c r="M23" s="187">
        <f>N23-L23</f>
        <v>0</v>
      </c>
      <c r="N23" s="187">
        <f t="shared" si="1"/>
        <v>690000</v>
      </c>
      <c r="O23" s="187">
        <f>G23+K23</f>
        <v>690000</v>
      </c>
    </row>
    <row r="24" spans="1:15" ht="25.5">
      <c r="A24" s="391"/>
      <c r="B24" s="185"/>
      <c r="C24" s="186" t="s">
        <v>292</v>
      </c>
      <c r="D24" s="187">
        <v>2000000</v>
      </c>
      <c r="E24" s="187">
        <f>F24-D24</f>
        <v>0</v>
      </c>
      <c r="F24" s="187">
        <v>2000000</v>
      </c>
      <c r="G24" s="287">
        <v>300000</v>
      </c>
      <c r="H24" s="294">
        <v>0</v>
      </c>
      <c r="I24" s="187">
        <f>J24-H24</f>
        <v>0</v>
      </c>
      <c r="J24" s="187"/>
      <c r="K24" s="295"/>
      <c r="L24" s="311">
        <f>D24+H24</f>
        <v>2000000</v>
      </c>
      <c r="M24" s="187">
        <f>N24-L24</f>
        <v>0</v>
      </c>
      <c r="N24" s="187">
        <f t="shared" si="1"/>
        <v>2000000</v>
      </c>
      <c r="O24" s="187">
        <f>G24+K24</f>
        <v>300000</v>
      </c>
    </row>
    <row r="25" spans="1:15">
      <c r="A25" s="391"/>
      <c r="B25" s="185"/>
      <c r="C25" s="186" t="s">
        <v>293</v>
      </c>
      <c r="D25" s="187">
        <v>6003678</v>
      </c>
      <c r="E25" s="187">
        <f>F25-D25</f>
        <v>87532362</v>
      </c>
      <c r="F25" s="187">
        <v>93536040</v>
      </c>
      <c r="G25" s="287">
        <v>87532362</v>
      </c>
      <c r="H25" s="294">
        <v>0</v>
      </c>
      <c r="I25" s="187">
        <f>J25-H25</f>
        <v>0</v>
      </c>
      <c r="J25" s="187"/>
      <c r="K25" s="295"/>
      <c r="L25" s="311">
        <f>D25+H25</f>
        <v>6003678</v>
      </c>
      <c r="M25" s="187">
        <f>N25-L25</f>
        <v>87532362</v>
      </c>
      <c r="N25" s="187">
        <f t="shared" si="1"/>
        <v>93536040</v>
      </c>
      <c r="O25" s="187">
        <f>G25+K25</f>
        <v>87532362</v>
      </c>
    </row>
    <row r="26" spans="1:15" s="184" customFormat="1" ht="25.5" customHeight="1">
      <c r="A26" s="391"/>
      <c r="B26" s="373" t="s">
        <v>294</v>
      </c>
      <c r="C26" s="373"/>
      <c r="D26" s="194">
        <f t="shared" ref="D26:I26" si="9">SUM(D23:D25)</f>
        <v>8693678</v>
      </c>
      <c r="E26" s="194">
        <f t="shared" si="9"/>
        <v>87532362</v>
      </c>
      <c r="F26" s="194">
        <f t="shared" si="9"/>
        <v>96226040</v>
      </c>
      <c r="G26" s="289">
        <f t="shared" si="9"/>
        <v>88522362</v>
      </c>
      <c r="H26" s="298">
        <f t="shared" si="9"/>
        <v>0</v>
      </c>
      <c r="I26" s="194">
        <f t="shared" si="9"/>
        <v>0</v>
      </c>
      <c r="J26" s="194"/>
      <c r="K26" s="299"/>
      <c r="L26" s="312">
        <f>SUM(L23:L25)</f>
        <v>8693678</v>
      </c>
      <c r="M26" s="194">
        <f>SUM(M23:M25)</f>
        <v>87532362</v>
      </c>
      <c r="N26" s="194">
        <f t="shared" si="1"/>
        <v>96226040</v>
      </c>
      <c r="O26" s="194">
        <f>SUM(O24:O25)</f>
        <v>87832362</v>
      </c>
    </row>
    <row r="27" spans="1:15" s="184" customFormat="1" ht="25.5" customHeight="1">
      <c r="A27" s="378" t="s">
        <v>295</v>
      </c>
      <c r="B27" s="378"/>
      <c r="C27" s="378"/>
      <c r="D27" s="197">
        <f>D7+D8+D14+D15+D20+D21+D22+D26</f>
        <v>578995907</v>
      </c>
      <c r="E27" s="197">
        <f t="shared" ref="E27:K27" si="10">E7+E8+E14+E15+E16+E20+E21+E22+E26</f>
        <v>122790797</v>
      </c>
      <c r="F27" s="197">
        <f>F7+F8+F14+F15+F20+F21+F22+F26</f>
        <v>701786704</v>
      </c>
      <c r="G27" s="290">
        <f>G7+G8+G14+G15+G20+G21+G22+G26</f>
        <v>277107102</v>
      </c>
      <c r="H27" s="301">
        <f t="shared" si="10"/>
        <v>84002643</v>
      </c>
      <c r="I27" s="197">
        <f t="shared" si="10"/>
        <v>301550</v>
      </c>
      <c r="J27" s="197">
        <f t="shared" si="10"/>
        <v>84304193</v>
      </c>
      <c r="K27" s="302">
        <f t="shared" si="10"/>
        <v>40303289</v>
      </c>
      <c r="L27" s="313">
        <f>L7+L8+L14+L15+L16+L20+L21+L22+L26</f>
        <v>662998550</v>
      </c>
      <c r="M27" s="197">
        <f>M7+M8+M14+M15+M16+M20+M21+M22+M26</f>
        <v>123092347</v>
      </c>
      <c r="N27" s="197">
        <f>N7+N8+N14+N15+N20+N21+N22+N26</f>
        <v>786090897</v>
      </c>
      <c r="O27" s="197">
        <f>O7+O8+O14+O15+O16+O20+O21+O22+O26</f>
        <v>237988079</v>
      </c>
    </row>
    <row r="28" spans="1:15" s="184" customFormat="1" ht="25.5" customHeight="1">
      <c r="A28" s="284"/>
      <c r="B28" s="372" t="s">
        <v>345</v>
      </c>
      <c r="C28" s="373"/>
      <c r="D28" s="194">
        <f>D29</f>
        <v>0</v>
      </c>
      <c r="E28" s="194">
        <f>F28-D28</f>
        <v>30000000</v>
      </c>
      <c r="F28" s="194">
        <f>F29</f>
        <v>30000000</v>
      </c>
      <c r="G28" s="289">
        <f>G29</f>
        <v>30000000</v>
      </c>
      <c r="H28" s="298">
        <f>SUM(H25:H27)</f>
        <v>84002643</v>
      </c>
      <c r="I28" s="194">
        <f>SUM(I25:I27)</f>
        <v>301550</v>
      </c>
      <c r="J28" s="194">
        <f>SUM(J25:J27)</f>
        <v>84304193</v>
      </c>
      <c r="K28" s="299">
        <f>SUM(K25:K27)</f>
        <v>40303289</v>
      </c>
      <c r="L28" s="312">
        <f>L29</f>
        <v>0</v>
      </c>
      <c r="M28" s="194">
        <f>SUM(M25:M27)</f>
        <v>298157071</v>
      </c>
      <c r="N28" s="194">
        <f>F28+J28</f>
        <v>114304193</v>
      </c>
      <c r="O28" s="194">
        <f>SUM(O26:O27)</f>
        <v>325820441</v>
      </c>
    </row>
    <row r="29" spans="1:15">
      <c r="A29" s="284"/>
      <c r="B29" s="185"/>
      <c r="C29" s="186" t="s">
        <v>346</v>
      </c>
      <c r="D29" s="187">
        <v>0</v>
      </c>
      <c r="E29" s="187">
        <f>F29-D29</f>
        <v>30000000</v>
      </c>
      <c r="F29" s="187">
        <v>30000000</v>
      </c>
      <c r="G29" s="287">
        <v>30000000</v>
      </c>
      <c r="H29" s="294">
        <v>0</v>
      </c>
      <c r="I29" s="187">
        <f>J29-H29</f>
        <v>0</v>
      </c>
      <c r="J29" s="187"/>
      <c r="K29" s="295"/>
      <c r="L29" s="311">
        <f>D29+H29</f>
        <v>0</v>
      </c>
      <c r="M29" s="187">
        <f>N29-L29</f>
        <v>30000000</v>
      </c>
      <c r="N29" s="187">
        <f>F29+J29</f>
        <v>30000000</v>
      </c>
      <c r="O29" s="187">
        <f>G29+K29</f>
        <v>30000000</v>
      </c>
    </row>
    <row r="30" spans="1:15">
      <c r="A30" s="379" t="s">
        <v>68</v>
      </c>
      <c r="B30" s="185"/>
      <c r="C30" s="186" t="s">
        <v>298</v>
      </c>
      <c r="D30" s="187">
        <v>8362407</v>
      </c>
      <c r="E30" s="187">
        <f>F30-D30</f>
        <v>0</v>
      </c>
      <c r="F30" s="187">
        <v>8362407</v>
      </c>
      <c r="G30" s="287">
        <v>8362407</v>
      </c>
      <c r="H30" s="294">
        <v>0</v>
      </c>
      <c r="I30" s="187">
        <f>J30-H30</f>
        <v>0</v>
      </c>
      <c r="J30" s="187"/>
      <c r="K30" s="295"/>
      <c r="L30" s="311">
        <f>D30+H30</f>
        <v>8362407</v>
      </c>
      <c r="M30" s="187">
        <f>N30-L30</f>
        <v>0</v>
      </c>
      <c r="N30" s="187">
        <f>F30+J30</f>
        <v>8362407</v>
      </c>
      <c r="O30" s="187">
        <f>G30+K30</f>
        <v>8362407</v>
      </c>
    </row>
    <row r="31" spans="1:15">
      <c r="A31" s="380"/>
      <c r="B31" s="185"/>
      <c r="C31" s="186" t="s">
        <v>299</v>
      </c>
      <c r="D31" s="187">
        <v>81263541</v>
      </c>
      <c r="E31" s="187">
        <f>F31-D31</f>
        <v>300960</v>
      </c>
      <c r="F31" s="187">
        <v>81564501</v>
      </c>
      <c r="G31" s="287">
        <v>40080972</v>
      </c>
      <c r="H31" s="294">
        <v>0</v>
      </c>
      <c r="I31" s="187">
        <f>J31-H31</f>
        <v>0</v>
      </c>
      <c r="J31" s="187"/>
      <c r="K31" s="295"/>
      <c r="L31" s="311">
        <f>D31+H31</f>
        <v>81263541</v>
      </c>
      <c r="M31" s="187">
        <f>N31-L31</f>
        <v>300960</v>
      </c>
      <c r="N31" s="187">
        <f>F31+J31</f>
        <v>81564501</v>
      </c>
      <c r="O31" s="187">
        <f>G31+K31</f>
        <v>40080972</v>
      </c>
    </row>
    <row r="32" spans="1:15" s="184" customFormat="1" ht="22.5" customHeight="1">
      <c r="A32" s="392" t="s">
        <v>296</v>
      </c>
      <c r="B32" s="393"/>
      <c r="C32" s="394"/>
      <c r="D32" s="197">
        <f t="shared" ref="D32:I32" si="11">SUM(D30:D31)</f>
        <v>89625948</v>
      </c>
      <c r="E32" s="197">
        <f t="shared" si="11"/>
        <v>300960</v>
      </c>
      <c r="F32" s="197">
        <f>SUM(F30:F31)+F28</f>
        <v>119926908</v>
      </c>
      <c r="G32" s="290">
        <f>SUM(G30:G31)+G28</f>
        <v>78443379</v>
      </c>
      <c r="H32" s="301">
        <f t="shared" si="11"/>
        <v>0</v>
      </c>
      <c r="I32" s="197">
        <f t="shared" si="11"/>
        <v>0</v>
      </c>
      <c r="J32" s="197"/>
      <c r="K32" s="302"/>
      <c r="L32" s="313">
        <f>SUM(L30:L31)</f>
        <v>89625948</v>
      </c>
      <c r="M32" s="197">
        <f>SUM(M30:M31)</f>
        <v>300960</v>
      </c>
      <c r="N32" s="197">
        <f>F32+K32</f>
        <v>119926908</v>
      </c>
      <c r="O32" s="197">
        <f>G32+K32</f>
        <v>78443379</v>
      </c>
    </row>
    <row r="33" spans="1:15" s="180" customFormat="1" ht="22.5" customHeight="1">
      <c r="A33" s="390" t="s">
        <v>297</v>
      </c>
      <c r="B33" s="390"/>
      <c r="C33" s="390"/>
      <c r="D33" s="198">
        <f>D27+D32+D28</f>
        <v>668621855</v>
      </c>
      <c r="E33" s="198">
        <f>E27+E32+E28</f>
        <v>153091757</v>
      </c>
      <c r="F33" s="198">
        <f t="shared" ref="F33:L33" si="12">F27+F32</f>
        <v>821713612</v>
      </c>
      <c r="G33" s="309">
        <f t="shared" si="12"/>
        <v>355550481</v>
      </c>
      <c r="H33" s="315">
        <f t="shared" si="12"/>
        <v>84002643</v>
      </c>
      <c r="I33" s="198">
        <f t="shared" si="12"/>
        <v>301550</v>
      </c>
      <c r="J33" s="198">
        <f t="shared" si="12"/>
        <v>84304193</v>
      </c>
      <c r="K33" s="316">
        <f t="shared" si="12"/>
        <v>40303289</v>
      </c>
      <c r="L33" s="314">
        <f t="shared" si="12"/>
        <v>752624498</v>
      </c>
      <c r="M33" s="198">
        <f>M27+M32+M29</f>
        <v>153393307</v>
      </c>
      <c r="N33" s="198">
        <f>N27+N32</f>
        <v>906017805</v>
      </c>
      <c r="O33" s="198">
        <f>G33+K33</f>
        <v>395853770</v>
      </c>
    </row>
    <row r="34" spans="1:15" ht="7.5" customHeight="1"/>
    <row r="35" spans="1:15">
      <c r="G35" s="365">
        <f>G33/F33</f>
        <v>0.43269391647853095</v>
      </c>
      <c r="K35" s="365">
        <f>K33/J33</f>
        <v>0.47806980371664315</v>
      </c>
    </row>
  </sheetData>
  <mergeCells count="24">
    <mergeCell ref="D3:G3"/>
    <mergeCell ref="H3:K3"/>
    <mergeCell ref="L3:O3"/>
    <mergeCell ref="A1:O1"/>
    <mergeCell ref="A2:O2"/>
    <mergeCell ref="A3:C4"/>
    <mergeCell ref="A33:C33"/>
    <mergeCell ref="B26:C26"/>
    <mergeCell ref="B21:C21"/>
    <mergeCell ref="B22:C22"/>
    <mergeCell ref="A23:A26"/>
    <mergeCell ref="A30:A31"/>
    <mergeCell ref="A32:C32"/>
    <mergeCell ref="A27:C27"/>
    <mergeCell ref="B28:C28"/>
    <mergeCell ref="B7:C7"/>
    <mergeCell ref="B8:C8"/>
    <mergeCell ref="A5:A7"/>
    <mergeCell ref="B20:C20"/>
    <mergeCell ref="A17:A20"/>
    <mergeCell ref="B14:C14"/>
    <mergeCell ref="A9:A14"/>
    <mergeCell ref="B15:C15"/>
    <mergeCell ref="B16:C16"/>
  </mergeCells>
  <phoneticPr fontId="0" type="noConversion"/>
  <printOptions horizontalCentered="1"/>
  <pageMargins left="0.27" right="0.16" top="0.49" bottom="0.45" header="0.19685039370078741" footer="0.19685039370078741"/>
  <pageSetup paperSize="9" scale="65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32"/>
  <sheetViews>
    <sheetView topLeftCell="D1" zoomScaleNormal="100" workbookViewId="0">
      <selection activeCell="K9" sqref="K9"/>
    </sheetView>
  </sheetViews>
  <sheetFormatPr defaultRowHeight="12.75"/>
  <cols>
    <col min="1" max="1" width="5.85546875" style="208" customWidth="1"/>
    <col min="2" max="2" width="47.28515625" style="209" customWidth="1"/>
    <col min="3" max="6" width="14" style="208" customWidth="1"/>
    <col min="7" max="7" width="47.28515625" style="208" customWidth="1"/>
    <col min="8" max="11" width="14" style="208" customWidth="1"/>
    <col min="12" max="12" width="4.140625" style="208" customWidth="1"/>
    <col min="13" max="16384" width="9.140625" style="208"/>
  </cols>
  <sheetData>
    <row r="1" spans="1:12" ht="39.75" customHeight="1">
      <c r="A1" s="206"/>
      <c r="B1" s="97" t="s">
        <v>117</v>
      </c>
      <c r="C1" s="207"/>
      <c r="D1" s="207"/>
      <c r="E1" s="207"/>
      <c r="F1" s="207"/>
      <c r="G1" s="207"/>
      <c r="H1" s="207"/>
      <c r="I1" s="207"/>
      <c r="J1" s="207"/>
      <c r="K1" s="207"/>
      <c r="L1" s="395"/>
    </row>
    <row r="2" spans="1:12" ht="14.25" thickBot="1">
      <c r="K2" s="98" t="s">
        <v>240</v>
      </c>
      <c r="L2" s="395"/>
    </row>
    <row r="3" spans="1:12" ht="18" customHeight="1" thickBot="1">
      <c r="A3" s="396" t="s">
        <v>118</v>
      </c>
      <c r="B3" s="99" t="s">
        <v>119</v>
      </c>
      <c r="C3" s="100"/>
      <c r="D3" s="265"/>
      <c r="E3" s="265"/>
      <c r="F3" s="265"/>
      <c r="G3" s="99" t="s">
        <v>120</v>
      </c>
      <c r="H3" s="275"/>
      <c r="I3" s="275"/>
      <c r="J3" s="275"/>
      <c r="K3" s="101"/>
      <c r="L3" s="395"/>
    </row>
    <row r="4" spans="1:12" s="105" customFormat="1" ht="35.25" customHeight="1" thickBot="1">
      <c r="A4" s="397"/>
      <c r="B4" s="102" t="s">
        <v>49</v>
      </c>
      <c r="C4" s="103" t="s">
        <v>304</v>
      </c>
      <c r="D4" s="276" t="s">
        <v>330</v>
      </c>
      <c r="E4" s="276" t="s">
        <v>331</v>
      </c>
      <c r="F4" s="276" t="s">
        <v>332</v>
      </c>
      <c r="G4" s="102" t="s">
        <v>49</v>
      </c>
      <c r="H4" s="104" t="s">
        <v>304</v>
      </c>
      <c r="I4" s="276" t="s">
        <v>330</v>
      </c>
      <c r="J4" s="276" t="s">
        <v>331</v>
      </c>
      <c r="K4" s="276" t="s">
        <v>332</v>
      </c>
      <c r="L4" s="395"/>
    </row>
    <row r="5" spans="1:12" s="110" customFormat="1" ht="12" customHeight="1" thickBot="1">
      <c r="A5" s="106">
        <v>1</v>
      </c>
      <c r="B5" s="107">
        <v>2</v>
      </c>
      <c r="C5" s="108" t="s">
        <v>52</v>
      </c>
      <c r="D5" s="266"/>
      <c r="E5" s="266"/>
      <c r="F5" s="266"/>
      <c r="G5" s="107" t="s">
        <v>53</v>
      </c>
      <c r="H5" s="109" t="s">
        <v>54</v>
      </c>
      <c r="I5" s="109"/>
      <c r="J5" s="109"/>
      <c r="K5" s="109"/>
      <c r="L5" s="395"/>
    </row>
    <row r="6" spans="1:12" ht="12.95" customHeight="1">
      <c r="A6" s="210" t="s">
        <v>50</v>
      </c>
      <c r="B6" s="111" t="s">
        <v>15</v>
      </c>
      <c r="C6" s="204">
        <v>149221000</v>
      </c>
      <c r="D6" s="267">
        <f>E6-C6</f>
        <v>15889464</v>
      </c>
      <c r="E6" s="267">
        <v>165110464</v>
      </c>
      <c r="F6" s="267">
        <v>73732189</v>
      </c>
      <c r="G6" s="111" t="s">
        <v>2</v>
      </c>
      <c r="H6" s="112">
        <v>104003443</v>
      </c>
      <c r="I6" s="112">
        <f t="shared" ref="I6:I11" si="0">J6-H6</f>
        <v>-757023</v>
      </c>
      <c r="J6" s="112">
        <v>103246420</v>
      </c>
      <c r="K6" s="112">
        <v>46402494</v>
      </c>
      <c r="L6" s="395"/>
    </row>
    <row r="7" spans="1:12" ht="12.95" customHeight="1">
      <c r="A7" s="211" t="s">
        <v>51</v>
      </c>
      <c r="B7" s="113" t="s">
        <v>226</v>
      </c>
      <c r="C7" s="114">
        <v>16821329</v>
      </c>
      <c r="D7" s="267">
        <f>E7-C7</f>
        <v>2391397</v>
      </c>
      <c r="E7" s="268">
        <v>19212726</v>
      </c>
      <c r="F7" s="268">
        <v>12680310</v>
      </c>
      <c r="G7" s="113" t="s">
        <v>121</v>
      </c>
      <c r="H7" s="115">
        <v>23234070</v>
      </c>
      <c r="I7" s="112">
        <f t="shared" si="0"/>
        <v>-222885</v>
      </c>
      <c r="J7" s="115">
        <v>23011185</v>
      </c>
      <c r="K7" s="115">
        <v>10311532</v>
      </c>
      <c r="L7" s="395"/>
    </row>
    <row r="8" spans="1:12" ht="12.95" customHeight="1">
      <c r="A8" s="211" t="s">
        <v>52</v>
      </c>
      <c r="B8" s="113" t="s">
        <v>122</v>
      </c>
      <c r="C8" s="114"/>
      <c r="D8" s="268"/>
      <c r="E8" s="268"/>
      <c r="F8" s="268"/>
      <c r="G8" s="113" t="s">
        <v>46</v>
      </c>
      <c r="H8" s="115">
        <v>83335848</v>
      </c>
      <c r="I8" s="112">
        <f t="shared" si="0"/>
        <v>1476498</v>
      </c>
      <c r="J8" s="115">
        <v>84812346</v>
      </c>
      <c r="K8" s="115">
        <v>39111833</v>
      </c>
      <c r="L8" s="395"/>
    </row>
    <row r="9" spans="1:12" ht="12.95" customHeight="1">
      <c r="A9" s="211" t="s">
        <v>53</v>
      </c>
      <c r="B9" s="116" t="s">
        <v>227</v>
      </c>
      <c r="C9" s="114">
        <v>255464747</v>
      </c>
      <c r="D9" s="267">
        <f>E9-C9</f>
        <v>6230688</v>
      </c>
      <c r="E9" s="268">
        <v>261695435</v>
      </c>
      <c r="F9" s="268">
        <v>137202002</v>
      </c>
      <c r="G9" s="113" t="s">
        <v>123</v>
      </c>
      <c r="H9" s="115">
        <v>2055000</v>
      </c>
      <c r="I9" s="112">
        <f t="shared" si="0"/>
        <v>300960</v>
      </c>
      <c r="J9" s="115">
        <v>2355960</v>
      </c>
      <c r="K9" s="115">
        <v>1019509</v>
      </c>
      <c r="L9" s="395"/>
    </row>
    <row r="10" spans="1:12" ht="12.95" customHeight="1">
      <c r="A10" s="211" t="s">
        <v>54</v>
      </c>
      <c r="B10" s="113" t="s">
        <v>124</v>
      </c>
      <c r="C10" s="114">
        <v>32673297</v>
      </c>
      <c r="D10" s="267">
        <f>E10-C10</f>
        <v>501794</v>
      </c>
      <c r="E10" s="268">
        <v>33175091</v>
      </c>
      <c r="F10" s="268">
        <v>11198394</v>
      </c>
      <c r="G10" s="113" t="s">
        <v>125</v>
      </c>
      <c r="H10" s="115">
        <v>227439826</v>
      </c>
      <c r="I10" s="112">
        <f t="shared" si="0"/>
        <v>1080000</v>
      </c>
      <c r="J10" s="115">
        <v>228519826</v>
      </c>
      <c r="K10" s="115">
        <v>114830919</v>
      </c>
      <c r="L10" s="395"/>
    </row>
    <row r="11" spans="1:12" ht="12.95" customHeight="1">
      <c r="A11" s="211" t="s">
        <v>63</v>
      </c>
      <c r="B11" s="113" t="s">
        <v>126</v>
      </c>
      <c r="C11" s="117"/>
      <c r="D11" s="269"/>
      <c r="E11" s="269"/>
      <c r="F11" s="269"/>
      <c r="G11" s="113" t="s">
        <v>127</v>
      </c>
      <c r="H11" s="115">
        <v>154511481</v>
      </c>
      <c r="I11" s="112">
        <f t="shared" si="0"/>
        <v>33350391</v>
      </c>
      <c r="J11" s="115">
        <v>187861872</v>
      </c>
      <c r="K11" s="115">
        <v>0</v>
      </c>
      <c r="L11" s="395"/>
    </row>
    <row r="12" spans="1:12" ht="12.95" customHeight="1">
      <c r="A12" s="211" t="s">
        <v>65</v>
      </c>
      <c r="B12" s="113" t="s">
        <v>128</v>
      </c>
      <c r="C12" s="114"/>
      <c r="D12" s="268"/>
      <c r="E12" s="268"/>
      <c r="F12" s="268"/>
      <c r="G12" s="113" t="s">
        <v>16</v>
      </c>
      <c r="H12" s="115"/>
      <c r="I12" s="115"/>
      <c r="J12" s="115"/>
      <c r="K12" s="115"/>
      <c r="L12" s="395"/>
    </row>
    <row r="13" spans="1:12" ht="12.95" customHeight="1">
      <c r="A13" s="211" t="s">
        <v>66</v>
      </c>
      <c r="B13" s="113" t="s">
        <v>129</v>
      </c>
      <c r="C13" s="114"/>
      <c r="D13" s="268"/>
      <c r="E13" s="268"/>
      <c r="F13" s="268"/>
      <c r="G13" s="118" t="s">
        <v>131</v>
      </c>
      <c r="H13" s="115"/>
      <c r="I13" s="115"/>
      <c r="J13" s="115"/>
      <c r="K13" s="115"/>
      <c r="L13" s="395"/>
    </row>
    <row r="14" spans="1:12" ht="12.95" customHeight="1">
      <c r="A14" s="211" t="s">
        <v>67</v>
      </c>
      <c r="B14" s="119" t="s">
        <v>130</v>
      </c>
      <c r="C14" s="117"/>
      <c r="D14" s="269"/>
      <c r="E14" s="269"/>
      <c r="F14" s="269"/>
      <c r="G14" s="118" t="s">
        <v>305</v>
      </c>
      <c r="H14" s="115">
        <v>16691</v>
      </c>
      <c r="I14" s="112">
        <f>J14-H14</f>
        <v>192044</v>
      </c>
      <c r="J14" s="115">
        <v>208735</v>
      </c>
      <c r="K14" s="115">
        <v>208735</v>
      </c>
      <c r="L14" s="395"/>
    </row>
    <row r="15" spans="1:12" ht="12.95" customHeight="1">
      <c r="A15" s="211" t="s">
        <v>68</v>
      </c>
      <c r="B15" s="118" t="s">
        <v>131</v>
      </c>
      <c r="C15" s="114"/>
      <c r="D15" s="268"/>
      <c r="E15" s="268"/>
      <c r="F15" s="268"/>
      <c r="G15" s="118"/>
      <c r="H15" s="115"/>
      <c r="I15" s="115"/>
      <c r="J15" s="115"/>
      <c r="K15" s="115"/>
      <c r="L15" s="395"/>
    </row>
    <row r="16" spans="1:12" ht="12.95" customHeight="1">
      <c r="A16" s="211" t="s">
        <v>34</v>
      </c>
      <c r="B16" s="118"/>
      <c r="C16" s="114"/>
      <c r="D16" s="268"/>
      <c r="E16" s="268"/>
      <c r="F16" s="268"/>
      <c r="G16" s="118"/>
      <c r="H16" s="115"/>
      <c r="I16" s="115"/>
      <c r="J16" s="115"/>
      <c r="K16" s="115"/>
      <c r="L16" s="395"/>
    </row>
    <row r="17" spans="1:12" ht="12.95" customHeight="1" thickBot="1">
      <c r="A17" s="211" t="s">
        <v>35</v>
      </c>
      <c r="B17" s="120"/>
      <c r="C17" s="121"/>
      <c r="D17" s="270"/>
      <c r="E17" s="270"/>
      <c r="F17" s="270"/>
      <c r="G17" s="118"/>
      <c r="H17" s="122"/>
      <c r="I17" s="122"/>
      <c r="J17" s="122"/>
      <c r="K17" s="122"/>
      <c r="L17" s="395"/>
    </row>
    <row r="18" spans="1:12" ht="15.95" customHeight="1" thickBot="1">
      <c r="A18" s="123" t="s">
        <v>41</v>
      </c>
      <c r="B18" s="124" t="s">
        <v>132</v>
      </c>
      <c r="C18" s="125">
        <f>+C6+C7+C8+C9+C10+C12+C13+C14+C15+C16+C17</f>
        <v>454180373</v>
      </c>
      <c r="D18" s="125">
        <f>+D6+D7+D8+D9+D10+D12+D13+D14+D15+D16+D17</f>
        <v>25013343</v>
      </c>
      <c r="E18" s="125">
        <f>+E6+E7+E8+E9+E10+E12+E13+E14+E15+E16+E17</f>
        <v>479193716</v>
      </c>
      <c r="F18" s="125">
        <f>+F6+F7+F8+F9+F10+F12+F13+F14+F15+F16+F17</f>
        <v>234812895</v>
      </c>
      <c r="G18" s="124" t="s">
        <v>133</v>
      </c>
      <c r="H18" s="126">
        <f>SUM(H6:H17)</f>
        <v>594596359</v>
      </c>
      <c r="I18" s="126">
        <f>SUM(I6:I17)</f>
        <v>35419985</v>
      </c>
      <c r="J18" s="126">
        <f>SUM(J6:J17)</f>
        <v>630016344</v>
      </c>
      <c r="K18" s="126">
        <f>SUM(K6:K17)</f>
        <v>211885022</v>
      </c>
      <c r="L18" s="395"/>
    </row>
    <row r="19" spans="1:12" ht="12.95" customHeight="1">
      <c r="A19" s="127" t="s">
        <v>36</v>
      </c>
      <c r="B19" s="128" t="s">
        <v>134</v>
      </c>
      <c r="C19" s="205">
        <f>+C20+C21+C22+C23</f>
        <v>295205805</v>
      </c>
      <c r="D19" s="205">
        <f>+D20+D21+D22+D23</f>
        <v>300960</v>
      </c>
      <c r="E19" s="205">
        <f>+E20+E21+E22+E23</f>
        <v>295506765</v>
      </c>
      <c r="F19" s="205">
        <f>+F20+F21+F22+F23</f>
        <v>171882519</v>
      </c>
      <c r="G19" s="129" t="s">
        <v>135</v>
      </c>
      <c r="H19" s="130"/>
      <c r="I19" s="112">
        <f>J19-H19</f>
        <v>30000000</v>
      </c>
      <c r="J19" s="130">
        <v>30000000</v>
      </c>
      <c r="K19" s="130">
        <v>30000000</v>
      </c>
      <c r="L19" s="395"/>
    </row>
    <row r="20" spans="1:12" ht="12.95" customHeight="1">
      <c r="A20" s="131" t="s">
        <v>72</v>
      </c>
      <c r="B20" s="129" t="s">
        <v>136</v>
      </c>
      <c r="C20" s="132">
        <v>21173938</v>
      </c>
      <c r="D20" s="267">
        <f>E20-C20</f>
        <v>0</v>
      </c>
      <c r="E20" s="271">
        <v>21173938</v>
      </c>
      <c r="F20" s="271">
        <v>21173938</v>
      </c>
      <c r="G20" s="129" t="s">
        <v>137</v>
      </c>
      <c r="H20" s="133"/>
      <c r="I20" s="133"/>
      <c r="J20" s="133"/>
      <c r="K20" s="133"/>
      <c r="L20" s="395"/>
    </row>
    <row r="21" spans="1:12" ht="12.95" customHeight="1">
      <c r="A21" s="131" t="s">
        <v>84</v>
      </c>
      <c r="B21" s="129" t="s">
        <v>138</v>
      </c>
      <c r="C21" s="132"/>
      <c r="D21" s="271"/>
      <c r="E21" s="271"/>
      <c r="F21" s="271"/>
      <c r="G21" s="129" t="s">
        <v>139</v>
      </c>
      <c r="H21" s="133"/>
      <c r="I21" s="133"/>
      <c r="J21" s="133"/>
      <c r="K21" s="133"/>
      <c r="L21" s="395"/>
    </row>
    <row r="22" spans="1:12" ht="12.95" customHeight="1">
      <c r="A22" s="131" t="s">
        <v>37</v>
      </c>
      <c r="B22" s="129" t="s">
        <v>237</v>
      </c>
      <c r="C22" s="132">
        <v>192768326</v>
      </c>
      <c r="D22" s="267">
        <f>E22-C22</f>
        <v>0</v>
      </c>
      <c r="E22" s="271">
        <v>192768326</v>
      </c>
      <c r="F22" s="271">
        <v>110627609</v>
      </c>
      <c r="G22" s="129" t="s">
        <v>140</v>
      </c>
      <c r="H22" s="133"/>
      <c r="I22" s="133"/>
      <c r="J22" s="133"/>
      <c r="K22" s="133"/>
      <c r="L22" s="395"/>
    </row>
    <row r="23" spans="1:12" ht="12.95" customHeight="1">
      <c r="A23" s="131" t="s">
        <v>85</v>
      </c>
      <c r="B23" s="129" t="s">
        <v>141</v>
      </c>
      <c r="C23" s="132">
        <v>81263541</v>
      </c>
      <c r="D23" s="267">
        <f>E23-C23</f>
        <v>300960</v>
      </c>
      <c r="E23" s="272">
        <v>81564501</v>
      </c>
      <c r="F23" s="272">
        <v>40080972</v>
      </c>
      <c r="G23" s="128" t="s">
        <v>142</v>
      </c>
      <c r="H23" s="133"/>
      <c r="I23" s="133"/>
      <c r="J23" s="133"/>
      <c r="K23" s="133"/>
      <c r="L23" s="395"/>
    </row>
    <row r="24" spans="1:12" ht="12.95" customHeight="1">
      <c r="A24" s="131" t="s">
        <v>69</v>
      </c>
      <c r="B24" s="129" t="s">
        <v>143</v>
      </c>
      <c r="C24" s="134">
        <f>+C25+C26</f>
        <v>0</v>
      </c>
      <c r="D24" s="273"/>
      <c r="E24" s="273"/>
      <c r="F24" s="273"/>
      <c r="G24" s="129" t="s">
        <v>144</v>
      </c>
      <c r="H24" s="133"/>
      <c r="I24" s="133"/>
      <c r="J24" s="133"/>
      <c r="K24" s="133"/>
      <c r="L24" s="395"/>
    </row>
    <row r="25" spans="1:12" ht="12.95" customHeight="1">
      <c r="A25" s="127" t="s">
        <v>106</v>
      </c>
      <c r="B25" s="128" t="s">
        <v>145</v>
      </c>
      <c r="C25" s="135"/>
      <c r="D25" s="272"/>
      <c r="E25" s="272"/>
      <c r="F25" s="272"/>
      <c r="G25" s="111" t="s">
        <v>146</v>
      </c>
      <c r="H25" s="130">
        <v>81263541</v>
      </c>
      <c r="I25" s="112">
        <f>J25-H25</f>
        <v>300960</v>
      </c>
      <c r="J25" s="130">
        <v>81564501</v>
      </c>
      <c r="K25" s="130">
        <v>40080972</v>
      </c>
      <c r="L25" s="395"/>
    </row>
    <row r="26" spans="1:12" ht="12.95" customHeight="1" thickBot="1">
      <c r="A26" s="131" t="s">
        <v>147</v>
      </c>
      <c r="B26" s="129" t="s">
        <v>148</v>
      </c>
      <c r="C26" s="132"/>
      <c r="D26" s="271"/>
      <c r="E26" s="271"/>
      <c r="F26" s="271"/>
      <c r="G26" s="118" t="s">
        <v>228</v>
      </c>
      <c r="H26" s="133">
        <v>8362407</v>
      </c>
      <c r="I26" s="112">
        <f>J26-H26</f>
        <v>0</v>
      </c>
      <c r="J26" s="133">
        <v>8362407</v>
      </c>
      <c r="K26" s="133">
        <v>8362407</v>
      </c>
      <c r="L26" s="395"/>
    </row>
    <row r="27" spans="1:12" ht="15.95" customHeight="1" thickBot="1">
      <c r="A27" s="123" t="s">
        <v>149</v>
      </c>
      <c r="B27" s="124" t="s">
        <v>150</v>
      </c>
      <c r="C27" s="125">
        <f>+C19+C24</f>
        <v>295205805</v>
      </c>
      <c r="D27" s="125">
        <f>+D19+D24</f>
        <v>300960</v>
      </c>
      <c r="E27" s="125">
        <f>+E19+E24</f>
        <v>295506765</v>
      </c>
      <c r="F27" s="125">
        <f>+F19+F24</f>
        <v>171882519</v>
      </c>
      <c r="G27" s="124" t="s">
        <v>151</v>
      </c>
      <c r="H27" s="126">
        <f>SUM(H19:H26)</f>
        <v>89625948</v>
      </c>
      <c r="I27" s="126">
        <f>SUM(I19:I26)</f>
        <v>30300960</v>
      </c>
      <c r="J27" s="126">
        <f>SUM(J19:J26)</f>
        <v>119926908</v>
      </c>
      <c r="K27" s="126">
        <f>SUM(K19:K26)</f>
        <v>78443379</v>
      </c>
      <c r="L27" s="395"/>
    </row>
    <row r="28" spans="1:12" ht="18" customHeight="1" thickBot="1">
      <c r="A28" s="123" t="s">
        <v>152</v>
      </c>
      <c r="B28" s="136" t="s">
        <v>153</v>
      </c>
      <c r="C28" s="125">
        <f>+C18+C27</f>
        <v>749386178</v>
      </c>
      <c r="D28" s="125">
        <f>+D18+D27</f>
        <v>25314303</v>
      </c>
      <c r="E28" s="125">
        <f>+E18+E27</f>
        <v>774700481</v>
      </c>
      <c r="F28" s="125">
        <f>+F18+F27</f>
        <v>406695414</v>
      </c>
      <c r="G28" s="136" t="s">
        <v>154</v>
      </c>
      <c r="H28" s="126">
        <f>+H18+H27</f>
        <v>684222307</v>
      </c>
      <c r="I28" s="126">
        <f>+I18+I27</f>
        <v>65720945</v>
      </c>
      <c r="J28" s="126">
        <f>+J18+J27</f>
        <v>749943252</v>
      </c>
      <c r="K28" s="126">
        <f>+K18+K27</f>
        <v>290328401</v>
      </c>
      <c r="L28" s="395"/>
    </row>
    <row r="29" spans="1:12" ht="18" customHeight="1" thickBot="1">
      <c r="A29" s="123" t="s">
        <v>155</v>
      </c>
      <c r="B29" s="124" t="s">
        <v>156</v>
      </c>
      <c r="C29" s="137"/>
      <c r="D29" s="274"/>
      <c r="E29" s="274"/>
      <c r="F29" s="274"/>
      <c r="G29" s="124" t="s">
        <v>157</v>
      </c>
      <c r="H29" s="138"/>
      <c r="I29" s="138"/>
      <c r="J29" s="138"/>
      <c r="K29" s="138"/>
      <c r="L29" s="395"/>
    </row>
    <row r="30" spans="1:12" ht="13.5" thickBot="1">
      <c r="A30" s="123" t="s">
        <v>158</v>
      </c>
      <c r="B30" s="139" t="s">
        <v>159</v>
      </c>
      <c r="C30" s="140">
        <f>+C28+C29</f>
        <v>749386178</v>
      </c>
      <c r="D30" s="140">
        <f>+D28+D29</f>
        <v>25314303</v>
      </c>
      <c r="E30" s="140">
        <f>+E28+E29</f>
        <v>774700481</v>
      </c>
      <c r="F30" s="140">
        <f>+F28+F29</f>
        <v>406695414</v>
      </c>
      <c r="G30" s="139" t="s">
        <v>160</v>
      </c>
      <c r="H30" s="140">
        <f>+H28+H29</f>
        <v>684222307</v>
      </c>
      <c r="I30" s="140">
        <f>+I28+I29</f>
        <v>65720945</v>
      </c>
      <c r="J30" s="140">
        <f>+J28+J29</f>
        <v>749943252</v>
      </c>
      <c r="K30" s="140">
        <f>+K28+K29</f>
        <v>290328401</v>
      </c>
      <c r="L30" s="395"/>
    </row>
    <row r="31" spans="1:12" ht="13.5" thickBot="1">
      <c r="A31" s="123" t="s">
        <v>161</v>
      </c>
      <c r="B31" s="139" t="s">
        <v>162</v>
      </c>
      <c r="C31" s="140" t="str">
        <f>IF(C18-K18&lt;0,K18-C18,"-")</f>
        <v>-</v>
      </c>
      <c r="D31" s="140" t="str">
        <f>IF(D18-L18&lt;0,L18-D18,"-")</f>
        <v>-</v>
      </c>
      <c r="E31" s="140" t="str">
        <f>IF(E18-M18&lt;0,M18-E18,"-")</f>
        <v>-</v>
      </c>
      <c r="F31" s="140" t="str">
        <f>IF(F18-N18&lt;0,N18-F18,"-")</f>
        <v>-</v>
      </c>
      <c r="G31" s="139" t="s">
        <v>163</v>
      </c>
      <c r="H31" s="140" t="str">
        <f t="shared" ref="H31:K32" si="1">IF(H18-P18&lt;0,P18-H18,"-")</f>
        <v>-</v>
      </c>
      <c r="I31" s="140" t="str">
        <f t="shared" si="1"/>
        <v>-</v>
      </c>
      <c r="J31" s="140" t="str">
        <f t="shared" si="1"/>
        <v>-</v>
      </c>
      <c r="K31" s="140" t="str">
        <f t="shared" si="1"/>
        <v>-</v>
      </c>
      <c r="L31" s="395"/>
    </row>
    <row r="32" spans="1:12" ht="13.5" thickBot="1">
      <c r="A32" s="123" t="s">
        <v>164</v>
      </c>
      <c r="B32" s="139" t="s">
        <v>165</v>
      </c>
      <c r="C32" s="140" t="str">
        <f>IF(C18+C19-K28&lt;0,K28-(C18+C19),"-")</f>
        <v>-</v>
      </c>
      <c r="D32" s="140" t="str">
        <f>IF(D18+D19-L28&lt;0,L28-(D18+D19),"-")</f>
        <v>-</v>
      </c>
      <c r="E32" s="140" t="str">
        <f>IF(E18+E19-M28&lt;0,M28-(E18+E19),"-")</f>
        <v>-</v>
      </c>
      <c r="F32" s="140" t="str">
        <f>IF(F18+F19-N28&lt;0,N28-(F18+F19),"-")</f>
        <v>-</v>
      </c>
      <c r="G32" s="139" t="s">
        <v>166</v>
      </c>
      <c r="H32" s="140" t="str">
        <f t="shared" si="1"/>
        <v>-</v>
      </c>
      <c r="I32" s="140" t="str">
        <f t="shared" si="1"/>
        <v>-</v>
      </c>
      <c r="J32" s="140" t="str">
        <f t="shared" si="1"/>
        <v>-</v>
      </c>
      <c r="K32" s="140" t="str">
        <f t="shared" si="1"/>
        <v>-</v>
      </c>
      <c r="L32" s="395"/>
    </row>
  </sheetData>
  <mergeCells count="2">
    <mergeCell ref="L1:L32"/>
    <mergeCell ref="A3:A4"/>
  </mergeCells>
  <phoneticPr fontId="7" type="noConversion"/>
  <pageMargins left="0.75" right="0.75" top="0.73" bottom="1" header="0.5" footer="0.5"/>
  <pageSetup paperSize="9" scale="95" orientation="landscape" r:id="rId1"/>
  <headerFooter alignWithMargins="0">
    <oddHeader>&amp;R3.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D7" workbookViewId="0">
      <selection activeCell="K7" sqref="K7"/>
    </sheetView>
  </sheetViews>
  <sheetFormatPr defaultRowHeight="12.75"/>
  <cols>
    <col min="1" max="1" width="5.85546875" style="208" customWidth="1"/>
    <col min="2" max="2" width="47.28515625" style="209" customWidth="1"/>
    <col min="3" max="6" width="14" style="208" customWidth="1"/>
    <col min="7" max="7" width="47.28515625" style="208" customWidth="1"/>
    <col min="8" max="10" width="21" style="208" customWidth="1"/>
    <col min="11" max="11" width="14" style="208" customWidth="1"/>
    <col min="12" max="12" width="4.140625" style="208" customWidth="1"/>
    <col min="13" max="16384" width="9.140625" style="208"/>
  </cols>
  <sheetData>
    <row r="1" spans="1:12" ht="31.5">
      <c r="A1" s="206"/>
      <c r="B1" s="97" t="s">
        <v>167</v>
      </c>
      <c r="C1" s="207"/>
      <c r="D1" s="207"/>
      <c r="E1" s="207"/>
      <c r="F1" s="207"/>
      <c r="G1" s="207"/>
      <c r="H1" s="207"/>
      <c r="I1" s="207"/>
      <c r="J1" s="207"/>
      <c r="K1" s="207"/>
      <c r="L1" s="395"/>
    </row>
    <row r="2" spans="1:12" ht="14.25" thickBot="1">
      <c r="K2" s="98" t="s">
        <v>240</v>
      </c>
      <c r="L2" s="395"/>
    </row>
    <row r="3" spans="1:12" ht="13.5" thickBot="1">
      <c r="A3" s="398" t="s">
        <v>118</v>
      </c>
      <c r="B3" s="99" t="s">
        <v>119</v>
      </c>
      <c r="C3" s="100"/>
      <c r="D3" s="265"/>
      <c r="E3" s="265"/>
      <c r="F3" s="265"/>
      <c r="G3" s="99" t="s">
        <v>120</v>
      </c>
      <c r="H3" s="275"/>
      <c r="I3" s="275"/>
      <c r="J3" s="275"/>
      <c r="K3" s="101"/>
      <c r="L3" s="395"/>
    </row>
    <row r="4" spans="1:12" s="105" customFormat="1" ht="24.75" thickBot="1">
      <c r="A4" s="399"/>
      <c r="B4" s="102" t="s">
        <v>49</v>
      </c>
      <c r="C4" s="103" t="s">
        <v>304</v>
      </c>
      <c r="D4" s="276" t="s">
        <v>330</v>
      </c>
      <c r="E4" s="276" t="s">
        <v>331</v>
      </c>
      <c r="F4" s="276" t="s">
        <v>332</v>
      </c>
      <c r="G4" s="102" t="s">
        <v>49</v>
      </c>
      <c r="H4" s="104" t="s">
        <v>304</v>
      </c>
      <c r="I4" s="276" t="s">
        <v>330</v>
      </c>
      <c r="J4" s="276" t="s">
        <v>331</v>
      </c>
      <c r="K4" s="276" t="s">
        <v>332</v>
      </c>
      <c r="L4" s="395"/>
    </row>
    <row r="5" spans="1:12" s="105" customFormat="1" ht="13.5" thickBot="1">
      <c r="A5" s="106">
        <v>1</v>
      </c>
      <c r="B5" s="107">
        <v>2</v>
      </c>
      <c r="C5" s="108">
        <v>3</v>
      </c>
      <c r="D5" s="266"/>
      <c r="E5" s="266"/>
      <c r="F5" s="266"/>
      <c r="G5" s="107">
        <v>4</v>
      </c>
      <c r="H5" s="109">
        <v>5</v>
      </c>
      <c r="I5" s="109"/>
      <c r="J5" s="109"/>
      <c r="K5" s="109">
        <v>5</v>
      </c>
      <c r="L5" s="395"/>
    </row>
    <row r="6" spans="1:12" ht="12.95" customHeight="1">
      <c r="A6" s="210" t="s">
        <v>50</v>
      </c>
      <c r="B6" s="111" t="s">
        <v>168</v>
      </c>
      <c r="C6" s="204">
        <v>2372880</v>
      </c>
      <c r="D6" s="267">
        <f>E6-C6</f>
        <v>0</v>
      </c>
      <c r="E6" s="267">
        <v>2372880</v>
      </c>
      <c r="F6" s="267">
        <v>1186440</v>
      </c>
      <c r="G6" s="111" t="s">
        <v>169</v>
      </c>
      <c r="H6" s="112">
        <v>59708513</v>
      </c>
      <c r="I6" s="112">
        <f>J6-H6</f>
        <v>140000</v>
      </c>
      <c r="J6" s="112">
        <v>59848513</v>
      </c>
      <c r="K6" s="112">
        <v>17003007</v>
      </c>
      <c r="L6" s="395"/>
    </row>
    <row r="7" spans="1:12" ht="12.95" customHeight="1">
      <c r="A7" s="210" t="s">
        <v>51</v>
      </c>
      <c r="B7" s="141" t="s">
        <v>170</v>
      </c>
      <c r="C7" s="204"/>
      <c r="D7" s="267"/>
      <c r="E7" s="267"/>
      <c r="F7" s="267"/>
      <c r="G7" s="111"/>
      <c r="H7" s="112"/>
      <c r="I7" s="112"/>
      <c r="J7" s="112"/>
      <c r="K7" s="112"/>
      <c r="L7" s="395"/>
    </row>
    <row r="8" spans="1:12" ht="22.5" customHeight="1">
      <c r="A8" s="210" t="s">
        <v>52</v>
      </c>
      <c r="B8" s="113" t="s">
        <v>171</v>
      </c>
      <c r="C8" s="114">
        <v>0</v>
      </c>
      <c r="D8" s="268"/>
      <c r="E8" s="268"/>
      <c r="F8" s="268"/>
      <c r="G8" s="113" t="s">
        <v>172</v>
      </c>
      <c r="H8" s="115"/>
      <c r="I8" s="115"/>
      <c r="J8" s="115"/>
      <c r="K8" s="115"/>
      <c r="L8" s="395"/>
    </row>
    <row r="9" spans="1:12" ht="12.95" customHeight="1">
      <c r="A9" s="210" t="s">
        <v>53</v>
      </c>
      <c r="B9" s="113" t="s">
        <v>173</v>
      </c>
      <c r="C9" s="114"/>
      <c r="D9" s="268"/>
      <c r="E9" s="268"/>
      <c r="F9" s="268"/>
      <c r="G9" s="113" t="s">
        <v>174</v>
      </c>
      <c r="H9" s="115">
        <f>SUM(H10:H16)</f>
        <v>6693678</v>
      </c>
      <c r="I9" s="115">
        <f>SUM(I10:I16)</f>
        <v>87532362</v>
      </c>
      <c r="J9" s="115">
        <f>SUM(J10:J16)</f>
        <v>94226040</v>
      </c>
      <c r="K9" s="115">
        <f>SUM(K10:K16)</f>
        <v>88222362</v>
      </c>
      <c r="L9" s="395"/>
    </row>
    <row r="10" spans="1:12" ht="12.95" customHeight="1">
      <c r="A10" s="210" t="s">
        <v>54</v>
      </c>
      <c r="B10" s="113" t="s">
        <v>175</v>
      </c>
      <c r="C10" s="114"/>
      <c r="D10" s="268"/>
      <c r="E10" s="268"/>
      <c r="F10" s="268"/>
      <c r="G10" s="113" t="s">
        <v>176</v>
      </c>
      <c r="H10" s="115">
        <v>690000</v>
      </c>
      <c r="I10" s="112">
        <f>J10-H10</f>
        <v>0</v>
      </c>
      <c r="J10" s="115">
        <v>690000</v>
      </c>
      <c r="K10" s="115">
        <v>690000</v>
      </c>
      <c r="L10" s="395"/>
    </row>
    <row r="11" spans="1:12" ht="12.75" customHeight="1">
      <c r="A11" s="210" t="s">
        <v>63</v>
      </c>
      <c r="B11" s="113" t="s">
        <v>177</v>
      </c>
      <c r="C11" s="114"/>
      <c r="D11" s="268"/>
      <c r="E11" s="268"/>
      <c r="F11" s="268"/>
      <c r="G11" s="113" t="s">
        <v>178</v>
      </c>
      <c r="H11" s="115">
        <v>6003678</v>
      </c>
      <c r="I11" s="112">
        <f>J11-H11</f>
        <v>87532362</v>
      </c>
      <c r="J11" s="115">
        <v>93536040</v>
      </c>
      <c r="K11" s="115">
        <v>87532362</v>
      </c>
      <c r="L11" s="395"/>
    </row>
    <row r="12" spans="1:12" ht="12.95" customHeight="1">
      <c r="A12" s="210" t="s">
        <v>65</v>
      </c>
      <c r="B12" s="113" t="s">
        <v>179</v>
      </c>
      <c r="C12" s="117"/>
      <c r="D12" s="269"/>
      <c r="E12" s="269"/>
      <c r="F12" s="269"/>
      <c r="G12" s="142" t="s">
        <v>180</v>
      </c>
      <c r="H12" s="115"/>
      <c r="I12" s="115"/>
      <c r="J12" s="115"/>
      <c r="K12" s="115"/>
      <c r="L12" s="395"/>
    </row>
    <row r="13" spans="1:12" ht="12.95" customHeight="1">
      <c r="A13" s="210" t="s">
        <v>66</v>
      </c>
      <c r="B13" s="113" t="s">
        <v>181</v>
      </c>
      <c r="C13" s="114"/>
      <c r="D13" s="267">
        <f>E13-C13</f>
        <v>128079004</v>
      </c>
      <c r="E13" s="268">
        <v>128079004</v>
      </c>
      <c r="F13" s="268">
        <v>128079004</v>
      </c>
      <c r="G13" s="142" t="s">
        <v>182</v>
      </c>
      <c r="H13" s="115"/>
      <c r="I13" s="115"/>
      <c r="J13" s="115"/>
      <c r="K13" s="115"/>
      <c r="L13" s="395"/>
    </row>
    <row r="14" spans="1:12" ht="12.95" customHeight="1">
      <c r="A14" s="210" t="s">
        <v>67</v>
      </c>
      <c r="B14" s="113" t="s">
        <v>183</v>
      </c>
      <c r="C14" s="114"/>
      <c r="D14" s="268"/>
      <c r="E14" s="268"/>
      <c r="F14" s="268"/>
      <c r="G14" s="143" t="s">
        <v>184</v>
      </c>
      <c r="H14" s="115"/>
      <c r="I14" s="115"/>
      <c r="J14" s="115"/>
      <c r="K14" s="115"/>
      <c r="L14" s="395"/>
    </row>
    <row r="15" spans="1:12" ht="12.95" customHeight="1">
      <c r="A15" s="210" t="s">
        <v>68</v>
      </c>
      <c r="B15" s="144" t="s">
        <v>185</v>
      </c>
      <c r="C15" s="117"/>
      <c r="D15" s="269"/>
      <c r="E15" s="269"/>
      <c r="F15" s="269"/>
      <c r="G15" s="142" t="s">
        <v>186</v>
      </c>
      <c r="H15" s="115"/>
      <c r="I15" s="115"/>
      <c r="J15" s="115"/>
      <c r="K15" s="115"/>
      <c r="L15" s="395"/>
    </row>
    <row r="16" spans="1:12" ht="22.5" customHeight="1">
      <c r="A16" s="210" t="s">
        <v>34</v>
      </c>
      <c r="B16" s="113" t="s">
        <v>187</v>
      </c>
      <c r="C16" s="117"/>
      <c r="D16" s="269"/>
      <c r="E16" s="269"/>
      <c r="F16" s="269"/>
      <c r="G16" s="142" t="s">
        <v>188</v>
      </c>
      <c r="H16" s="115"/>
      <c r="I16" s="115"/>
      <c r="J16" s="115"/>
      <c r="K16" s="115"/>
      <c r="L16" s="395"/>
    </row>
    <row r="17" spans="1:12" ht="12.95" customHeight="1">
      <c r="A17" s="210" t="s">
        <v>35</v>
      </c>
      <c r="B17" s="113" t="s">
        <v>189</v>
      </c>
      <c r="C17" s="115">
        <v>865440</v>
      </c>
      <c r="D17" s="267">
        <f>E17-C17</f>
        <v>0</v>
      </c>
      <c r="E17" s="269">
        <v>865440</v>
      </c>
      <c r="F17" s="269">
        <v>366432</v>
      </c>
      <c r="G17" s="113" t="s">
        <v>127</v>
      </c>
      <c r="H17" s="115">
        <v>0</v>
      </c>
      <c r="I17" s="115"/>
      <c r="J17" s="115"/>
      <c r="K17" s="115"/>
      <c r="L17" s="395"/>
    </row>
    <row r="18" spans="1:12" ht="12.95" customHeight="1" thickBot="1">
      <c r="A18" s="210" t="s">
        <v>41</v>
      </c>
      <c r="B18" s="145" t="s">
        <v>190</v>
      </c>
      <c r="C18" s="146">
        <v>0</v>
      </c>
      <c r="D18" s="277"/>
      <c r="E18" s="277"/>
      <c r="F18" s="277"/>
      <c r="G18" s="145" t="s">
        <v>16</v>
      </c>
      <c r="H18" s="212">
        <v>2000000</v>
      </c>
      <c r="I18" s="112">
        <f>J18-H18</f>
        <v>0</v>
      </c>
      <c r="J18" s="212">
        <v>2000000</v>
      </c>
      <c r="K18" s="212">
        <v>300000</v>
      </c>
      <c r="L18" s="395"/>
    </row>
    <row r="19" spans="1:12" ht="15.95" customHeight="1" thickBot="1">
      <c r="A19" s="123" t="s">
        <v>41</v>
      </c>
      <c r="B19" s="124" t="s">
        <v>191</v>
      </c>
      <c r="C19" s="125">
        <f>C6+C7+C8+C9+C10+C11+C12+C13+C14+C16+C17+C18</f>
        <v>3238320</v>
      </c>
      <c r="D19" s="125">
        <f>D6+D7+D8+D9+D10+D11+D12+D13+D14+D16+D17+D18</f>
        <v>128079004</v>
      </c>
      <c r="E19" s="125">
        <f>E6+E7+E8+E9+E10+E11+E12+E13+E14+E16+E17+E18</f>
        <v>131317324</v>
      </c>
      <c r="F19" s="125">
        <f>F6+F7+F8+F9+F10+F11+F12+F13+F14+F16+F17+F18</f>
        <v>129631876</v>
      </c>
      <c r="G19" s="124" t="s">
        <v>14</v>
      </c>
      <c r="H19" s="126">
        <f>+H6+H8+H9+H17+H18</f>
        <v>68402191</v>
      </c>
      <c r="I19" s="126">
        <f>+I6+I8+I9+I17+I18</f>
        <v>87672362</v>
      </c>
      <c r="J19" s="126">
        <f>+J6+J8+J9+J17+J18</f>
        <v>156074553</v>
      </c>
      <c r="K19" s="126">
        <f>+K6+K8+K9+K17+K18</f>
        <v>105525369</v>
      </c>
      <c r="L19" s="395"/>
    </row>
    <row r="20" spans="1:12" ht="12.95" customHeight="1">
      <c r="A20" s="147" t="s">
        <v>36</v>
      </c>
      <c r="B20" s="148" t="s">
        <v>192</v>
      </c>
      <c r="C20" s="149">
        <f>+C21+C22+C23+C24+C25</f>
        <v>0</v>
      </c>
      <c r="D20" s="278"/>
      <c r="E20" s="278"/>
      <c r="F20" s="278"/>
      <c r="G20" s="129" t="s">
        <v>135</v>
      </c>
      <c r="H20" s="150"/>
      <c r="I20" s="150"/>
      <c r="J20" s="150"/>
      <c r="K20" s="150"/>
      <c r="L20" s="395"/>
    </row>
    <row r="21" spans="1:12" ht="12.95" customHeight="1">
      <c r="A21" s="211" t="s">
        <v>72</v>
      </c>
      <c r="B21" s="151" t="s">
        <v>193</v>
      </c>
      <c r="C21" s="132"/>
      <c r="D21" s="271"/>
      <c r="E21" s="271"/>
      <c r="F21" s="271"/>
      <c r="G21" s="129" t="s">
        <v>194</v>
      </c>
      <c r="H21" s="133"/>
      <c r="I21" s="133"/>
      <c r="J21" s="133"/>
      <c r="K21" s="133"/>
      <c r="L21" s="395"/>
    </row>
    <row r="22" spans="1:12" ht="12.95" customHeight="1">
      <c r="A22" s="147" t="s">
        <v>84</v>
      </c>
      <c r="B22" s="151" t="s">
        <v>195</v>
      </c>
      <c r="C22" s="132"/>
      <c r="D22" s="271"/>
      <c r="E22" s="271"/>
      <c r="F22" s="271"/>
      <c r="G22" s="129" t="s">
        <v>139</v>
      </c>
      <c r="H22" s="133"/>
      <c r="I22" s="133"/>
      <c r="J22" s="133"/>
      <c r="K22" s="133"/>
      <c r="L22" s="395"/>
    </row>
    <row r="23" spans="1:12" ht="12.95" customHeight="1">
      <c r="A23" s="211" t="s">
        <v>37</v>
      </c>
      <c r="B23" s="151" t="s">
        <v>196</v>
      </c>
      <c r="C23" s="132"/>
      <c r="D23" s="271"/>
      <c r="E23" s="271"/>
      <c r="F23" s="271"/>
      <c r="G23" s="129" t="s">
        <v>140</v>
      </c>
      <c r="H23" s="133"/>
      <c r="I23" s="133"/>
      <c r="J23" s="133"/>
      <c r="K23" s="133"/>
      <c r="L23" s="395"/>
    </row>
    <row r="24" spans="1:12" ht="12.95" customHeight="1">
      <c r="A24" s="147" t="s">
        <v>85</v>
      </c>
      <c r="B24" s="151" t="s">
        <v>197</v>
      </c>
      <c r="C24" s="132"/>
      <c r="D24" s="272"/>
      <c r="E24" s="272"/>
      <c r="F24" s="272"/>
      <c r="G24" s="128" t="s">
        <v>17</v>
      </c>
      <c r="H24" s="133"/>
      <c r="I24" s="133"/>
      <c r="J24" s="133"/>
      <c r="K24" s="133"/>
      <c r="L24" s="395"/>
    </row>
    <row r="25" spans="1:12" ht="12.95" customHeight="1">
      <c r="A25" s="211" t="s">
        <v>69</v>
      </c>
      <c r="B25" s="152" t="s">
        <v>198</v>
      </c>
      <c r="C25" s="132"/>
      <c r="D25" s="271"/>
      <c r="E25" s="271"/>
      <c r="F25" s="271"/>
      <c r="G25" s="129" t="s">
        <v>199</v>
      </c>
      <c r="H25" s="133"/>
      <c r="I25" s="133"/>
      <c r="J25" s="133"/>
      <c r="K25" s="133"/>
      <c r="L25" s="395"/>
    </row>
    <row r="26" spans="1:12" ht="12.95" customHeight="1">
      <c r="A26" s="147" t="s">
        <v>106</v>
      </c>
      <c r="B26" s="153" t="s">
        <v>200</v>
      </c>
      <c r="C26" s="134">
        <f>+C27+C28+C29+C30+C31</f>
        <v>0</v>
      </c>
      <c r="D26" s="278"/>
      <c r="E26" s="278"/>
      <c r="F26" s="278"/>
      <c r="G26" s="154" t="s">
        <v>201</v>
      </c>
      <c r="H26" s="133"/>
      <c r="I26" s="133"/>
      <c r="J26" s="133"/>
      <c r="K26" s="133"/>
      <c r="L26" s="395"/>
    </row>
    <row r="27" spans="1:12" ht="12.95" customHeight="1">
      <c r="A27" s="211" t="s">
        <v>147</v>
      </c>
      <c r="B27" s="152" t="s">
        <v>202</v>
      </c>
      <c r="C27" s="132"/>
      <c r="D27" s="279"/>
      <c r="E27" s="279"/>
      <c r="F27" s="279"/>
      <c r="G27" s="154" t="s">
        <v>203</v>
      </c>
      <c r="H27" s="133"/>
      <c r="I27" s="133"/>
      <c r="J27" s="133"/>
      <c r="K27" s="133"/>
      <c r="L27" s="395"/>
    </row>
    <row r="28" spans="1:12" ht="12.95" customHeight="1">
      <c r="A28" s="147" t="s">
        <v>149</v>
      </c>
      <c r="B28" s="152" t="s">
        <v>204</v>
      </c>
      <c r="C28" s="132"/>
      <c r="D28" s="279"/>
      <c r="E28" s="279"/>
      <c r="F28" s="279"/>
      <c r="G28" s="155"/>
      <c r="H28" s="133"/>
      <c r="I28" s="133"/>
      <c r="J28" s="133"/>
      <c r="K28" s="133"/>
      <c r="L28" s="395"/>
    </row>
    <row r="29" spans="1:12" ht="12.95" customHeight="1">
      <c r="A29" s="211" t="s">
        <v>152</v>
      </c>
      <c r="B29" s="151" t="s">
        <v>205</v>
      </c>
      <c r="C29" s="132"/>
      <c r="D29" s="279"/>
      <c r="E29" s="279"/>
      <c r="F29" s="279"/>
      <c r="G29" s="156"/>
      <c r="H29" s="133"/>
      <c r="I29" s="133"/>
      <c r="J29" s="133"/>
      <c r="K29" s="133"/>
      <c r="L29" s="395"/>
    </row>
    <row r="30" spans="1:12" ht="12.95" customHeight="1">
      <c r="A30" s="147" t="s">
        <v>155</v>
      </c>
      <c r="B30" s="157" t="s">
        <v>206</v>
      </c>
      <c r="C30" s="132"/>
      <c r="D30" s="271"/>
      <c r="E30" s="271"/>
      <c r="F30" s="271"/>
      <c r="G30" s="118"/>
      <c r="H30" s="133"/>
      <c r="I30" s="133"/>
      <c r="J30" s="133"/>
      <c r="K30" s="133"/>
      <c r="L30" s="395"/>
    </row>
    <row r="31" spans="1:12" ht="12.95" customHeight="1" thickBot="1">
      <c r="A31" s="211" t="s">
        <v>158</v>
      </c>
      <c r="B31" s="158" t="s">
        <v>207</v>
      </c>
      <c r="C31" s="132"/>
      <c r="D31" s="279"/>
      <c r="E31" s="279"/>
      <c r="F31" s="279"/>
      <c r="G31" s="156"/>
      <c r="H31" s="133"/>
      <c r="I31" s="133"/>
      <c r="J31" s="133"/>
      <c r="K31" s="133"/>
      <c r="L31" s="395"/>
    </row>
    <row r="32" spans="1:12" ht="21.75" customHeight="1" thickBot="1">
      <c r="A32" s="123" t="s">
        <v>161</v>
      </c>
      <c r="B32" s="124" t="s">
        <v>208</v>
      </c>
      <c r="C32" s="125">
        <f>+C20+C26</f>
        <v>0</v>
      </c>
      <c r="D32" s="125">
        <f>+D20+D26</f>
        <v>0</v>
      </c>
      <c r="E32" s="125">
        <f>+E20+E26</f>
        <v>0</v>
      </c>
      <c r="F32" s="125">
        <f>+F20+F26</f>
        <v>0</v>
      </c>
      <c r="G32" s="124" t="s">
        <v>209</v>
      </c>
      <c r="H32" s="126">
        <f>SUM(H20:H31)</f>
        <v>0</v>
      </c>
      <c r="I32" s="126">
        <f>SUM(I20:I31)</f>
        <v>0</v>
      </c>
      <c r="J32" s="126">
        <f>SUM(J20:J31)</f>
        <v>0</v>
      </c>
      <c r="K32" s="126">
        <f>SUM(K20:K31)</f>
        <v>0</v>
      </c>
      <c r="L32" s="395"/>
    </row>
    <row r="33" spans="1:12" ht="18" customHeight="1" thickBot="1">
      <c r="A33" s="123" t="s">
        <v>164</v>
      </c>
      <c r="B33" s="136" t="s">
        <v>210</v>
      </c>
      <c r="C33" s="125">
        <f>+C19+C32</f>
        <v>3238320</v>
      </c>
      <c r="D33" s="125">
        <f>+D19+D32</f>
        <v>128079004</v>
      </c>
      <c r="E33" s="125">
        <f>+E19+E32</f>
        <v>131317324</v>
      </c>
      <c r="F33" s="125">
        <f>+F19+F32</f>
        <v>129631876</v>
      </c>
      <c r="G33" s="136" t="s">
        <v>211</v>
      </c>
      <c r="H33" s="126">
        <f>+H19+H32</f>
        <v>68402191</v>
      </c>
      <c r="I33" s="126">
        <f>+I19+I32</f>
        <v>87672362</v>
      </c>
      <c r="J33" s="126">
        <f>+J19+J32</f>
        <v>156074553</v>
      </c>
      <c r="K33" s="126">
        <f>+K19+K32</f>
        <v>105525369</v>
      </c>
      <c r="L33" s="395"/>
    </row>
    <row r="34" spans="1:12" ht="18" customHeight="1" thickBot="1">
      <c r="A34" s="123" t="s">
        <v>212</v>
      </c>
      <c r="B34" s="124" t="s">
        <v>156</v>
      </c>
      <c r="C34" s="137" t="s">
        <v>213</v>
      </c>
      <c r="D34" s="274"/>
      <c r="E34" s="274"/>
      <c r="F34" s="274"/>
      <c r="G34" s="124" t="s">
        <v>157</v>
      </c>
      <c r="H34" s="138"/>
      <c r="I34" s="138"/>
      <c r="J34" s="138"/>
      <c r="K34" s="138"/>
      <c r="L34" s="395"/>
    </row>
    <row r="35" spans="1:12" ht="13.5" thickBot="1">
      <c r="A35" s="123" t="s">
        <v>214</v>
      </c>
      <c r="B35" s="139" t="s">
        <v>215</v>
      </c>
      <c r="C35" s="140">
        <f>SUM(C33:C34)</f>
        <v>3238320</v>
      </c>
      <c r="D35" s="140">
        <f>SUM(D33:D34)</f>
        <v>128079004</v>
      </c>
      <c r="E35" s="140">
        <f>SUM(E33:E34)</f>
        <v>131317324</v>
      </c>
      <c r="F35" s="140">
        <f>SUM(F33:F34)</f>
        <v>129631876</v>
      </c>
      <c r="G35" s="139" t="s">
        <v>216</v>
      </c>
      <c r="H35" s="140">
        <f>+H33+H34</f>
        <v>68402191</v>
      </c>
      <c r="I35" s="140">
        <f>+I33+I34</f>
        <v>87672362</v>
      </c>
      <c r="J35" s="140">
        <f>+J33+J34</f>
        <v>156074553</v>
      </c>
      <c r="K35" s="140">
        <f>+K33+K34</f>
        <v>105525369</v>
      </c>
      <c r="L35" s="395"/>
    </row>
    <row r="36" spans="1:12" ht="13.5" thickBot="1">
      <c r="A36" s="123" t="s">
        <v>217</v>
      </c>
      <c r="B36" s="139" t="s">
        <v>162</v>
      </c>
      <c r="C36" s="140">
        <f>IF(C19-K19&lt;0,K19-C19,"-")</f>
        <v>102287049</v>
      </c>
      <c r="D36" s="140" t="str">
        <f>IF(D19-L19&lt;0,L19-D19,"-")</f>
        <v>-</v>
      </c>
      <c r="E36" s="140" t="str">
        <f>IF(E19-M19&lt;0,M19-E19,"-")</f>
        <v>-</v>
      </c>
      <c r="F36" s="140" t="str">
        <f>IF(F19-N19&lt;0,N19-F19,"-")</f>
        <v>-</v>
      </c>
      <c r="G36" s="139" t="s">
        <v>163</v>
      </c>
      <c r="H36" s="140" t="str">
        <f>IF(H19-P19&lt;0,P19-H19,"-")</f>
        <v>-</v>
      </c>
      <c r="I36" s="140" t="str">
        <f>IF(I19-Q19&lt;0,Q19-I19,"-")</f>
        <v>-</v>
      </c>
      <c r="J36" s="140" t="str">
        <f>IF(J19-R19&lt;0,R19-J19,"-")</f>
        <v>-</v>
      </c>
      <c r="K36" s="140" t="str">
        <f>IF(K19-S19&lt;0,S19-K19,"-")</f>
        <v>-</v>
      </c>
      <c r="L36" s="395"/>
    </row>
    <row r="37" spans="1:12" ht="13.5" thickBot="1">
      <c r="A37" s="123" t="s">
        <v>218</v>
      </c>
      <c r="B37" s="139" t="s">
        <v>165</v>
      </c>
      <c r="C37" s="140">
        <f>IF(C19+C20-K33&lt;0,K33-(C19+C20),"-")</f>
        <v>102287049</v>
      </c>
      <c r="D37" s="140" t="str">
        <f>IF(D19+D20-L33&lt;0,L33-(D19+D20),"-")</f>
        <v>-</v>
      </c>
      <c r="E37" s="140" t="str">
        <f>IF(E19+E20-M33&lt;0,M33-(E19+E20),"-")</f>
        <v>-</v>
      </c>
      <c r="F37" s="140" t="str">
        <f>IF(F19+F20-N33&lt;0,N33-(F19+F20),"-")</f>
        <v>-</v>
      </c>
      <c r="G37" s="139" t="s">
        <v>166</v>
      </c>
      <c r="H37" s="140" t="str">
        <f>IF(H19+H20-P33&lt;0,P33-(H19+H20),"-")</f>
        <v>-</v>
      </c>
      <c r="I37" s="140" t="str">
        <f>IF(I19+I20-Q33&lt;0,Q33-(I19+I20),"-")</f>
        <v>-</v>
      </c>
      <c r="J37" s="140" t="str">
        <f>IF(J19+J20-R33&lt;0,R33-(J19+J20),"-")</f>
        <v>-</v>
      </c>
      <c r="K37" s="140" t="str">
        <f>IF(K19+K20-S33&lt;0,S33-(K19+K20),"-")</f>
        <v>-</v>
      </c>
      <c r="L37" s="395"/>
    </row>
  </sheetData>
  <mergeCells count="2">
    <mergeCell ref="L1:L37"/>
    <mergeCell ref="A3:A4"/>
  </mergeCells>
  <phoneticPr fontId="7" type="noConversion"/>
  <pageMargins left="0.75" right="0.75" top="0.42" bottom="0.22" header="0.17" footer="0.17"/>
  <pageSetup paperSize="9" orientation="landscape" r:id="rId1"/>
  <headerFooter alignWithMargins="0">
    <oddHeader>&amp;R4.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O78"/>
  <sheetViews>
    <sheetView zoomScaleNormal="100" workbookViewId="0">
      <selection activeCell="A2" sqref="A2:O2"/>
    </sheetView>
  </sheetViews>
  <sheetFormatPr defaultRowHeight="15" customHeight="1"/>
  <cols>
    <col min="1" max="1" width="3" style="2" customWidth="1"/>
    <col min="2" max="2" width="44.7109375" style="2" bestFit="1" customWidth="1"/>
    <col min="3" max="3" width="8.28515625" style="23" bestFit="1" customWidth="1"/>
    <col min="4" max="4" width="14" style="23" bestFit="1" customWidth="1"/>
    <col min="5" max="6" width="14" style="23" customWidth="1"/>
    <col min="7" max="7" width="14" style="25" customWidth="1"/>
    <col min="8" max="8" width="11.5703125" style="12" bestFit="1" customWidth="1"/>
    <col min="9" max="14" width="11.5703125" style="12" customWidth="1"/>
    <col min="15" max="15" width="11.42578125" style="12" customWidth="1"/>
    <col min="16" max="16384" width="9.140625" style="2"/>
  </cols>
  <sheetData>
    <row r="1" spans="1:15" ht="21" customHeight="1">
      <c r="A1" s="381" t="s">
        <v>357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ht="18.75" customHeight="1">
      <c r="A2" s="381" t="s">
        <v>59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</row>
    <row r="3" spans="1:15" ht="15" customHeight="1">
      <c r="O3" s="19" t="s">
        <v>238</v>
      </c>
    </row>
    <row r="4" spans="1:15" customFormat="1" ht="36.75" customHeight="1">
      <c r="A4" s="383" t="s">
        <v>49</v>
      </c>
      <c r="B4" s="384"/>
      <c r="C4" s="385"/>
      <c r="D4" s="368" t="s">
        <v>347</v>
      </c>
      <c r="E4" s="369"/>
      <c r="F4" s="369"/>
      <c r="G4" s="369"/>
      <c r="H4" s="371" t="s">
        <v>351</v>
      </c>
      <c r="I4" s="369"/>
      <c r="J4" s="369"/>
      <c r="K4" s="370"/>
      <c r="L4" s="369" t="s">
        <v>353</v>
      </c>
      <c r="M4" s="369"/>
      <c r="N4" s="369"/>
      <c r="O4" s="370"/>
    </row>
    <row r="5" spans="1:15" customFormat="1" ht="21.75" customHeight="1" thickBot="1">
      <c r="A5" s="386"/>
      <c r="B5" s="387"/>
      <c r="C5" s="388"/>
      <c r="D5" s="218" t="s">
        <v>348</v>
      </c>
      <c r="E5" s="218" t="s">
        <v>349</v>
      </c>
      <c r="F5" s="218" t="s">
        <v>350</v>
      </c>
      <c r="G5" s="286" t="s">
        <v>332</v>
      </c>
      <c r="H5" s="292" t="s">
        <v>352</v>
      </c>
      <c r="I5" s="218" t="s">
        <v>349</v>
      </c>
      <c r="J5" s="218" t="s">
        <v>331</v>
      </c>
      <c r="K5" s="293" t="s">
        <v>332</v>
      </c>
      <c r="L5" s="310" t="s">
        <v>352</v>
      </c>
      <c r="M5" s="218" t="s">
        <v>349</v>
      </c>
      <c r="N5" s="218" t="s">
        <v>350</v>
      </c>
      <c r="O5" s="293" t="s">
        <v>332</v>
      </c>
    </row>
    <row r="6" spans="1:15" s="9" customFormat="1" ht="21" customHeight="1">
      <c r="A6" s="84" t="s">
        <v>25</v>
      </c>
      <c r="B6" s="55"/>
      <c r="C6" s="55"/>
      <c r="D6" s="55"/>
      <c r="E6" s="234"/>
      <c r="F6" s="88"/>
      <c r="G6" s="318"/>
      <c r="H6" s="335"/>
      <c r="I6" s="6"/>
      <c r="J6" s="6"/>
      <c r="K6" s="336"/>
      <c r="L6" s="324"/>
      <c r="M6" s="261"/>
      <c r="N6" s="261"/>
      <c r="O6" s="167"/>
    </row>
    <row r="7" spans="1:15" s="13" customFormat="1" ht="18" customHeight="1">
      <c r="A7" s="85" t="s">
        <v>22</v>
      </c>
      <c r="B7" s="86"/>
      <c r="C7" s="86"/>
      <c r="D7" s="165"/>
      <c r="E7" s="235"/>
      <c r="F7" s="246"/>
      <c r="G7" s="319"/>
      <c r="H7" s="337"/>
      <c r="I7" s="257"/>
      <c r="J7" s="257"/>
      <c r="K7" s="338"/>
      <c r="L7" s="176"/>
      <c r="M7" s="262"/>
      <c r="N7" s="262"/>
      <c r="O7" s="168"/>
    </row>
    <row r="8" spans="1:15" s="9" customFormat="1" ht="25.5">
      <c r="A8" s="91" t="s">
        <v>50</v>
      </c>
      <c r="B8" s="92" t="s">
        <v>93</v>
      </c>
      <c r="C8" s="93" t="s">
        <v>99</v>
      </c>
      <c r="D8" s="220">
        <f t="shared" ref="D8:K8" si="0">SUM(D9:D10)</f>
        <v>81263541</v>
      </c>
      <c r="E8" s="220">
        <f t="shared" si="0"/>
        <v>300960</v>
      </c>
      <c r="F8" s="220">
        <f t="shared" si="0"/>
        <v>81564501</v>
      </c>
      <c r="G8" s="220">
        <f t="shared" si="0"/>
        <v>40080972</v>
      </c>
      <c r="H8" s="339">
        <f t="shared" si="0"/>
        <v>0</v>
      </c>
      <c r="I8" s="228">
        <f t="shared" si="0"/>
        <v>0</v>
      </c>
      <c r="J8" s="228">
        <f t="shared" si="0"/>
        <v>0</v>
      </c>
      <c r="K8" s="340">
        <f t="shared" si="0"/>
        <v>0</v>
      </c>
      <c r="L8" s="325">
        <f>D8+H8</f>
        <v>81263541</v>
      </c>
      <c r="M8" s="220">
        <f>E8+I8</f>
        <v>300960</v>
      </c>
      <c r="N8" s="220">
        <f>F8+J8</f>
        <v>81564501</v>
      </c>
      <c r="O8" s="220">
        <f>G8+K8</f>
        <v>40080972</v>
      </c>
    </row>
    <row r="9" spans="1:15" s="9" customFormat="1" ht="25.5">
      <c r="A9" s="35" t="s">
        <v>50</v>
      </c>
      <c r="B9" s="16" t="s">
        <v>103</v>
      </c>
      <c r="C9" s="65"/>
      <c r="D9" s="166">
        <v>81263541</v>
      </c>
      <c r="E9" s="236">
        <f>F9-D9</f>
        <v>300960</v>
      </c>
      <c r="F9" s="247">
        <v>81564501</v>
      </c>
      <c r="G9" s="166">
        <f>33665426+6415546</f>
        <v>40080972</v>
      </c>
      <c r="H9" s="335">
        <v>0</v>
      </c>
      <c r="I9" s="236">
        <f>J9-H9</f>
        <v>0</v>
      </c>
      <c r="J9" s="6"/>
      <c r="K9" s="336"/>
      <c r="L9" s="326">
        <f>D9+H9</f>
        <v>81263541</v>
      </c>
      <c r="M9" s="236">
        <f>N9-L9</f>
        <v>300960</v>
      </c>
      <c r="N9" s="238">
        <f>F9+J9</f>
        <v>81564501</v>
      </c>
      <c r="O9" s="264">
        <f>G9+K9</f>
        <v>40080972</v>
      </c>
    </row>
    <row r="10" spans="1:15" s="9" customFormat="1" ht="15.75" customHeight="1">
      <c r="A10" s="88"/>
      <c r="B10" s="89"/>
      <c r="C10" s="89"/>
      <c r="D10" s="89"/>
      <c r="E10" s="237"/>
      <c r="F10" s="56"/>
      <c r="G10" s="320"/>
      <c r="H10" s="341"/>
      <c r="I10" s="237"/>
      <c r="J10" s="230"/>
      <c r="K10" s="342"/>
      <c r="L10" s="22"/>
      <c r="M10" s="237"/>
      <c r="N10" s="238">
        <f>F10+J10</f>
        <v>0</v>
      </c>
      <c r="O10" s="169"/>
    </row>
    <row r="11" spans="1:15" s="9" customFormat="1" ht="15" customHeight="1">
      <c r="A11" s="37" t="s">
        <v>51</v>
      </c>
      <c r="B11" s="40" t="s">
        <v>33</v>
      </c>
      <c r="C11" s="62" t="s">
        <v>100</v>
      </c>
      <c r="D11" s="221">
        <f t="shared" ref="D11:O11" si="1">SUM(D12:D12)</f>
        <v>0</v>
      </c>
      <c r="E11" s="221">
        <f t="shared" si="1"/>
        <v>0</v>
      </c>
      <c r="F11" s="221">
        <f t="shared" si="1"/>
        <v>0</v>
      </c>
      <c r="G11" s="221">
        <f t="shared" si="1"/>
        <v>0</v>
      </c>
      <c r="H11" s="343">
        <f t="shared" si="1"/>
        <v>0</v>
      </c>
      <c r="I11" s="50">
        <f t="shared" si="1"/>
        <v>0</v>
      </c>
      <c r="J11" s="50">
        <f t="shared" si="1"/>
        <v>0</v>
      </c>
      <c r="K11" s="344">
        <f t="shared" si="1"/>
        <v>0</v>
      </c>
      <c r="L11" s="327">
        <f t="shared" si="1"/>
        <v>0</v>
      </c>
      <c r="M11" s="221">
        <f t="shared" si="1"/>
        <v>0</v>
      </c>
      <c r="N11" s="221">
        <f t="shared" si="1"/>
        <v>0</v>
      </c>
      <c r="O11" s="221">
        <f t="shared" si="1"/>
        <v>0</v>
      </c>
    </row>
    <row r="12" spans="1:15" s="9" customFormat="1" ht="15" customHeight="1">
      <c r="A12" s="35" t="s">
        <v>50</v>
      </c>
      <c r="B12" s="16" t="s">
        <v>239</v>
      </c>
      <c r="C12" s="65"/>
      <c r="D12" s="166">
        <v>0</v>
      </c>
      <c r="E12" s="236">
        <f>F12-D12</f>
        <v>0</v>
      </c>
      <c r="F12" s="247"/>
      <c r="G12" s="166"/>
      <c r="H12" s="335">
        <v>0</v>
      </c>
      <c r="I12" s="236">
        <f>J12-H12</f>
        <v>0</v>
      </c>
      <c r="J12" s="6"/>
      <c r="K12" s="336"/>
      <c r="L12" s="326">
        <f>D12+H12</f>
        <v>0</v>
      </c>
      <c r="M12" s="236">
        <f>N12-L12</f>
        <v>0</v>
      </c>
      <c r="N12" s="238"/>
      <c r="O12" s="264"/>
    </row>
    <row r="13" spans="1:15" s="9" customFormat="1" ht="26.25" customHeight="1">
      <c r="A13" s="37" t="s">
        <v>52</v>
      </c>
      <c r="B13" s="38" t="s">
        <v>44</v>
      </c>
      <c r="C13" s="62" t="s">
        <v>101</v>
      </c>
      <c r="D13" s="221">
        <f t="shared" ref="D13:O13" si="2">SUM(D14:D20)</f>
        <v>5111101</v>
      </c>
      <c r="E13" s="221">
        <f t="shared" si="2"/>
        <v>0</v>
      </c>
      <c r="F13" s="221">
        <f t="shared" si="2"/>
        <v>5111101</v>
      </c>
      <c r="G13" s="221">
        <f t="shared" si="2"/>
        <v>5018757</v>
      </c>
      <c r="H13" s="343">
        <f t="shared" si="2"/>
        <v>539102</v>
      </c>
      <c r="I13" s="50">
        <f t="shared" si="2"/>
        <v>0</v>
      </c>
      <c r="J13" s="50">
        <f t="shared" si="2"/>
        <v>539102</v>
      </c>
      <c r="K13" s="344">
        <f t="shared" si="2"/>
        <v>0</v>
      </c>
      <c r="L13" s="327">
        <f t="shared" si="2"/>
        <v>5650203</v>
      </c>
      <c r="M13" s="221">
        <f t="shared" si="2"/>
        <v>0</v>
      </c>
      <c r="N13" s="221">
        <f t="shared" si="2"/>
        <v>5650203</v>
      </c>
      <c r="O13" s="221">
        <f t="shared" si="2"/>
        <v>5018757</v>
      </c>
    </row>
    <row r="14" spans="1:15" s="9" customFormat="1" ht="15" customHeight="1">
      <c r="A14" s="35" t="s">
        <v>50</v>
      </c>
      <c r="B14" s="7" t="s">
        <v>91</v>
      </c>
      <c r="C14" s="65"/>
      <c r="D14" s="166">
        <v>200000</v>
      </c>
      <c r="E14" s="236">
        <f>F14-D14</f>
        <v>0</v>
      </c>
      <c r="F14" s="247">
        <v>200000</v>
      </c>
      <c r="G14" s="166">
        <v>127656</v>
      </c>
      <c r="H14" s="335"/>
      <c r="I14" s="236">
        <f>J14-H14</f>
        <v>0</v>
      </c>
      <c r="J14" s="6"/>
      <c r="K14" s="336"/>
      <c r="L14" s="326">
        <f>D14+H14</f>
        <v>200000</v>
      </c>
      <c r="M14" s="236">
        <f>N14-L14</f>
        <v>0</v>
      </c>
      <c r="N14" s="238">
        <f>F14+J14</f>
        <v>200000</v>
      </c>
      <c r="O14" s="264">
        <f>G14+K14</f>
        <v>127656</v>
      </c>
    </row>
    <row r="15" spans="1:15" s="9" customFormat="1" ht="15" customHeight="1">
      <c r="A15" s="35" t="s">
        <v>51</v>
      </c>
      <c r="B15" s="8" t="s">
        <v>87</v>
      </c>
      <c r="C15" s="8"/>
      <c r="D15" s="94">
        <v>70000</v>
      </c>
      <c r="E15" s="236">
        <f t="shared" ref="E15:E26" si="3">F15-D15</f>
        <v>0</v>
      </c>
      <c r="F15" s="248">
        <v>70000</v>
      </c>
      <c r="G15" s="94">
        <v>50000</v>
      </c>
      <c r="H15" s="345"/>
      <c r="I15" s="236">
        <f t="shared" ref="I15:I26" si="4">J15-H15</f>
        <v>0</v>
      </c>
      <c r="J15" s="33"/>
      <c r="K15" s="346"/>
      <c r="L15" s="326">
        <f t="shared" ref="L15:L27" si="5">D15+H15</f>
        <v>70000</v>
      </c>
      <c r="M15" s="236">
        <f t="shared" ref="M15:M26" si="6">N15-L15</f>
        <v>0</v>
      </c>
      <c r="N15" s="238">
        <f t="shared" ref="N15:N20" si="7">F15+J15</f>
        <v>70000</v>
      </c>
      <c r="O15" s="264">
        <f t="shared" ref="O15:O27" si="8">G15+K15</f>
        <v>50000</v>
      </c>
    </row>
    <row r="16" spans="1:15" s="9" customFormat="1" ht="15" customHeight="1">
      <c r="A16" s="35" t="s">
        <v>52</v>
      </c>
      <c r="B16" s="8" t="s">
        <v>306</v>
      </c>
      <c r="C16" s="8"/>
      <c r="D16" s="94">
        <v>2867870</v>
      </c>
      <c r="E16" s="236">
        <f t="shared" si="3"/>
        <v>0</v>
      </c>
      <c r="F16" s="248">
        <v>2867870</v>
      </c>
      <c r="G16" s="94">
        <v>2867870</v>
      </c>
      <c r="H16" s="345"/>
      <c r="I16" s="236">
        <f t="shared" si="4"/>
        <v>0</v>
      </c>
      <c r="J16" s="33"/>
      <c r="K16" s="346"/>
      <c r="L16" s="326">
        <f t="shared" si="5"/>
        <v>2867870</v>
      </c>
      <c r="M16" s="236">
        <f t="shared" si="6"/>
        <v>0</v>
      </c>
      <c r="N16" s="238">
        <f t="shared" si="7"/>
        <v>2867870</v>
      </c>
      <c r="O16" s="264">
        <f t="shared" si="8"/>
        <v>2867870</v>
      </c>
    </row>
    <row r="17" spans="1:15" s="9" customFormat="1" ht="15" customHeight="1">
      <c r="A17" s="35" t="s">
        <v>53</v>
      </c>
      <c r="B17" s="7" t="s">
        <v>307</v>
      </c>
      <c r="C17" s="65"/>
      <c r="D17" s="94">
        <v>1636284</v>
      </c>
      <c r="E17" s="236">
        <f t="shared" si="3"/>
        <v>0</v>
      </c>
      <c r="F17" s="248">
        <v>1636284</v>
      </c>
      <c r="G17" s="94">
        <v>1636284</v>
      </c>
      <c r="H17" s="335"/>
      <c r="I17" s="236">
        <f t="shared" si="4"/>
        <v>0</v>
      </c>
      <c r="J17" s="6"/>
      <c r="K17" s="336"/>
      <c r="L17" s="326">
        <f t="shared" si="5"/>
        <v>1636284</v>
      </c>
      <c r="M17" s="236">
        <f t="shared" si="6"/>
        <v>0</v>
      </c>
      <c r="N17" s="238">
        <f t="shared" si="7"/>
        <v>1636284</v>
      </c>
      <c r="O17" s="264">
        <f t="shared" si="8"/>
        <v>1636284</v>
      </c>
    </row>
    <row r="18" spans="1:15" s="9" customFormat="1" ht="15" customHeight="1">
      <c r="A18" s="35" t="s">
        <v>54</v>
      </c>
      <c r="B18" s="7" t="s">
        <v>308</v>
      </c>
      <c r="C18" s="65"/>
      <c r="D18" s="94">
        <v>336947</v>
      </c>
      <c r="E18" s="236">
        <f t="shared" si="3"/>
        <v>0</v>
      </c>
      <c r="F18" s="248">
        <v>336947</v>
      </c>
      <c r="G18" s="94">
        <v>336947</v>
      </c>
      <c r="H18" s="335"/>
      <c r="I18" s="236">
        <f t="shared" si="4"/>
        <v>0</v>
      </c>
      <c r="J18" s="6"/>
      <c r="K18" s="336"/>
      <c r="L18" s="326">
        <f t="shared" si="5"/>
        <v>336947</v>
      </c>
      <c r="M18" s="236">
        <f t="shared" si="6"/>
        <v>0</v>
      </c>
      <c r="N18" s="238">
        <f t="shared" si="7"/>
        <v>336947</v>
      </c>
      <c r="O18" s="264">
        <f t="shared" si="8"/>
        <v>336947</v>
      </c>
    </row>
    <row r="19" spans="1:15" s="9" customFormat="1" ht="15" customHeight="1">
      <c r="A19" s="35"/>
      <c r="B19" s="8" t="s">
        <v>316</v>
      </c>
      <c r="C19" s="65"/>
      <c r="D19" s="94">
        <v>0</v>
      </c>
      <c r="E19" s="236">
        <f t="shared" si="3"/>
        <v>0</v>
      </c>
      <c r="F19" s="248"/>
      <c r="G19" s="94"/>
      <c r="H19" s="335">
        <v>539102</v>
      </c>
      <c r="I19" s="236">
        <f t="shared" si="4"/>
        <v>0</v>
      </c>
      <c r="J19" s="6">
        <v>539102</v>
      </c>
      <c r="K19" s="336"/>
      <c r="L19" s="326">
        <f t="shared" si="5"/>
        <v>539102</v>
      </c>
      <c r="M19" s="236">
        <f t="shared" si="6"/>
        <v>0</v>
      </c>
      <c r="N19" s="238">
        <f t="shared" si="7"/>
        <v>539102</v>
      </c>
      <c r="O19" s="264">
        <f t="shared" si="8"/>
        <v>0</v>
      </c>
    </row>
    <row r="20" spans="1:15" s="9" customFormat="1" ht="15" customHeight="1">
      <c r="A20" s="35" t="s">
        <v>63</v>
      </c>
      <c r="B20" s="7" t="s">
        <v>309</v>
      </c>
      <c r="C20" s="8"/>
      <c r="D20" s="94">
        <v>0</v>
      </c>
      <c r="E20" s="236">
        <f t="shared" si="3"/>
        <v>0</v>
      </c>
      <c r="F20" s="248"/>
      <c r="G20" s="94"/>
      <c r="H20" s="345">
        <v>0</v>
      </c>
      <c r="I20" s="236">
        <f t="shared" si="4"/>
        <v>0</v>
      </c>
      <c r="J20" s="33"/>
      <c r="K20" s="346"/>
      <c r="L20" s="326">
        <f t="shared" si="5"/>
        <v>0</v>
      </c>
      <c r="M20" s="236">
        <f t="shared" si="6"/>
        <v>0</v>
      </c>
      <c r="N20" s="238">
        <f t="shared" si="7"/>
        <v>0</v>
      </c>
      <c r="O20" s="264">
        <f t="shared" si="8"/>
        <v>0</v>
      </c>
    </row>
    <row r="21" spans="1:15" s="9" customFormat="1" ht="22.5" customHeight="1">
      <c r="A21" s="37" t="s">
        <v>53</v>
      </c>
      <c r="B21" s="38" t="s">
        <v>92</v>
      </c>
      <c r="C21" s="62" t="s">
        <v>102</v>
      </c>
      <c r="D21" s="221">
        <f t="shared" ref="D21:O21" si="9">SUM(D22:D27)</f>
        <v>203270573</v>
      </c>
      <c r="E21" s="221">
        <f t="shared" si="9"/>
        <v>0</v>
      </c>
      <c r="F21" s="221">
        <f t="shared" si="9"/>
        <v>203270573</v>
      </c>
      <c r="G21" s="221">
        <f t="shared" si="9"/>
        <v>100264362</v>
      </c>
      <c r="H21" s="343">
        <f t="shared" si="9"/>
        <v>0</v>
      </c>
      <c r="I21" s="50">
        <f t="shared" si="9"/>
        <v>0</v>
      </c>
      <c r="J21" s="50">
        <f t="shared" si="9"/>
        <v>0</v>
      </c>
      <c r="K21" s="344">
        <f t="shared" si="9"/>
        <v>0</v>
      </c>
      <c r="L21" s="327">
        <f t="shared" si="9"/>
        <v>203270573</v>
      </c>
      <c r="M21" s="221">
        <f t="shared" si="9"/>
        <v>0</v>
      </c>
      <c r="N21" s="221">
        <f t="shared" si="9"/>
        <v>203270573</v>
      </c>
      <c r="O21" s="221">
        <f t="shared" si="9"/>
        <v>100264362</v>
      </c>
    </row>
    <row r="22" spans="1:15" s="9" customFormat="1" ht="25.5">
      <c r="A22" s="35" t="s">
        <v>50</v>
      </c>
      <c r="B22" s="16" t="s">
        <v>104</v>
      </c>
      <c r="C22" s="65"/>
      <c r="D22" s="166">
        <v>49035</v>
      </c>
      <c r="E22" s="236">
        <f t="shared" si="3"/>
        <v>0</v>
      </c>
      <c r="F22" s="247">
        <v>49035</v>
      </c>
      <c r="G22" s="166"/>
      <c r="H22" s="335">
        <v>0</v>
      </c>
      <c r="I22" s="236">
        <f t="shared" si="4"/>
        <v>0</v>
      </c>
      <c r="J22" s="6"/>
      <c r="K22" s="336"/>
      <c r="L22" s="326">
        <f t="shared" si="5"/>
        <v>49035</v>
      </c>
      <c r="M22" s="236">
        <f t="shared" si="6"/>
        <v>0</v>
      </c>
      <c r="N22" s="238">
        <f t="shared" ref="N22:N28" si="10">F22+J22</f>
        <v>49035</v>
      </c>
      <c r="O22" s="264">
        <f t="shared" si="8"/>
        <v>0</v>
      </c>
    </row>
    <row r="23" spans="1:15" s="9" customFormat="1" ht="18" customHeight="1">
      <c r="A23" s="35" t="s">
        <v>51</v>
      </c>
      <c r="B23" s="8" t="s">
        <v>310</v>
      </c>
      <c r="C23" s="65"/>
      <c r="D23" s="94">
        <v>92000</v>
      </c>
      <c r="E23" s="236">
        <f t="shared" si="3"/>
        <v>0</v>
      </c>
      <c r="F23" s="248">
        <v>92000</v>
      </c>
      <c r="G23" s="94">
        <v>94140</v>
      </c>
      <c r="H23" s="335">
        <v>0</v>
      </c>
      <c r="I23" s="236">
        <f t="shared" si="4"/>
        <v>0</v>
      </c>
      <c r="J23" s="6"/>
      <c r="K23" s="336"/>
      <c r="L23" s="326">
        <f t="shared" si="5"/>
        <v>92000</v>
      </c>
      <c r="M23" s="236">
        <f t="shared" si="6"/>
        <v>0</v>
      </c>
      <c r="N23" s="238">
        <f t="shared" si="10"/>
        <v>92000</v>
      </c>
      <c r="O23" s="264">
        <f t="shared" si="8"/>
        <v>94140</v>
      </c>
    </row>
    <row r="24" spans="1:15" s="9" customFormat="1" ht="18" customHeight="1">
      <c r="A24" s="35" t="s">
        <v>52</v>
      </c>
      <c r="B24" s="27" t="s">
        <v>229</v>
      </c>
      <c r="C24" s="65"/>
      <c r="D24" s="94">
        <v>0</v>
      </c>
      <c r="E24" s="236">
        <f t="shared" si="3"/>
        <v>0</v>
      </c>
      <c r="F24" s="248">
        <v>0</v>
      </c>
      <c r="G24" s="94"/>
      <c r="H24" s="335">
        <v>0</v>
      </c>
      <c r="I24" s="236">
        <f t="shared" si="4"/>
        <v>0</v>
      </c>
      <c r="J24" s="6"/>
      <c r="K24" s="336"/>
      <c r="L24" s="326">
        <f t="shared" si="5"/>
        <v>0</v>
      </c>
      <c r="M24" s="236">
        <f t="shared" si="6"/>
        <v>0</v>
      </c>
      <c r="N24" s="238">
        <f t="shared" si="10"/>
        <v>0</v>
      </c>
      <c r="O24" s="264">
        <f t="shared" si="8"/>
        <v>0</v>
      </c>
    </row>
    <row r="25" spans="1:15" s="9" customFormat="1" ht="18" customHeight="1">
      <c r="A25" s="35" t="s">
        <v>53</v>
      </c>
      <c r="B25" s="7" t="s">
        <v>231</v>
      </c>
      <c r="C25" s="65"/>
      <c r="D25" s="94">
        <v>196548106</v>
      </c>
      <c r="E25" s="236">
        <f t="shared" si="3"/>
        <v>0</v>
      </c>
      <c r="F25" s="248">
        <v>196548106</v>
      </c>
      <c r="G25" s="94">
        <f>78397585+17890494</f>
        <v>96288079</v>
      </c>
      <c r="H25" s="335">
        <v>0</v>
      </c>
      <c r="I25" s="236">
        <f t="shared" si="4"/>
        <v>0</v>
      </c>
      <c r="J25" s="6"/>
      <c r="K25" s="336"/>
      <c r="L25" s="326">
        <f t="shared" si="5"/>
        <v>196548106</v>
      </c>
      <c r="M25" s="236">
        <f t="shared" si="6"/>
        <v>0</v>
      </c>
      <c r="N25" s="238">
        <f t="shared" si="10"/>
        <v>196548106</v>
      </c>
      <c r="O25" s="264">
        <f t="shared" si="8"/>
        <v>96288079</v>
      </c>
    </row>
    <row r="26" spans="1:15" s="9" customFormat="1" ht="18" customHeight="1">
      <c r="A26" s="35" t="s">
        <v>54</v>
      </c>
      <c r="B26" s="7" t="s">
        <v>230</v>
      </c>
      <c r="C26" s="65"/>
      <c r="D26" s="94">
        <v>6581432</v>
      </c>
      <c r="E26" s="236">
        <f t="shared" si="3"/>
        <v>0</v>
      </c>
      <c r="F26" s="248">
        <v>6581432</v>
      </c>
      <c r="G26" s="94">
        <f>3487637+394506</f>
        <v>3882143</v>
      </c>
      <c r="H26" s="335">
        <v>0</v>
      </c>
      <c r="I26" s="236">
        <f t="shared" si="4"/>
        <v>0</v>
      </c>
      <c r="J26" s="6"/>
      <c r="K26" s="336"/>
      <c r="L26" s="326">
        <f t="shared" si="5"/>
        <v>6581432</v>
      </c>
      <c r="M26" s="236">
        <f t="shared" si="6"/>
        <v>0</v>
      </c>
      <c r="N26" s="238">
        <f t="shared" si="10"/>
        <v>6581432</v>
      </c>
      <c r="O26" s="264">
        <f t="shared" si="8"/>
        <v>3882143</v>
      </c>
    </row>
    <row r="27" spans="1:15" s="9" customFormat="1" ht="18" customHeight="1">
      <c r="A27" s="35" t="s">
        <v>63</v>
      </c>
      <c r="B27" s="7"/>
      <c r="C27" s="65"/>
      <c r="D27" s="175"/>
      <c r="E27" s="239"/>
      <c r="F27" s="249"/>
      <c r="G27" s="175"/>
      <c r="H27" s="335">
        <v>0</v>
      </c>
      <c r="I27" s="239"/>
      <c r="J27" s="6"/>
      <c r="K27" s="336"/>
      <c r="L27" s="326">
        <f t="shared" si="5"/>
        <v>0</v>
      </c>
      <c r="M27" s="239"/>
      <c r="N27" s="238">
        <f t="shared" si="10"/>
        <v>0</v>
      </c>
      <c r="O27" s="264">
        <f t="shared" si="8"/>
        <v>0</v>
      </c>
    </row>
    <row r="28" spans="1:15" s="9" customFormat="1" ht="23.25" customHeight="1">
      <c r="A28" s="404" t="s">
        <v>0</v>
      </c>
      <c r="B28" s="405"/>
      <c r="C28" s="66"/>
      <c r="D28" s="222">
        <f t="shared" ref="D28:O28" si="11">D11+D13+D21</f>
        <v>208381674</v>
      </c>
      <c r="E28" s="222">
        <f t="shared" si="11"/>
        <v>0</v>
      </c>
      <c r="F28" s="222">
        <f t="shared" si="11"/>
        <v>208381674</v>
      </c>
      <c r="G28" s="222">
        <f t="shared" si="11"/>
        <v>105283119</v>
      </c>
      <c r="H28" s="347">
        <f t="shared" si="11"/>
        <v>539102</v>
      </c>
      <c r="I28" s="229">
        <f t="shared" si="11"/>
        <v>0</v>
      </c>
      <c r="J28" s="229">
        <f t="shared" si="11"/>
        <v>539102</v>
      </c>
      <c r="K28" s="348">
        <f t="shared" si="11"/>
        <v>0</v>
      </c>
      <c r="L28" s="328">
        <f t="shared" si="11"/>
        <v>208920776</v>
      </c>
      <c r="M28" s="222">
        <f t="shared" si="11"/>
        <v>0</v>
      </c>
      <c r="N28" s="220">
        <f t="shared" si="10"/>
        <v>208920776</v>
      </c>
      <c r="O28" s="222">
        <f t="shared" si="11"/>
        <v>105283119</v>
      </c>
    </row>
    <row r="29" spans="1:15" s="9" customFormat="1" ht="24" customHeight="1">
      <c r="A29" s="412"/>
      <c r="B29" s="413"/>
      <c r="C29" s="413"/>
      <c r="D29" s="413"/>
      <c r="E29" s="240"/>
      <c r="F29" s="250"/>
      <c r="G29" s="321"/>
      <c r="H29" s="349"/>
      <c r="I29" s="240"/>
      <c r="J29" s="258"/>
      <c r="K29" s="350"/>
      <c r="L29" s="177"/>
      <c r="M29" s="240"/>
      <c r="N29" s="263"/>
      <c r="O29" s="170"/>
    </row>
    <row r="30" spans="1:15" s="9" customFormat="1" ht="22.5" customHeight="1">
      <c r="A30" s="39" t="s">
        <v>50</v>
      </c>
      <c r="B30" s="38" t="s">
        <v>44</v>
      </c>
      <c r="C30" s="62" t="s">
        <v>96</v>
      </c>
      <c r="D30" s="223">
        <f t="shared" ref="D30:O30" si="12">SUM(D31:D31)</f>
        <v>690000</v>
      </c>
      <c r="E30" s="223">
        <f t="shared" si="12"/>
        <v>0</v>
      </c>
      <c r="F30" s="223">
        <f t="shared" si="12"/>
        <v>690000</v>
      </c>
      <c r="G30" s="223">
        <f t="shared" si="12"/>
        <v>690000</v>
      </c>
      <c r="H30" s="351">
        <f t="shared" si="12"/>
        <v>0</v>
      </c>
      <c r="I30" s="45">
        <f t="shared" si="12"/>
        <v>0</v>
      </c>
      <c r="J30" s="45">
        <f t="shared" si="12"/>
        <v>0</v>
      </c>
      <c r="K30" s="352">
        <f t="shared" si="12"/>
        <v>0</v>
      </c>
      <c r="L30" s="329">
        <f t="shared" si="12"/>
        <v>690000</v>
      </c>
      <c r="M30" s="223">
        <f t="shared" si="12"/>
        <v>0</v>
      </c>
      <c r="N30" s="223">
        <f t="shared" si="12"/>
        <v>690000</v>
      </c>
      <c r="O30" s="223">
        <f t="shared" si="12"/>
        <v>690000</v>
      </c>
    </row>
    <row r="31" spans="1:15" s="9" customFormat="1" ht="21" customHeight="1">
      <c r="A31" s="35"/>
      <c r="B31" s="16" t="s">
        <v>311</v>
      </c>
      <c r="C31" s="65"/>
      <c r="D31" s="94">
        <v>690000</v>
      </c>
      <c r="E31" s="236">
        <f>F31-D31</f>
        <v>0</v>
      </c>
      <c r="F31" s="252">
        <v>690000</v>
      </c>
      <c r="G31" s="94">
        <v>690000</v>
      </c>
      <c r="H31" s="341"/>
      <c r="I31" s="236">
        <f>J31-H31</f>
        <v>0</v>
      </c>
      <c r="J31" s="230"/>
      <c r="K31" s="342"/>
      <c r="L31" s="326">
        <f>D31+H31</f>
        <v>690000</v>
      </c>
      <c r="M31" s="236">
        <f>N31-L31</f>
        <v>0</v>
      </c>
      <c r="N31" s="238">
        <f>F31+J31</f>
        <v>690000</v>
      </c>
      <c r="O31" s="264">
        <f>G31+K31</f>
        <v>690000</v>
      </c>
    </row>
    <row r="32" spans="1:15" s="9" customFormat="1" ht="21" customHeight="1" thickBot="1">
      <c r="A32" s="408" t="s">
        <v>8</v>
      </c>
      <c r="B32" s="409"/>
      <c r="C32" s="63" t="s">
        <v>96</v>
      </c>
      <c r="D32" s="224">
        <f t="shared" ref="D32:O32" si="13">D30</f>
        <v>690000</v>
      </c>
      <c r="E32" s="224">
        <f t="shared" si="13"/>
        <v>0</v>
      </c>
      <c r="F32" s="224">
        <f t="shared" si="13"/>
        <v>690000</v>
      </c>
      <c r="G32" s="224">
        <f t="shared" si="13"/>
        <v>690000</v>
      </c>
      <c r="H32" s="353">
        <f t="shared" si="13"/>
        <v>0</v>
      </c>
      <c r="I32" s="231">
        <f t="shared" si="13"/>
        <v>0</v>
      </c>
      <c r="J32" s="231">
        <f t="shared" si="13"/>
        <v>0</v>
      </c>
      <c r="K32" s="354">
        <f t="shared" si="13"/>
        <v>0</v>
      </c>
      <c r="L32" s="330">
        <f t="shared" si="13"/>
        <v>690000</v>
      </c>
      <c r="M32" s="224">
        <f t="shared" si="13"/>
        <v>0</v>
      </c>
      <c r="N32" s="220">
        <f>F32+J32</f>
        <v>690000</v>
      </c>
      <c r="O32" s="224">
        <f t="shared" si="13"/>
        <v>690000</v>
      </c>
    </row>
    <row r="33" spans="1:15" ht="18" customHeight="1" thickBot="1">
      <c r="A33" s="400" t="s">
        <v>23</v>
      </c>
      <c r="B33" s="401"/>
      <c r="C33" s="67" t="s">
        <v>55</v>
      </c>
      <c r="D33" s="225">
        <f t="shared" ref="D33:O33" si="14">D28+D32</f>
        <v>209071674</v>
      </c>
      <c r="E33" s="225">
        <f t="shared" si="14"/>
        <v>0</v>
      </c>
      <c r="F33" s="225">
        <f t="shared" si="14"/>
        <v>209071674</v>
      </c>
      <c r="G33" s="225">
        <f t="shared" si="14"/>
        <v>105973119</v>
      </c>
      <c r="H33" s="355">
        <f t="shared" si="14"/>
        <v>539102</v>
      </c>
      <c r="I33" s="232">
        <f t="shared" si="14"/>
        <v>0</v>
      </c>
      <c r="J33" s="232">
        <f t="shared" si="14"/>
        <v>539102</v>
      </c>
      <c r="K33" s="356">
        <f t="shared" si="14"/>
        <v>0</v>
      </c>
      <c r="L33" s="331">
        <f t="shared" si="14"/>
        <v>209610776</v>
      </c>
      <c r="M33" s="225">
        <f t="shared" si="14"/>
        <v>0</v>
      </c>
      <c r="N33" s="220">
        <f>F33+J33</f>
        <v>209610776</v>
      </c>
      <c r="O33" s="225">
        <f t="shared" si="14"/>
        <v>105973119</v>
      </c>
    </row>
    <row r="34" spans="1:15" ht="15" customHeight="1" thickBot="1">
      <c r="A34" s="410" t="s">
        <v>26</v>
      </c>
      <c r="B34" s="411"/>
      <c r="C34" s="411"/>
      <c r="D34" s="411"/>
      <c r="E34" s="243"/>
      <c r="F34" s="214"/>
      <c r="G34" s="317"/>
      <c r="H34" s="357"/>
      <c r="I34" s="243"/>
      <c r="J34" s="259"/>
      <c r="K34" s="358"/>
      <c r="L34" s="332"/>
      <c r="M34" s="243"/>
      <c r="N34" s="163"/>
      <c r="O34" s="171"/>
    </row>
    <row r="35" spans="1:15" ht="15" customHeight="1">
      <c r="A35" s="402" t="s">
        <v>24</v>
      </c>
      <c r="B35" s="403"/>
      <c r="C35" s="403"/>
      <c r="D35" s="403"/>
      <c r="E35" s="244"/>
      <c r="F35" s="253"/>
      <c r="G35" s="322"/>
      <c r="H35" s="341"/>
      <c r="I35" s="244"/>
      <c r="J35" s="230"/>
      <c r="K35" s="342"/>
      <c r="L35" s="22"/>
      <c r="M35" s="244"/>
      <c r="N35" s="242"/>
      <c r="O35" s="169"/>
    </row>
    <row r="36" spans="1:15" ht="15" customHeight="1">
      <c r="A36" s="41" t="s">
        <v>50</v>
      </c>
      <c r="B36" s="42" t="s">
        <v>10</v>
      </c>
      <c r="C36" s="62" t="s">
        <v>232</v>
      </c>
      <c r="D36" s="223">
        <f t="shared" ref="D36:O36" si="15">SUM(D37:D37)</f>
        <v>36000</v>
      </c>
      <c r="E36" s="223">
        <f t="shared" si="15"/>
        <v>0</v>
      </c>
      <c r="F36" s="223">
        <f t="shared" si="15"/>
        <v>36000</v>
      </c>
      <c r="G36" s="223">
        <f t="shared" si="15"/>
        <v>6000</v>
      </c>
      <c r="H36" s="351">
        <f t="shared" si="15"/>
        <v>0</v>
      </c>
      <c r="I36" s="45">
        <f t="shared" si="15"/>
        <v>0</v>
      </c>
      <c r="J36" s="45">
        <f t="shared" si="15"/>
        <v>0</v>
      </c>
      <c r="K36" s="352">
        <f t="shared" si="15"/>
        <v>0</v>
      </c>
      <c r="L36" s="329">
        <f t="shared" si="15"/>
        <v>36000</v>
      </c>
      <c r="M36" s="223">
        <f t="shared" si="15"/>
        <v>0</v>
      </c>
      <c r="N36" s="223">
        <f t="shared" si="15"/>
        <v>36000</v>
      </c>
      <c r="O36" s="223">
        <f t="shared" si="15"/>
        <v>6000</v>
      </c>
    </row>
    <row r="37" spans="1:15" ht="15" customHeight="1">
      <c r="A37" s="36"/>
      <c r="B37" s="5" t="s">
        <v>94</v>
      </c>
      <c r="C37" s="65"/>
      <c r="D37" s="94">
        <v>36000</v>
      </c>
      <c r="E37" s="236">
        <f>F37-D37</f>
        <v>0</v>
      </c>
      <c r="F37" s="248">
        <v>36000</v>
      </c>
      <c r="G37" s="94">
        <v>6000</v>
      </c>
      <c r="H37" s="335"/>
      <c r="I37" s="236">
        <f>J37-H37</f>
        <v>0</v>
      </c>
      <c r="J37" s="6"/>
      <c r="K37" s="336"/>
      <c r="L37" s="326">
        <f>D37+H37</f>
        <v>36000</v>
      </c>
      <c r="M37" s="236">
        <f>N37-L37</f>
        <v>0</v>
      </c>
      <c r="N37" s="238">
        <f>F37+J37</f>
        <v>36000</v>
      </c>
      <c r="O37" s="264">
        <f>G37+K37</f>
        <v>6000</v>
      </c>
    </row>
    <row r="38" spans="1:15" ht="15" customHeight="1">
      <c r="A38" s="41" t="s">
        <v>51</v>
      </c>
      <c r="B38" s="42" t="s">
        <v>88</v>
      </c>
      <c r="C38" s="62" t="s">
        <v>232</v>
      </c>
      <c r="D38" s="223">
        <f t="shared" ref="D38:K38" si="16">SUM(D39:D40)</f>
        <v>2565600</v>
      </c>
      <c r="E38" s="223">
        <f t="shared" si="16"/>
        <v>0</v>
      </c>
      <c r="F38" s="223">
        <f t="shared" si="16"/>
        <v>2565600</v>
      </c>
      <c r="G38" s="223">
        <f t="shared" si="16"/>
        <v>1282800</v>
      </c>
      <c r="H38" s="351">
        <f t="shared" si="16"/>
        <v>0</v>
      </c>
      <c r="I38" s="45">
        <f t="shared" si="16"/>
        <v>0</v>
      </c>
      <c r="J38" s="45">
        <f t="shared" si="16"/>
        <v>0</v>
      </c>
      <c r="K38" s="352">
        <f t="shared" si="16"/>
        <v>0</v>
      </c>
      <c r="L38" s="329">
        <f>SUM(A38:E38)</f>
        <v>2565600</v>
      </c>
      <c r="M38" s="223">
        <f>SUM(B38:F38)</f>
        <v>5131200</v>
      </c>
      <c r="N38" s="223">
        <f>SUM(C38:G38)</f>
        <v>6414000</v>
      </c>
      <c r="O38" s="223">
        <f>SUM(D38:H38)</f>
        <v>6414000</v>
      </c>
    </row>
    <row r="39" spans="1:15" ht="15" customHeight="1">
      <c r="A39" s="36" t="s">
        <v>50</v>
      </c>
      <c r="B39" s="27" t="s">
        <v>89</v>
      </c>
      <c r="C39" s="65"/>
      <c r="D39" s="94">
        <v>2565600</v>
      </c>
      <c r="E39" s="236">
        <f>F39-D39</f>
        <v>0</v>
      </c>
      <c r="F39" s="248">
        <v>2565600</v>
      </c>
      <c r="G39" s="94">
        <f>1069000+213800</f>
        <v>1282800</v>
      </c>
      <c r="H39" s="335">
        <v>0</v>
      </c>
      <c r="I39" s="236">
        <f>J39-H39</f>
        <v>0</v>
      </c>
      <c r="J39" s="6"/>
      <c r="K39" s="336"/>
      <c r="L39" s="326">
        <f>D39+H39</f>
        <v>2565600</v>
      </c>
      <c r="M39" s="236">
        <f>N39-L39</f>
        <v>0</v>
      </c>
      <c r="N39" s="238">
        <f>F39+J39</f>
        <v>2565600</v>
      </c>
      <c r="O39" s="264">
        <f>G39+K39</f>
        <v>1282800</v>
      </c>
    </row>
    <row r="40" spans="1:15" ht="15" customHeight="1">
      <c r="A40" s="36"/>
      <c r="B40" s="5"/>
      <c r="C40" s="65"/>
      <c r="D40" s="94"/>
      <c r="E40" s="238"/>
      <c r="F40" s="248"/>
      <c r="G40" s="94"/>
      <c r="H40" s="335"/>
      <c r="I40" s="238"/>
      <c r="J40" s="6"/>
      <c r="K40" s="336"/>
      <c r="L40" s="326"/>
      <c r="M40" s="238"/>
      <c r="N40" s="238"/>
      <c r="O40" s="264"/>
    </row>
    <row r="41" spans="1:15" ht="15" customHeight="1">
      <c r="A41" s="39" t="s">
        <v>52</v>
      </c>
      <c r="B41" s="42" t="s">
        <v>105</v>
      </c>
      <c r="C41" s="62" t="s">
        <v>232</v>
      </c>
      <c r="D41" s="223">
        <f t="shared" ref="D41:K41" si="17">SUM(D42:D59)</f>
        <v>15917450</v>
      </c>
      <c r="E41" s="223">
        <f t="shared" si="17"/>
        <v>1080000</v>
      </c>
      <c r="F41" s="223">
        <f t="shared" si="17"/>
        <v>16997450</v>
      </c>
      <c r="G41" s="223">
        <f t="shared" si="17"/>
        <v>8259000</v>
      </c>
      <c r="H41" s="351">
        <f t="shared" si="17"/>
        <v>0</v>
      </c>
      <c r="I41" s="45">
        <f t="shared" si="17"/>
        <v>0</v>
      </c>
      <c r="J41" s="45">
        <f t="shared" si="17"/>
        <v>0</v>
      </c>
      <c r="K41" s="352">
        <f t="shared" si="17"/>
        <v>0</v>
      </c>
      <c r="L41" s="329">
        <f>SUM(A41:E41)</f>
        <v>16997450</v>
      </c>
      <c r="M41" s="223">
        <f>SUM(B41:F41)</f>
        <v>33994900</v>
      </c>
      <c r="N41" s="223">
        <f>SUM(C41:G41)</f>
        <v>42253900</v>
      </c>
      <c r="O41" s="223">
        <f>SUM(D41:H41)</f>
        <v>42253900</v>
      </c>
    </row>
    <row r="42" spans="1:15" ht="15" customHeight="1">
      <c r="A42" s="36" t="s">
        <v>50</v>
      </c>
      <c r="B42" s="27" t="s">
        <v>233</v>
      </c>
      <c r="C42" s="65"/>
      <c r="D42" s="94">
        <v>100000</v>
      </c>
      <c r="E42" s="236">
        <f t="shared" ref="E42:E57" si="18">F42-D42</f>
        <v>0</v>
      </c>
      <c r="F42" s="248">
        <v>100000</v>
      </c>
      <c r="G42" s="94">
        <v>0</v>
      </c>
      <c r="H42" s="335">
        <v>0</v>
      </c>
      <c r="I42" s="236">
        <f t="shared" ref="I42:I57" si="19">J42-H42</f>
        <v>0</v>
      </c>
      <c r="J42" s="6"/>
      <c r="K42" s="336"/>
      <c r="L42" s="326">
        <f t="shared" ref="L42:L58" si="20">D42+H42</f>
        <v>100000</v>
      </c>
      <c r="M42" s="236">
        <f t="shared" ref="M42:M57" si="21">N42-L42</f>
        <v>0</v>
      </c>
      <c r="N42" s="238">
        <f>F42+J42</f>
        <v>100000</v>
      </c>
      <c r="O42" s="264">
        <f t="shared" ref="O42:O59" si="22">G42+K42</f>
        <v>0</v>
      </c>
    </row>
    <row r="43" spans="1:15" ht="15" customHeight="1">
      <c r="A43" s="36" t="s">
        <v>51</v>
      </c>
      <c r="B43" s="27" t="s">
        <v>73</v>
      </c>
      <c r="C43" s="65"/>
      <c r="D43" s="94">
        <v>170000</v>
      </c>
      <c r="E43" s="236">
        <f t="shared" si="18"/>
        <v>0</v>
      </c>
      <c r="F43" s="248">
        <v>170000</v>
      </c>
      <c r="G43" s="94">
        <v>170000</v>
      </c>
      <c r="H43" s="335">
        <v>0</v>
      </c>
      <c r="I43" s="236">
        <f t="shared" si="19"/>
        <v>0</v>
      </c>
      <c r="J43" s="6"/>
      <c r="K43" s="336"/>
      <c r="L43" s="326">
        <f t="shared" si="20"/>
        <v>170000</v>
      </c>
      <c r="M43" s="236">
        <f t="shared" si="21"/>
        <v>0</v>
      </c>
      <c r="N43" s="238">
        <f t="shared" ref="N43:N58" si="23">F43+J43</f>
        <v>170000</v>
      </c>
      <c r="O43" s="264">
        <f t="shared" si="22"/>
        <v>170000</v>
      </c>
    </row>
    <row r="44" spans="1:15" ht="15" customHeight="1">
      <c r="A44" s="36" t="s">
        <v>52</v>
      </c>
      <c r="B44" s="27" t="s">
        <v>74</v>
      </c>
      <c r="C44" s="65"/>
      <c r="D44" s="94">
        <v>300000</v>
      </c>
      <c r="E44" s="236">
        <f t="shared" si="18"/>
        <v>0</v>
      </c>
      <c r="F44" s="248">
        <v>300000</v>
      </c>
      <c r="G44" s="94">
        <v>0</v>
      </c>
      <c r="H44" s="335">
        <v>0</v>
      </c>
      <c r="I44" s="236">
        <f t="shared" si="19"/>
        <v>0</v>
      </c>
      <c r="J44" s="6"/>
      <c r="K44" s="336"/>
      <c r="L44" s="326">
        <f t="shared" si="20"/>
        <v>300000</v>
      </c>
      <c r="M44" s="236">
        <f t="shared" si="21"/>
        <v>0</v>
      </c>
      <c r="N44" s="238">
        <f t="shared" si="23"/>
        <v>300000</v>
      </c>
      <c r="O44" s="264">
        <f t="shared" si="22"/>
        <v>0</v>
      </c>
    </row>
    <row r="45" spans="1:15" ht="15" customHeight="1">
      <c r="A45" s="36" t="s">
        <v>53</v>
      </c>
      <c r="B45" s="27" t="s">
        <v>75</v>
      </c>
      <c r="C45" s="65"/>
      <c r="D45" s="94">
        <v>400000</v>
      </c>
      <c r="E45" s="236">
        <f t="shared" si="18"/>
        <v>0</v>
      </c>
      <c r="F45" s="248">
        <v>400000</v>
      </c>
      <c r="G45" s="94">
        <v>0</v>
      </c>
      <c r="H45" s="335">
        <v>0</v>
      </c>
      <c r="I45" s="236">
        <f t="shared" si="19"/>
        <v>0</v>
      </c>
      <c r="J45" s="6"/>
      <c r="K45" s="336"/>
      <c r="L45" s="326">
        <f t="shared" si="20"/>
        <v>400000</v>
      </c>
      <c r="M45" s="236">
        <f t="shared" si="21"/>
        <v>0</v>
      </c>
      <c r="N45" s="238">
        <f t="shared" si="23"/>
        <v>400000</v>
      </c>
      <c r="O45" s="264">
        <f t="shared" si="22"/>
        <v>0</v>
      </c>
    </row>
    <row r="46" spans="1:15" ht="15" customHeight="1">
      <c r="A46" s="36" t="s">
        <v>54</v>
      </c>
      <c r="B46" s="27" t="s">
        <v>234</v>
      </c>
      <c r="C46" s="65"/>
      <c r="D46" s="94">
        <v>4900000</v>
      </c>
      <c r="E46" s="236">
        <f t="shared" si="18"/>
        <v>0</v>
      </c>
      <c r="F46" s="248">
        <v>4900000</v>
      </c>
      <c r="G46" s="94">
        <f>1820000+440000</f>
        <v>2260000</v>
      </c>
      <c r="H46" s="335">
        <v>0</v>
      </c>
      <c r="I46" s="236">
        <f t="shared" si="19"/>
        <v>0</v>
      </c>
      <c r="J46" s="6"/>
      <c r="K46" s="336"/>
      <c r="L46" s="326">
        <f t="shared" si="20"/>
        <v>4900000</v>
      </c>
      <c r="M46" s="236">
        <f t="shared" si="21"/>
        <v>0</v>
      </c>
      <c r="N46" s="238">
        <f t="shared" si="23"/>
        <v>4900000</v>
      </c>
      <c r="O46" s="264">
        <f t="shared" si="22"/>
        <v>2260000</v>
      </c>
    </row>
    <row r="47" spans="1:15" ht="15" customHeight="1">
      <c r="A47" s="36" t="s">
        <v>63</v>
      </c>
      <c r="B47" s="27" t="s">
        <v>76</v>
      </c>
      <c r="C47" s="65"/>
      <c r="D47" s="94">
        <v>1000000</v>
      </c>
      <c r="E47" s="236">
        <f t="shared" si="18"/>
        <v>230000</v>
      </c>
      <c r="F47" s="248">
        <v>1230000</v>
      </c>
      <c r="G47" s="94">
        <v>600000</v>
      </c>
      <c r="H47" s="335">
        <v>0</v>
      </c>
      <c r="I47" s="236">
        <f t="shared" si="19"/>
        <v>0</v>
      </c>
      <c r="J47" s="6"/>
      <c r="K47" s="336"/>
      <c r="L47" s="326">
        <f t="shared" si="20"/>
        <v>1000000</v>
      </c>
      <c r="M47" s="236">
        <f t="shared" si="21"/>
        <v>230000</v>
      </c>
      <c r="N47" s="238">
        <f t="shared" si="23"/>
        <v>1230000</v>
      </c>
      <c r="O47" s="264">
        <f t="shared" si="22"/>
        <v>600000</v>
      </c>
    </row>
    <row r="48" spans="1:15" ht="15" customHeight="1">
      <c r="A48" s="36" t="s">
        <v>65</v>
      </c>
      <c r="B48" s="27" t="s">
        <v>77</v>
      </c>
      <c r="C48" s="65"/>
      <c r="D48" s="94">
        <v>1000000</v>
      </c>
      <c r="E48" s="236">
        <f t="shared" si="18"/>
        <v>0</v>
      </c>
      <c r="F48" s="248">
        <v>1000000</v>
      </c>
      <c r="G48" s="94">
        <v>400000</v>
      </c>
      <c r="H48" s="335">
        <v>0</v>
      </c>
      <c r="I48" s="236">
        <f t="shared" si="19"/>
        <v>0</v>
      </c>
      <c r="J48" s="6"/>
      <c r="K48" s="336"/>
      <c r="L48" s="326">
        <f t="shared" si="20"/>
        <v>1000000</v>
      </c>
      <c r="M48" s="236">
        <f t="shared" si="21"/>
        <v>0</v>
      </c>
      <c r="N48" s="238">
        <f t="shared" si="23"/>
        <v>1000000</v>
      </c>
      <c r="O48" s="264">
        <f t="shared" si="22"/>
        <v>400000</v>
      </c>
    </row>
    <row r="49" spans="1:15" ht="15" customHeight="1">
      <c r="A49" s="36" t="s">
        <v>66</v>
      </c>
      <c r="B49" s="9" t="s">
        <v>78</v>
      </c>
      <c r="C49" s="65"/>
      <c r="D49" s="94">
        <v>0</v>
      </c>
      <c r="E49" s="236">
        <f t="shared" si="18"/>
        <v>0</v>
      </c>
      <c r="F49" s="248">
        <v>0</v>
      </c>
      <c r="G49" s="94">
        <v>0</v>
      </c>
      <c r="H49" s="335">
        <v>0</v>
      </c>
      <c r="I49" s="236">
        <f t="shared" si="19"/>
        <v>0</v>
      </c>
      <c r="J49" s="6"/>
      <c r="K49" s="336"/>
      <c r="L49" s="326">
        <f t="shared" si="20"/>
        <v>0</v>
      </c>
      <c r="M49" s="236">
        <f t="shared" si="21"/>
        <v>0</v>
      </c>
      <c r="N49" s="238">
        <f t="shared" si="23"/>
        <v>0</v>
      </c>
      <c r="O49" s="264">
        <f t="shared" si="22"/>
        <v>0</v>
      </c>
    </row>
    <row r="50" spans="1:15" ht="15" customHeight="1">
      <c r="A50" s="36" t="s">
        <v>67</v>
      </c>
      <c r="B50" s="27" t="s">
        <v>79</v>
      </c>
      <c r="C50" s="65"/>
      <c r="D50" s="94">
        <v>280000</v>
      </c>
      <c r="E50" s="236">
        <f t="shared" si="18"/>
        <v>0</v>
      </c>
      <c r="F50" s="248">
        <v>280000</v>
      </c>
      <c r="G50" s="94">
        <v>140000</v>
      </c>
      <c r="H50" s="335">
        <v>0</v>
      </c>
      <c r="I50" s="236">
        <f t="shared" si="19"/>
        <v>0</v>
      </c>
      <c r="J50" s="6"/>
      <c r="K50" s="336"/>
      <c r="L50" s="326">
        <f t="shared" si="20"/>
        <v>280000</v>
      </c>
      <c r="M50" s="236">
        <f t="shared" si="21"/>
        <v>0</v>
      </c>
      <c r="N50" s="238">
        <f t="shared" si="23"/>
        <v>280000</v>
      </c>
      <c r="O50" s="264">
        <f t="shared" si="22"/>
        <v>140000</v>
      </c>
    </row>
    <row r="51" spans="1:15" ht="15" customHeight="1">
      <c r="A51" s="36" t="s">
        <v>68</v>
      </c>
      <c r="B51" s="27" t="s">
        <v>80</v>
      </c>
      <c r="C51" s="65"/>
      <c r="D51" s="94">
        <v>1200000</v>
      </c>
      <c r="E51" s="236">
        <f t="shared" si="18"/>
        <v>0</v>
      </c>
      <c r="F51" s="248">
        <v>1200000</v>
      </c>
      <c r="G51" s="94">
        <v>480000</v>
      </c>
      <c r="H51" s="335">
        <v>0</v>
      </c>
      <c r="I51" s="236">
        <f t="shared" si="19"/>
        <v>0</v>
      </c>
      <c r="J51" s="6"/>
      <c r="K51" s="336"/>
      <c r="L51" s="326">
        <f t="shared" si="20"/>
        <v>1200000</v>
      </c>
      <c r="M51" s="236">
        <f t="shared" si="21"/>
        <v>0</v>
      </c>
      <c r="N51" s="238">
        <f t="shared" si="23"/>
        <v>1200000</v>
      </c>
      <c r="O51" s="264">
        <f t="shared" si="22"/>
        <v>480000</v>
      </c>
    </row>
    <row r="52" spans="1:15" ht="15" customHeight="1">
      <c r="A52" s="36" t="s">
        <v>34</v>
      </c>
      <c r="B52" s="27" t="s">
        <v>333</v>
      </c>
      <c r="C52" s="65"/>
      <c r="D52" s="94">
        <v>1000000</v>
      </c>
      <c r="E52" s="236">
        <f t="shared" si="18"/>
        <v>250000</v>
      </c>
      <c r="F52" s="248">
        <v>1250000</v>
      </c>
      <c r="G52" s="94">
        <f>270000+90000</f>
        <v>360000</v>
      </c>
      <c r="H52" s="335">
        <v>0</v>
      </c>
      <c r="I52" s="236">
        <f t="shared" si="19"/>
        <v>0</v>
      </c>
      <c r="J52" s="6"/>
      <c r="K52" s="336"/>
      <c r="L52" s="326">
        <f t="shared" si="20"/>
        <v>1000000</v>
      </c>
      <c r="M52" s="236">
        <f t="shared" si="21"/>
        <v>250000</v>
      </c>
      <c r="N52" s="238">
        <f t="shared" si="23"/>
        <v>1250000</v>
      </c>
      <c r="O52" s="264">
        <f t="shared" si="22"/>
        <v>360000</v>
      </c>
    </row>
    <row r="53" spans="1:15" ht="15" customHeight="1">
      <c r="A53" s="36" t="s">
        <v>35</v>
      </c>
      <c r="B53" s="27" t="s">
        <v>81</v>
      </c>
      <c r="C53" s="65"/>
      <c r="D53" s="94">
        <v>220000</v>
      </c>
      <c r="E53" s="236">
        <f t="shared" si="18"/>
        <v>0</v>
      </c>
      <c r="F53" s="248">
        <v>220000</v>
      </c>
      <c r="G53" s="94">
        <v>220000</v>
      </c>
      <c r="H53" s="335">
        <v>0</v>
      </c>
      <c r="I53" s="236">
        <f t="shared" si="19"/>
        <v>0</v>
      </c>
      <c r="J53" s="6"/>
      <c r="K53" s="336"/>
      <c r="L53" s="326">
        <f t="shared" si="20"/>
        <v>220000</v>
      </c>
      <c r="M53" s="236">
        <f t="shared" si="21"/>
        <v>0</v>
      </c>
      <c r="N53" s="238">
        <f t="shared" si="23"/>
        <v>220000</v>
      </c>
      <c r="O53" s="264">
        <f t="shared" si="22"/>
        <v>220000</v>
      </c>
    </row>
    <row r="54" spans="1:15" ht="15" customHeight="1">
      <c r="A54" s="36" t="s">
        <v>41</v>
      </c>
      <c r="B54" s="27" t="s">
        <v>82</v>
      </c>
      <c r="C54" s="65"/>
      <c r="D54" s="94">
        <v>0</v>
      </c>
      <c r="E54" s="236">
        <f t="shared" si="18"/>
        <v>0</v>
      </c>
      <c r="F54" s="248">
        <v>0</v>
      </c>
      <c r="G54" s="94">
        <v>0</v>
      </c>
      <c r="H54" s="335">
        <v>0</v>
      </c>
      <c r="I54" s="236">
        <f t="shared" si="19"/>
        <v>0</v>
      </c>
      <c r="J54" s="6"/>
      <c r="K54" s="336"/>
      <c r="L54" s="326">
        <f t="shared" si="20"/>
        <v>0</v>
      </c>
      <c r="M54" s="236">
        <f t="shared" si="21"/>
        <v>0</v>
      </c>
      <c r="N54" s="238">
        <f t="shared" si="23"/>
        <v>0</v>
      </c>
      <c r="O54" s="264">
        <f t="shared" si="22"/>
        <v>0</v>
      </c>
    </row>
    <row r="55" spans="1:15" ht="15" customHeight="1">
      <c r="A55" s="36" t="s">
        <v>36</v>
      </c>
      <c r="B55" s="27" t="s">
        <v>83</v>
      </c>
      <c r="C55" s="65"/>
      <c r="D55" s="94">
        <v>5172000</v>
      </c>
      <c r="E55" s="236">
        <f t="shared" si="18"/>
        <v>600000</v>
      </c>
      <c r="F55" s="248">
        <v>5772000</v>
      </c>
      <c r="G55" s="94">
        <f>2755000+862000</f>
        <v>3617000</v>
      </c>
      <c r="H55" s="335">
        <v>0</v>
      </c>
      <c r="I55" s="236">
        <f t="shared" si="19"/>
        <v>0</v>
      </c>
      <c r="J55" s="6"/>
      <c r="K55" s="336"/>
      <c r="L55" s="326">
        <f t="shared" si="20"/>
        <v>5172000</v>
      </c>
      <c r="M55" s="236">
        <f t="shared" si="21"/>
        <v>600000</v>
      </c>
      <c r="N55" s="238">
        <f t="shared" si="23"/>
        <v>5772000</v>
      </c>
      <c r="O55" s="264">
        <f t="shared" si="22"/>
        <v>3617000</v>
      </c>
    </row>
    <row r="56" spans="1:15" ht="15" customHeight="1">
      <c r="A56" s="36" t="s">
        <v>72</v>
      </c>
      <c r="B56" s="27" t="s">
        <v>90</v>
      </c>
      <c r="C56" s="65"/>
      <c r="D56" s="94">
        <v>163450</v>
      </c>
      <c r="E56" s="236">
        <f t="shared" si="18"/>
        <v>0</v>
      </c>
      <c r="F56" s="248">
        <v>163450</v>
      </c>
      <c r="G56" s="94">
        <v>0</v>
      </c>
      <c r="H56" s="335">
        <v>0</v>
      </c>
      <c r="I56" s="236">
        <f t="shared" si="19"/>
        <v>0</v>
      </c>
      <c r="J56" s="6"/>
      <c r="K56" s="336"/>
      <c r="L56" s="326">
        <f t="shared" si="20"/>
        <v>163450</v>
      </c>
      <c r="M56" s="236">
        <f t="shared" si="21"/>
        <v>0</v>
      </c>
      <c r="N56" s="238">
        <f t="shared" si="23"/>
        <v>163450</v>
      </c>
      <c r="O56" s="264">
        <f t="shared" si="22"/>
        <v>0</v>
      </c>
    </row>
    <row r="57" spans="1:15" ht="15" customHeight="1">
      <c r="A57" s="36" t="s">
        <v>84</v>
      </c>
      <c r="B57" s="27" t="s">
        <v>235</v>
      </c>
      <c r="C57" s="65"/>
      <c r="D57" s="94">
        <v>12000</v>
      </c>
      <c r="E57" s="236">
        <f t="shared" si="18"/>
        <v>0</v>
      </c>
      <c r="F57" s="248">
        <v>12000</v>
      </c>
      <c r="G57" s="94">
        <v>12000</v>
      </c>
      <c r="H57" s="335">
        <v>0</v>
      </c>
      <c r="I57" s="236">
        <f t="shared" si="19"/>
        <v>0</v>
      </c>
      <c r="J57" s="6"/>
      <c r="K57" s="336"/>
      <c r="L57" s="326">
        <f t="shared" si="20"/>
        <v>12000</v>
      </c>
      <c r="M57" s="236">
        <f t="shared" si="21"/>
        <v>0</v>
      </c>
      <c r="N57" s="238">
        <f t="shared" si="23"/>
        <v>12000</v>
      </c>
      <c r="O57" s="264">
        <f t="shared" si="22"/>
        <v>12000</v>
      </c>
    </row>
    <row r="58" spans="1:15" ht="15" customHeight="1">
      <c r="A58" s="36" t="s">
        <v>37</v>
      </c>
      <c r="B58" s="16"/>
      <c r="C58" s="65"/>
      <c r="D58" s="175"/>
      <c r="E58" s="239"/>
      <c r="F58" s="249"/>
      <c r="G58" s="175"/>
      <c r="H58" s="335">
        <v>0</v>
      </c>
      <c r="I58" s="239"/>
      <c r="J58" s="6"/>
      <c r="K58" s="336"/>
      <c r="L58" s="326">
        <f t="shared" si="20"/>
        <v>0</v>
      </c>
      <c r="M58" s="239"/>
      <c r="N58" s="238">
        <f t="shared" si="23"/>
        <v>0</v>
      </c>
      <c r="O58" s="264">
        <f t="shared" si="22"/>
        <v>0</v>
      </c>
    </row>
    <row r="59" spans="1:15" ht="15" customHeight="1">
      <c r="A59" s="36"/>
      <c r="B59" s="9"/>
      <c r="C59" s="65"/>
      <c r="D59" s="94"/>
      <c r="E59" s="238"/>
      <c r="F59" s="248"/>
      <c r="G59" s="94"/>
      <c r="H59" s="335"/>
      <c r="I59" s="238"/>
      <c r="J59" s="6"/>
      <c r="K59" s="336"/>
      <c r="L59" s="326"/>
      <c r="M59" s="238"/>
      <c r="N59" s="238"/>
      <c r="O59" s="264">
        <f t="shared" si="22"/>
        <v>0</v>
      </c>
    </row>
    <row r="60" spans="1:15" ht="18" customHeight="1">
      <c r="A60" s="404" t="s">
        <v>11</v>
      </c>
      <c r="B60" s="405"/>
      <c r="C60" s="66" t="s">
        <v>95</v>
      </c>
      <c r="D60" s="222">
        <f t="shared" ref="D60:K60" si="24">D36+D38+D41</f>
        <v>18519050</v>
      </c>
      <c r="E60" s="222">
        <f t="shared" si="24"/>
        <v>1080000</v>
      </c>
      <c r="F60" s="222">
        <f t="shared" si="24"/>
        <v>19599050</v>
      </c>
      <c r="G60" s="222">
        <f t="shared" si="24"/>
        <v>9547800</v>
      </c>
      <c r="H60" s="347">
        <f t="shared" si="24"/>
        <v>0</v>
      </c>
      <c r="I60" s="229">
        <f t="shared" si="24"/>
        <v>0</v>
      </c>
      <c r="J60" s="229">
        <f t="shared" si="24"/>
        <v>0</v>
      </c>
      <c r="K60" s="348">
        <f t="shared" si="24"/>
        <v>0</v>
      </c>
      <c r="L60" s="328">
        <f>D60+H60</f>
        <v>18519050</v>
      </c>
      <c r="M60" s="222">
        <f>E60+I60</f>
        <v>1080000</v>
      </c>
      <c r="N60" s="222">
        <f>F60+J60</f>
        <v>19599050</v>
      </c>
      <c r="O60" s="222">
        <f>G60+K60</f>
        <v>9547800</v>
      </c>
    </row>
    <row r="61" spans="1:15" ht="21" customHeight="1">
      <c r="A61" s="406" t="s">
        <v>27</v>
      </c>
      <c r="B61" s="407"/>
      <c r="C61" s="407"/>
      <c r="D61" s="407"/>
      <c r="E61" s="244"/>
      <c r="F61" s="253"/>
      <c r="G61" s="322"/>
      <c r="H61" s="341"/>
      <c r="I61" s="244"/>
      <c r="J61" s="230"/>
      <c r="K61" s="342"/>
      <c r="L61" s="22"/>
      <c r="M61" s="244"/>
      <c r="N61" s="242"/>
      <c r="O61" s="169"/>
    </row>
    <row r="62" spans="1:15" s="9" customFormat="1" ht="18" customHeight="1">
      <c r="A62" s="39" t="s">
        <v>50</v>
      </c>
      <c r="B62" s="40" t="s">
        <v>9</v>
      </c>
      <c r="C62" s="62" t="s">
        <v>97</v>
      </c>
      <c r="D62" s="223">
        <f>SUM(D63:D63)</f>
        <v>0</v>
      </c>
      <c r="E62" s="241"/>
      <c r="F62" s="251"/>
      <c r="G62" s="223"/>
      <c r="H62" s="351">
        <f>SUM(H63:H63)</f>
        <v>0</v>
      </c>
      <c r="I62" s="45">
        <f>SUM(I63:I63)</f>
        <v>0</v>
      </c>
      <c r="J62" s="45">
        <f>SUM(J63:J63)</f>
        <v>0</v>
      </c>
      <c r="K62" s="352">
        <f>SUM(K63:K63)</f>
        <v>0</v>
      </c>
      <c r="L62" s="329">
        <f>SUM(L63:L63)</f>
        <v>0</v>
      </c>
      <c r="M62" s="241"/>
      <c r="N62" s="241"/>
      <c r="O62" s="219"/>
    </row>
    <row r="63" spans="1:15" s="9" customFormat="1" ht="21" customHeight="1">
      <c r="A63" s="35" t="s">
        <v>50</v>
      </c>
      <c r="B63" s="26"/>
      <c r="C63" s="47"/>
      <c r="D63" s="94"/>
      <c r="E63" s="242"/>
      <c r="F63" s="252"/>
      <c r="G63" s="94"/>
      <c r="H63" s="341"/>
      <c r="I63" s="242"/>
      <c r="J63" s="230"/>
      <c r="K63" s="342"/>
      <c r="L63" s="326">
        <f>D63+H63</f>
        <v>0</v>
      </c>
      <c r="M63" s="242"/>
      <c r="N63" s="242"/>
      <c r="O63" s="169"/>
    </row>
    <row r="64" spans="1:15" s="9" customFormat="1" ht="18" customHeight="1">
      <c r="A64" s="39" t="s">
        <v>51</v>
      </c>
      <c r="B64" s="40" t="s">
        <v>105</v>
      </c>
      <c r="C64" s="62" t="s">
        <v>313</v>
      </c>
      <c r="D64" s="226">
        <f>D65+D66</f>
        <v>6003678</v>
      </c>
      <c r="E64" s="226">
        <f>E65+E66</f>
        <v>87532362</v>
      </c>
      <c r="F64" s="226">
        <f>F65+F66</f>
        <v>93536040</v>
      </c>
      <c r="G64" s="226">
        <f>G65+G66</f>
        <v>87532362</v>
      </c>
      <c r="H64" s="359">
        <f t="shared" ref="H64:O64" si="25">H65</f>
        <v>0</v>
      </c>
      <c r="I64" s="233">
        <f t="shared" si="25"/>
        <v>0</v>
      </c>
      <c r="J64" s="233">
        <f t="shared" si="25"/>
        <v>0</v>
      </c>
      <c r="K64" s="360">
        <f t="shared" si="25"/>
        <v>0</v>
      </c>
      <c r="L64" s="333">
        <f t="shared" si="25"/>
        <v>6003678</v>
      </c>
      <c r="M64" s="226">
        <f t="shared" si="25"/>
        <v>0</v>
      </c>
      <c r="N64" s="226">
        <f t="shared" si="25"/>
        <v>6003678</v>
      </c>
      <c r="O64" s="226">
        <f t="shared" si="25"/>
        <v>0</v>
      </c>
    </row>
    <row r="65" spans="1:15" s="9" customFormat="1" ht="15" customHeight="1">
      <c r="A65" s="35" t="s">
        <v>50</v>
      </c>
      <c r="B65" s="16" t="s">
        <v>312</v>
      </c>
      <c r="C65" s="65"/>
      <c r="D65" s="94">
        <v>6003678</v>
      </c>
      <c r="E65" s="236">
        <f>F65-D65</f>
        <v>0</v>
      </c>
      <c r="F65" s="252">
        <v>6003678</v>
      </c>
      <c r="G65" s="94"/>
      <c r="H65" s="341"/>
      <c r="I65" s="236">
        <f>J65-H65</f>
        <v>0</v>
      </c>
      <c r="J65" s="230"/>
      <c r="K65" s="342"/>
      <c r="L65" s="326">
        <f>D65+H65</f>
        <v>6003678</v>
      </c>
      <c r="M65" s="236">
        <f>N65-L65</f>
        <v>0</v>
      </c>
      <c r="N65" s="238">
        <f>F65+J65</f>
        <v>6003678</v>
      </c>
      <c r="O65" s="264">
        <f>G65+K65</f>
        <v>0</v>
      </c>
    </row>
    <row r="66" spans="1:15" s="9" customFormat="1" ht="15" customHeight="1">
      <c r="A66" s="35" t="s">
        <v>51</v>
      </c>
      <c r="B66" s="16" t="s">
        <v>334</v>
      </c>
      <c r="C66" s="65"/>
      <c r="D66" s="94">
        <v>0</v>
      </c>
      <c r="E66" s="236">
        <f>F66-D66</f>
        <v>87532362</v>
      </c>
      <c r="F66" s="252">
        <v>87532362</v>
      </c>
      <c r="G66" s="94">
        <v>87532362</v>
      </c>
      <c r="H66" s="341"/>
      <c r="I66" s="236">
        <f>J66-H66</f>
        <v>0</v>
      </c>
      <c r="J66" s="230"/>
      <c r="K66" s="342"/>
      <c r="L66" s="326">
        <f>D66+H66</f>
        <v>0</v>
      </c>
      <c r="M66" s="236">
        <f>N66-L66</f>
        <v>87532362</v>
      </c>
      <c r="N66" s="238">
        <f>F66+J66</f>
        <v>87532362</v>
      </c>
      <c r="O66" s="264">
        <f>G66+K66</f>
        <v>87532362</v>
      </c>
    </row>
    <row r="67" spans="1:15" ht="15" customHeight="1" thickBot="1">
      <c r="A67" s="408" t="s">
        <v>29</v>
      </c>
      <c r="B67" s="409"/>
      <c r="C67" s="63" t="s">
        <v>97</v>
      </c>
      <c r="D67" s="224">
        <f t="shared" ref="D67:O67" si="26">D62+D64</f>
        <v>6003678</v>
      </c>
      <c r="E67" s="224">
        <f t="shared" si="26"/>
        <v>87532362</v>
      </c>
      <c r="F67" s="224">
        <f t="shared" si="26"/>
        <v>93536040</v>
      </c>
      <c r="G67" s="224">
        <f t="shared" si="26"/>
        <v>87532362</v>
      </c>
      <c r="H67" s="353">
        <f t="shared" si="26"/>
        <v>0</v>
      </c>
      <c r="I67" s="231">
        <f t="shared" si="26"/>
        <v>0</v>
      </c>
      <c r="J67" s="231">
        <f t="shared" si="26"/>
        <v>0</v>
      </c>
      <c r="K67" s="354">
        <f t="shared" si="26"/>
        <v>0</v>
      </c>
      <c r="L67" s="330">
        <f t="shared" si="26"/>
        <v>6003678</v>
      </c>
      <c r="M67" s="220">
        <f>E67+I67</f>
        <v>87532362</v>
      </c>
      <c r="N67" s="220">
        <f>F67+J67</f>
        <v>93536040</v>
      </c>
      <c r="O67" s="224">
        <f t="shared" si="26"/>
        <v>0</v>
      </c>
    </row>
    <row r="68" spans="1:15" ht="15" customHeight="1" thickBot="1">
      <c r="A68" s="43" t="s">
        <v>28</v>
      </c>
      <c r="B68" s="44"/>
      <c r="C68" s="64" t="s">
        <v>97</v>
      </c>
      <c r="D68" s="227">
        <f t="shared" ref="D68:M68" si="27">D67+D60</f>
        <v>24522728</v>
      </c>
      <c r="E68" s="227">
        <f t="shared" si="27"/>
        <v>88612362</v>
      </c>
      <c r="F68" s="227">
        <f t="shared" si="27"/>
        <v>113135090</v>
      </c>
      <c r="G68" s="227">
        <f t="shared" si="27"/>
        <v>97080162</v>
      </c>
      <c r="H68" s="361">
        <f t="shared" si="27"/>
        <v>0</v>
      </c>
      <c r="I68" s="20">
        <f t="shared" si="27"/>
        <v>0</v>
      </c>
      <c r="J68" s="20">
        <f t="shared" si="27"/>
        <v>0</v>
      </c>
      <c r="K68" s="362">
        <f t="shared" si="27"/>
        <v>0</v>
      </c>
      <c r="L68" s="334">
        <f t="shared" si="27"/>
        <v>24522728</v>
      </c>
      <c r="M68" s="227">
        <f t="shared" si="27"/>
        <v>88612362</v>
      </c>
      <c r="N68" s="220">
        <f>F68+J68</f>
        <v>113135090</v>
      </c>
      <c r="O68" s="227">
        <f>G68+K68</f>
        <v>97080162</v>
      </c>
    </row>
    <row r="69" spans="1:15" ht="15" customHeight="1" thickBot="1">
      <c r="A69" s="56"/>
      <c r="B69" s="15"/>
      <c r="C69" s="10"/>
      <c r="D69" s="87"/>
      <c r="E69" s="245"/>
      <c r="F69" s="254"/>
      <c r="G69" s="323"/>
      <c r="H69" s="341"/>
      <c r="I69" s="245"/>
      <c r="J69" s="230"/>
      <c r="K69" s="342"/>
      <c r="L69" s="22"/>
      <c r="M69" s="245"/>
      <c r="N69" s="242"/>
      <c r="O69" s="169"/>
    </row>
    <row r="70" spans="1:15" ht="20.25" customHeight="1" thickBot="1">
      <c r="A70" s="400" t="s">
        <v>70</v>
      </c>
      <c r="B70" s="401"/>
      <c r="C70" s="67"/>
      <c r="D70" s="225">
        <f t="shared" ref="D70:O70" si="28">D68+D33+D8</f>
        <v>314857943</v>
      </c>
      <c r="E70" s="225">
        <f t="shared" si="28"/>
        <v>88913322</v>
      </c>
      <c r="F70" s="225">
        <f t="shared" si="28"/>
        <v>403771265</v>
      </c>
      <c r="G70" s="225">
        <f t="shared" si="28"/>
        <v>243134253</v>
      </c>
      <c r="H70" s="363">
        <f t="shared" si="28"/>
        <v>539102</v>
      </c>
      <c r="I70" s="260">
        <f t="shared" si="28"/>
        <v>0</v>
      </c>
      <c r="J70" s="260">
        <f t="shared" si="28"/>
        <v>539102</v>
      </c>
      <c r="K70" s="364">
        <f t="shared" si="28"/>
        <v>0</v>
      </c>
      <c r="L70" s="331">
        <f t="shared" si="28"/>
        <v>315397045</v>
      </c>
      <c r="M70" s="225">
        <f t="shared" si="28"/>
        <v>88913322</v>
      </c>
      <c r="N70" s="220">
        <f>F70+J70</f>
        <v>404310367</v>
      </c>
      <c r="O70" s="225">
        <f t="shared" si="28"/>
        <v>243134253</v>
      </c>
    </row>
    <row r="78" spans="1:15" ht="15" customHeight="1">
      <c r="A78" s="9"/>
      <c r="B78" s="9"/>
      <c r="C78" s="25"/>
      <c r="D78" s="25"/>
      <c r="E78" s="25"/>
      <c r="F78" s="25"/>
    </row>
  </sheetData>
  <mergeCells count="16">
    <mergeCell ref="A1:O1"/>
    <mergeCell ref="A2:O2"/>
    <mergeCell ref="A34:D34"/>
    <mergeCell ref="A28:B28"/>
    <mergeCell ref="A29:D29"/>
    <mergeCell ref="A32:B32"/>
    <mergeCell ref="A33:B33"/>
    <mergeCell ref="A4:C5"/>
    <mergeCell ref="D4:G4"/>
    <mergeCell ref="H4:K4"/>
    <mergeCell ref="L4:O4"/>
    <mergeCell ref="A70:B70"/>
    <mergeCell ref="A35:D35"/>
    <mergeCell ref="A60:B60"/>
    <mergeCell ref="A61:D61"/>
    <mergeCell ref="A67:B67"/>
  </mergeCells>
  <phoneticPr fontId="7" type="noConversion"/>
  <pageMargins left="0.43" right="0.16" top="0.54" bottom="0.41" header="0.26" footer="0.18"/>
  <pageSetup paperSize="9" scale="70" orientation="landscape" r:id="rId1"/>
  <headerFooter alignWithMargins="0">
    <oddHeader>&amp;R5. számú melléklet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</sheetPr>
  <dimension ref="A1:J73"/>
  <sheetViews>
    <sheetView zoomScaleNormal="100" workbookViewId="0">
      <selection activeCell="H8" sqref="H8"/>
    </sheetView>
  </sheetViews>
  <sheetFormatPr defaultRowHeight="15" customHeight="1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1.5703125" style="2" customWidth="1"/>
    <col min="6" max="6" width="7.28515625" style="23" bestFit="1" customWidth="1"/>
    <col min="7" max="9" width="12.28515625" style="23" customWidth="1"/>
    <col min="10" max="10" width="15.7109375" style="2" customWidth="1"/>
    <col min="11" max="16384" width="9.140625" style="2"/>
  </cols>
  <sheetData>
    <row r="1" spans="1:10" ht="15" customHeight="1">
      <c r="A1" s="381" t="s">
        <v>357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19.5" customHeight="1">
      <c r="A2" s="381" t="s">
        <v>64</v>
      </c>
      <c r="B2" s="381"/>
      <c r="C2" s="381"/>
      <c r="D2" s="381"/>
      <c r="E2" s="381"/>
      <c r="F2" s="381"/>
      <c r="G2" s="381"/>
      <c r="H2" s="381"/>
      <c r="I2" s="381"/>
      <c r="J2" s="381"/>
    </row>
    <row r="3" spans="1:10" ht="15" customHeight="1">
      <c r="A3" s="3"/>
      <c r="B3" s="3"/>
      <c r="C3" s="13"/>
      <c r="D3" s="13"/>
      <c r="E3" s="3"/>
      <c r="F3" s="24"/>
      <c r="H3" s="19"/>
      <c r="I3" s="19"/>
      <c r="J3" s="19" t="s">
        <v>238</v>
      </c>
    </row>
    <row r="4" spans="1:10" ht="10.5" customHeight="1" thickBot="1"/>
    <row r="5" spans="1:10" ht="42.75" customHeight="1" thickBot="1">
      <c r="A5" s="418" t="s">
        <v>49</v>
      </c>
      <c r="B5" s="419"/>
      <c r="C5" s="419"/>
      <c r="D5" s="419"/>
      <c r="E5" s="419"/>
      <c r="F5" s="172" t="s">
        <v>48</v>
      </c>
      <c r="G5" s="173" t="s">
        <v>302</v>
      </c>
      <c r="H5" s="256" t="s">
        <v>330</v>
      </c>
      <c r="I5" s="256" t="s">
        <v>331</v>
      </c>
      <c r="J5" s="256" t="s">
        <v>332</v>
      </c>
    </row>
    <row r="6" spans="1:10" ht="18" customHeight="1">
      <c r="A6" s="420" t="s">
        <v>50</v>
      </c>
      <c r="B6" s="423" t="s">
        <v>43</v>
      </c>
      <c r="C6" s="424"/>
      <c r="D6" s="424"/>
      <c r="E6" s="424"/>
      <c r="F6" s="424"/>
      <c r="G6" s="425"/>
      <c r="H6" s="255"/>
      <c r="I6" s="255"/>
    </row>
    <row r="7" spans="1:10" ht="15" customHeight="1">
      <c r="A7" s="421"/>
      <c r="B7" s="416" t="s">
        <v>50</v>
      </c>
      <c r="C7" s="426" t="s">
        <v>47</v>
      </c>
      <c r="D7" s="427"/>
      <c r="E7" s="428"/>
      <c r="F7" s="68" t="s">
        <v>107</v>
      </c>
      <c r="G7" s="45">
        <f>SUM(G8:G9)</f>
        <v>0</v>
      </c>
      <c r="H7" s="45"/>
      <c r="I7" s="45"/>
      <c r="J7" s="45">
        <f>SUM(J8:J9)</f>
        <v>0</v>
      </c>
    </row>
    <row r="8" spans="1:10" s="13" customFormat="1" ht="15" customHeight="1">
      <c r="A8" s="421"/>
      <c r="B8" s="417"/>
      <c r="C8" s="46" t="s">
        <v>50</v>
      </c>
      <c r="D8" s="414" t="s">
        <v>19</v>
      </c>
      <c r="E8" s="415"/>
      <c r="F8" s="69"/>
      <c r="G8" s="57">
        <v>0</v>
      </c>
      <c r="H8" s="57">
        <f>I8-G8</f>
        <v>0</v>
      </c>
      <c r="I8" s="57"/>
      <c r="J8" s="57">
        <v>0</v>
      </c>
    </row>
    <row r="9" spans="1:10" s="13" customFormat="1" ht="15" customHeight="1">
      <c r="A9" s="421"/>
      <c r="B9" s="417"/>
      <c r="C9" s="90" t="s">
        <v>51</v>
      </c>
      <c r="D9" s="414" t="s">
        <v>18</v>
      </c>
      <c r="E9" s="415"/>
      <c r="F9" s="69"/>
      <c r="G9" s="57">
        <v>0</v>
      </c>
      <c r="H9" s="57">
        <f>I9-G9</f>
        <v>0</v>
      </c>
      <c r="I9" s="57"/>
      <c r="J9" s="57">
        <v>0</v>
      </c>
    </row>
    <row r="10" spans="1:10" ht="15" customHeight="1">
      <c r="A10" s="421"/>
      <c r="B10" s="416" t="s">
        <v>51</v>
      </c>
      <c r="C10" s="426" t="s">
        <v>60</v>
      </c>
      <c r="D10" s="427"/>
      <c r="E10" s="428"/>
      <c r="F10" s="70" t="s">
        <v>108</v>
      </c>
      <c r="G10" s="95">
        <f>G11+G15+G17+G20</f>
        <v>47437489</v>
      </c>
      <c r="H10" s="95">
        <f>H11+H15+H17+H20</f>
        <v>140000</v>
      </c>
      <c r="I10" s="95">
        <f>I11+I15+I17+I20</f>
        <v>47577489</v>
      </c>
      <c r="J10" s="95">
        <f>J11+J15+J17+J20</f>
        <v>16010069</v>
      </c>
    </row>
    <row r="11" spans="1:10" s="13" customFormat="1" ht="15" customHeight="1">
      <c r="A11" s="421"/>
      <c r="B11" s="417"/>
      <c r="C11" s="18" t="s">
        <v>50</v>
      </c>
      <c r="D11" s="414" t="s">
        <v>61</v>
      </c>
      <c r="E11" s="415"/>
      <c r="F11" s="69"/>
      <c r="G11" s="57"/>
      <c r="H11" s="57"/>
      <c r="I11" s="57"/>
      <c r="J11" s="57"/>
    </row>
    <row r="12" spans="1:10" s="13" customFormat="1" ht="15" customHeight="1">
      <c r="A12" s="421"/>
      <c r="B12" s="417"/>
      <c r="C12" s="79"/>
      <c r="D12" s="61" t="s">
        <v>50</v>
      </c>
      <c r="E12" s="78"/>
      <c r="F12" s="69"/>
      <c r="G12" s="29"/>
      <c r="H12" s="29"/>
      <c r="I12" s="29"/>
      <c r="J12" s="29"/>
    </row>
    <row r="13" spans="1:10" s="13" customFormat="1" ht="15" customHeight="1">
      <c r="A13" s="421"/>
      <c r="B13" s="417"/>
      <c r="C13" s="79"/>
      <c r="D13" s="61" t="s">
        <v>51</v>
      </c>
      <c r="E13" s="78"/>
      <c r="F13" s="69"/>
      <c r="G13" s="29"/>
      <c r="H13" s="29"/>
      <c r="I13" s="29"/>
      <c r="J13" s="29"/>
    </row>
    <row r="14" spans="1:10" s="13" customFormat="1" ht="15" customHeight="1">
      <c r="A14" s="421"/>
      <c r="B14" s="417"/>
      <c r="C14" s="79"/>
      <c r="D14" s="61" t="s">
        <v>52</v>
      </c>
      <c r="E14" s="78"/>
      <c r="F14" s="69"/>
      <c r="G14" s="29"/>
      <c r="H14" s="29"/>
      <c r="I14" s="29"/>
      <c r="J14" s="29"/>
    </row>
    <row r="15" spans="1:10" s="13" customFormat="1" ht="15" customHeight="1">
      <c r="A15" s="421"/>
      <c r="B15" s="417"/>
      <c r="C15" s="416" t="s">
        <v>51</v>
      </c>
      <c r="D15" s="414" t="s">
        <v>62</v>
      </c>
      <c r="E15" s="415"/>
      <c r="F15" s="69"/>
      <c r="G15" s="57">
        <f>SUM(G16:G16)</f>
        <v>0</v>
      </c>
      <c r="H15" s="57"/>
      <c r="I15" s="57"/>
      <c r="J15" s="57">
        <f>SUM(J16:J16)</f>
        <v>0</v>
      </c>
    </row>
    <row r="16" spans="1:10" ht="15" customHeight="1">
      <c r="A16" s="421"/>
      <c r="B16" s="417"/>
      <c r="C16" s="417"/>
      <c r="D16" s="28" t="s">
        <v>50</v>
      </c>
      <c r="E16" s="59"/>
      <c r="F16" s="71"/>
      <c r="G16" s="29"/>
      <c r="H16" s="29"/>
      <c r="I16" s="29"/>
      <c r="J16" s="29"/>
    </row>
    <row r="17" spans="1:10" s="13" customFormat="1" ht="15" customHeight="1">
      <c r="A17" s="421"/>
      <c r="B17" s="417"/>
      <c r="C17" s="416" t="s">
        <v>52</v>
      </c>
      <c r="D17" s="414" t="s">
        <v>12</v>
      </c>
      <c r="E17" s="415"/>
      <c r="F17" s="69"/>
      <c r="G17" s="57">
        <f>SUM(G18:G18)</f>
        <v>12960000</v>
      </c>
      <c r="H17" s="57">
        <f>SUM(H18:H18)</f>
        <v>0</v>
      </c>
      <c r="I17" s="57">
        <f>SUM(I18:I18)</f>
        <v>12960000</v>
      </c>
      <c r="J17" s="57">
        <f>SUM(J18:J18)</f>
        <v>12960000</v>
      </c>
    </row>
    <row r="18" spans="1:10" s="13" customFormat="1" ht="15" customHeight="1">
      <c r="A18" s="421"/>
      <c r="B18" s="417"/>
      <c r="C18" s="417"/>
      <c r="D18" s="61" t="s">
        <v>50</v>
      </c>
      <c r="E18" s="59" t="s">
        <v>317</v>
      </c>
      <c r="F18" s="69" t="s">
        <v>108</v>
      </c>
      <c r="G18" s="29">
        <v>12960000</v>
      </c>
      <c r="H18" s="29">
        <f>I18-G18</f>
        <v>0</v>
      </c>
      <c r="I18" s="29">
        <v>12960000</v>
      </c>
      <c r="J18" s="29">
        <v>12960000</v>
      </c>
    </row>
    <row r="19" spans="1:10" s="13" customFormat="1" ht="15" customHeight="1">
      <c r="A19" s="421"/>
      <c r="B19" s="417"/>
      <c r="C19" s="96"/>
      <c r="D19" s="61" t="s">
        <v>51</v>
      </c>
      <c r="E19" s="59"/>
      <c r="F19" s="69"/>
      <c r="G19" s="29"/>
      <c r="H19" s="29"/>
      <c r="I19" s="29"/>
      <c r="J19" s="29"/>
    </row>
    <row r="20" spans="1:10" s="13" customFormat="1" ht="15" customHeight="1">
      <c r="A20" s="421"/>
      <c r="B20" s="417"/>
      <c r="C20" s="416" t="s">
        <v>53</v>
      </c>
      <c r="D20" s="414" t="s">
        <v>13</v>
      </c>
      <c r="E20" s="415"/>
      <c r="F20" s="69" t="s">
        <v>109</v>
      </c>
      <c r="G20" s="57">
        <f>SUM(G21:G23)</f>
        <v>34477489</v>
      </c>
      <c r="H20" s="57">
        <f>SUM(H21:H23)</f>
        <v>140000</v>
      </c>
      <c r="I20" s="57">
        <f>SUM(I21:I23)</f>
        <v>34617489</v>
      </c>
      <c r="J20" s="57">
        <f>SUM(J21:J24)</f>
        <v>3050069</v>
      </c>
    </row>
    <row r="21" spans="1:10" s="13" customFormat="1" ht="16.5" customHeight="1">
      <c r="A21" s="421"/>
      <c r="B21" s="417"/>
      <c r="C21" s="417"/>
      <c r="D21" s="61" t="s">
        <v>50</v>
      </c>
      <c r="E21" s="78" t="s">
        <v>318</v>
      </c>
      <c r="F21" s="69"/>
      <c r="G21" s="29">
        <v>34375889</v>
      </c>
      <c r="H21" s="29">
        <f>I21-G21</f>
        <v>0</v>
      </c>
      <c r="I21" s="29">
        <v>34375889</v>
      </c>
      <c r="J21" s="29">
        <v>2707082</v>
      </c>
    </row>
    <row r="22" spans="1:10" s="13" customFormat="1" ht="29.25" customHeight="1">
      <c r="A22" s="421"/>
      <c r="B22" s="417"/>
      <c r="C22" s="417"/>
      <c r="D22" s="61" t="s">
        <v>51</v>
      </c>
      <c r="E22" s="80" t="s">
        <v>319</v>
      </c>
      <c r="F22" s="69"/>
      <c r="G22" s="29">
        <v>101600</v>
      </c>
      <c r="H22" s="29">
        <f>I22-G22</f>
        <v>0</v>
      </c>
      <c r="I22" s="29">
        <v>101600</v>
      </c>
      <c r="J22" s="29"/>
    </row>
    <row r="23" spans="1:10" s="13" customFormat="1" ht="16.5" customHeight="1">
      <c r="A23" s="421"/>
      <c r="B23" s="417"/>
      <c r="C23" s="417"/>
      <c r="D23" s="61" t="s">
        <v>52</v>
      </c>
      <c r="E23" s="80" t="s">
        <v>335</v>
      </c>
      <c r="F23" s="69"/>
      <c r="G23" s="29"/>
      <c r="H23" s="29">
        <f>I23-G23</f>
        <v>140000</v>
      </c>
      <c r="I23" s="29">
        <v>140000</v>
      </c>
      <c r="J23" s="29">
        <v>316887</v>
      </c>
    </row>
    <row r="24" spans="1:10" s="13" customFormat="1" ht="16.5" customHeight="1">
      <c r="A24" s="421"/>
      <c r="B24" s="96"/>
      <c r="C24" s="281"/>
      <c r="D24" s="61" t="s">
        <v>53</v>
      </c>
      <c r="E24" s="80" t="s">
        <v>356</v>
      </c>
      <c r="F24" s="69"/>
      <c r="G24" s="29"/>
      <c r="H24" s="29"/>
      <c r="I24" s="29"/>
      <c r="J24" s="29">
        <v>26100</v>
      </c>
    </row>
    <row r="25" spans="1:10" ht="15" customHeight="1">
      <c r="A25" s="421"/>
      <c r="B25" s="416" t="s">
        <v>52</v>
      </c>
      <c r="C25" s="426" t="s">
        <v>21</v>
      </c>
      <c r="D25" s="427"/>
      <c r="E25" s="428"/>
      <c r="F25" s="70" t="s">
        <v>110</v>
      </c>
      <c r="G25" s="95">
        <f>G26+G29+G41+G42</f>
        <v>12271024</v>
      </c>
      <c r="H25" s="95">
        <f>H26+H29+H41+H42</f>
        <v>0</v>
      </c>
      <c r="I25" s="95">
        <f>I26+I29+I41+I42</f>
        <v>12271024</v>
      </c>
      <c r="J25" s="95">
        <f>J26+J29+J41+J42</f>
        <v>992938</v>
      </c>
    </row>
    <row r="26" spans="1:10" s="13" customFormat="1" ht="15" customHeight="1">
      <c r="A26" s="421"/>
      <c r="B26" s="417"/>
      <c r="C26" s="18" t="s">
        <v>50</v>
      </c>
      <c r="D26" s="434" t="s">
        <v>30</v>
      </c>
      <c r="E26" s="435"/>
      <c r="F26" s="69" t="s">
        <v>236</v>
      </c>
      <c r="G26" s="57">
        <f>SUM(G27:G28)</f>
        <v>952500</v>
      </c>
      <c r="H26" s="57">
        <f>SUM(H27:H28)</f>
        <v>0</v>
      </c>
      <c r="I26" s="57">
        <f>SUM(I27:I28)</f>
        <v>952500</v>
      </c>
      <c r="J26" s="57">
        <f>SUM(J27:J28)</f>
        <v>58293</v>
      </c>
    </row>
    <row r="27" spans="1:10" ht="27.75" customHeight="1">
      <c r="A27" s="421"/>
      <c r="B27" s="417"/>
      <c r="C27" s="436"/>
      <c r="D27" s="11" t="s">
        <v>50</v>
      </c>
      <c r="E27" s="16" t="s">
        <v>320</v>
      </c>
      <c r="F27" s="71"/>
      <c r="G27" s="29">
        <v>952500</v>
      </c>
      <c r="H27" s="29">
        <f>I27-G27</f>
        <v>0</v>
      </c>
      <c r="I27" s="29">
        <v>952500</v>
      </c>
      <c r="J27" s="29">
        <v>55372</v>
      </c>
    </row>
    <row r="28" spans="1:10" ht="15" customHeight="1">
      <c r="A28" s="421"/>
      <c r="B28" s="417"/>
      <c r="C28" s="437"/>
      <c r="D28" s="11" t="s">
        <v>51</v>
      </c>
      <c r="E28" s="5" t="s">
        <v>338</v>
      </c>
      <c r="F28" s="71"/>
      <c r="G28" s="29"/>
      <c r="H28" s="29"/>
      <c r="I28" s="29"/>
      <c r="J28" s="29">
        <v>2921</v>
      </c>
    </row>
    <row r="29" spans="1:10" s="13" customFormat="1" ht="15" customHeight="1">
      <c r="A29" s="421"/>
      <c r="B29" s="417"/>
      <c r="C29" s="416" t="s">
        <v>51</v>
      </c>
      <c r="D29" s="414" t="s">
        <v>31</v>
      </c>
      <c r="E29" s="415"/>
      <c r="F29" s="69" t="s">
        <v>111</v>
      </c>
      <c r="G29" s="57">
        <f>SUM(G30:G38)</f>
        <v>11318524</v>
      </c>
      <c r="H29" s="57">
        <f>SUM(H30:H40)</f>
        <v>0</v>
      </c>
      <c r="I29" s="57">
        <f>SUM(I30:I40)</f>
        <v>11318524</v>
      </c>
      <c r="J29" s="57">
        <f>SUM(J30:J40)</f>
        <v>934645</v>
      </c>
    </row>
    <row r="30" spans="1:10" ht="15" customHeight="1">
      <c r="A30" s="421"/>
      <c r="B30" s="417"/>
      <c r="C30" s="417"/>
      <c r="D30" s="61" t="s">
        <v>50</v>
      </c>
      <c r="E30" s="81" t="s">
        <v>321</v>
      </c>
      <c r="F30" s="71"/>
      <c r="G30" s="29">
        <v>120000</v>
      </c>
      <c r="H30" s="29">
        <f>I30-G30</f>
        <v>0</v>
      </c>
      <c r="I30" s="29">
        <v>120000</v>
      </c>
      <c r="J30" s="29"/>
    </row>
    <row r="31" spans="1:10" ht="15" customHeight="1">
      <c r="A31" s="421"/>
      <c r="B31" s="417"/>
      <c r="C31" s="417"/>
      <c r="D31" s="61" t="s">
        <v>51</v>
      </c>
      <c r="E31" s="81" t="s">
        <v>322</v>
      </c>
      <c r="F31" s="71"/>
      <c r="G31" s="29">
        <v>300000</v>
      </c>
      <c r="H31" s="29">
        <f t="shared" ref="H31:H42" si="0">I31-G31</f>
        <v>0</v>
      </c>
      <c r="I31" s="29">
        <v>300000</v>
      </c>
      <c r="J31" s="29"/>
    </row>
    <row r="32" spans="1:10" ht="15" customHeight="1">
      <c r="A32" s="421"/>
      <c r="B32" s="417"/>
      <c r="C32" s="417"/>
      <c r="D32" s="61" t="s">
        <v>52</v>
      </c>
      <c r="E32" s="81" t="s">
        <v>323</v>
      </c>
      <c r="F32" s="71"/>
      <c r="G32" s="29">
        <v>150000</v>
      </c>
      <c r="H32" s="29">
        <f t="shared" si="0"/>
        <v>0</v>
      </c>
      <c r="I32" s="29">
        <v>150000</v>
      </c>
      <c r="J32" s="29">
        <v>9450</v>
      </c>
    </row>
    <row r="33" spans="1:10" ht="15" customHeight="1">
      <c r="A33" s="421"/>
      <c r="B33" s="417"/>
      <c r="C33" s="417"/>
      <c r="D33" s="61" t="s">
        <v>53</v>
      </c>
      <c r="E33" s="81" t="s">
        <v>324</v>
      </c>
      <c r="F33" s="71"/>
      <c r="G33" s="29">
        <v>7500000</v>
      </c>
      <c r="H33" s="29">
        <f t="shared" si="0"/>
        <v>0</v>
      </c>
      <c r="I33" s="29">
        <v>7500000</v>
      </c>
      <c r="J33" s="29"/>
    </row>
    <row r="34" spans="1:10" ht="15" customHeight="1">
      <c r="A34" s="421"/>
      <c r="B34" s="417"/>
      <c r="C34" s="417"/>
      <c r="D34" s="61" t="s">
        <v>54</v>
      </c>
      <c r="E34" s="81" t="s">
        <v>325</v>
      </c>
      <c r="F34" s="71"/>
      <c r="G34" s="29">
        <v>224400</v>
      </c>
      <c r="H34" s="29">
        <f t="shared" si="0"/>
        <v>0</v>
      </c>
      <c r="I34" s="29">
        <v>224400</v>
      </c>
      <c r="J34" s="29">
        <v>495681</v>
      </c>
    </row>
    <row r="35" spans="1:10" ht="15" customHeight="1">
      <c r="A35" s="421"/>
      <c r="B35" s="417"/>
      <c r="C35" s="417"/>
      <c r="D35" s="61" t="s">
        <v>63</v>
      </c>
      <c r="E35" s="2" t="s">
        <v>326</v>
      </c>
      <c r="F35" s="71"/>
      <c r="G35" s="29">
        <v>889000</v>
      </c>
      <c r="H35" s="29">
        <f t="shared" si="0"/>
        <v>0</v>
      </c>
      <c r="I35" s="29">
        <v>889000</v>
      </c>
      <c r="J35" s="29"/>
    </row>
    <row r="36" spans="1:10" ht="15" customHeight="1">
      <c r="A36" s="421"/>
      <c r="B36" s="417"/>
      <c r="C36" s="417"/>
      <c r="D36" s="61" t="s">
        <v>65</v>
      </c>
      <c r="E36" s="213" t="s">
        <v>327</v>
      </c>
      <c r="F36" s="71"/>
      <c r="G36" s="29">
        <v>1100074</v>
      </c>
      <c r="H36" s="29">
        <f t="shared" si="0"/>
        <v>0</v>
      </c>
      <c r="I36" s="29">
        <v>1100074</v>
      </c>
      <c r="J36" s="29"/>
    </row>
    <row r="37" spans="1:10" ht="15" customHeight="1">
      <c r="A37" s="421"/>
      <c r="B37" s="417"/>
      <c r="C37" s="417"/>
      <c r="D37" s="61" t="s">
        <v>66</v>
      </c>
      <c r="E37" s="213" t="s">
        <v>328</v>
      </c>
      <c r="F37" s="71"/>
      <c r="G37" s="29">
        <v>19050</v>
      </c>
      <c r="H37" s="29">
        <f t="shared" si="0"/>
        <v>0</v>
      </c>
      <c r="I37" s="29">
        <v>19050</v>
      </c>
      <c r="J37" s="29"/>
    </row>
    <row r="38" spans="1:10" ht="15" customHeight="1">
      <c r="A38" s="421"/>
      <c r="B38" s="417"/>
      <c r="C38" s="417"/>
      <c r="D38" s="61" t="s">
        <v>67</v>
      </c>
      <c r="E38" s="81" t="s">
        <v>329</v>
      </c>
      <c r="F38" s="71"/>
      <c r="G38" s="29">
        <v>1016000</v>
      </c>
      <c r="H38" s="29">
        <f t="shared" si="0"/>
        <v>0</v>
      </c>
      <c r="I38" s="29">
        <v>1016000</v>
      </c>
      <c r="J38" s="29"/>
    </row>
    <row r="39" spans="1:10" ht="15" customHeight="1">
      <c r="A39" s="421"/>
      <c r="B39" s="417"/>
      <c r="C39" s="96"/>
      <c r="D39" s="61">
        <v>10</v>
      </c>
      <c r="E39" s="81" t="s">
        <v>337</v>
      </c>
      <c r="F39" s="71"/>
      <c r="G39" s="29"/>
      <c r="H39" s="29"/>
      <c r="I39" s="29"/>
      <c r="J39" s="29">
        <v>213614</v>
      </c>
    </row>
    <row r="40" spans="1:10" ht="15" customHeight="1">
      <c r="A40" s="421"/>
      <c r="B40" s="417"/>
      <c r="C40" s="96"/>
      <c r="D40" s="61">
        <v>11</v>
      </c>
      <c r="E40" s="81" t="s">
        <v>336</v>
      </c>
      <c r="F40" s="71"/>
      <c r="G40" s="29">
        <v>0</v>
      </c>
      <c r="H40" s="29">
        <f t="shared" si="0"/>
        <v>0</v>
      </c>
      <c r="I40" s="29"/>
      <c r="J40" s="29">
        <v>215900</v>
      </c>
    </row>
    <row r="41" spans="1:10" s="13" customFormat="1" ht="15" customHeight="1">
      <c r="A41" s="421"/>
      <c r="B41" s="417"/>
      <c r="C41" s="18" t="s">
        <v>52</v>
      </c>
      <c r="D41" s="414" t="s">
        <v>20</v>
      </c>
      <c r="E41" s="415"/>
      <c r="F41" s="69"/>
      <c r="G41" s="57">
        <v>0</v>
      </c>
      <c r="H41" s="57">
        <f t="shared" si="0"/>
        <v>0</v>
      </c>
      <c r="I41" s="57"/>
      <c r="J41" s="57"/>
    </row>
    <row r="42" spans="1:10" s="13" customFormat="1" ht="15" customHeight="1">
      <c r="A42" s="422"/>
      <c r="B42" s="433"/>
      <c r="C42" s="18" t="s">
        <v>53</v>
      </c>
      <c r="D42" s="414" t="s">
        <v>32</v>
      </c>
      <c r="E42" s="415"/>
      <c r="F42" s="69"/>
      <c r="G42" s="57">
        <v>0</v>
      </c>
      <c r="H42" s="57">
        <f t="shared" si="0"/>
        <v>0</v>
      </c>
      <c r="I42" s="57"/>
      <c r="J42" s="57"/>
    </row>
    <row r="43" spans="1:10" ht="15" customHeight="1">
      <c r="A43" s="429"/>
      <c r="B43" s="21" t="s">
        <v>53</v>
      </c>
      <c r="C43" s="426" t="s">
        <v>42</v>
      </c>
      <c r="D43" s="427"/>
      <c r="E43" s="428"/>
      <c r="F43" s="70"/>
      <c r="G43" s="95"/>
      <c r="H43" s="95"/>
      <c r="I43" s="95"/>
      <c r="J43" s="95"/>
    </row>
    <row r="44" spans="1:10" ht="18" customHeight="1" thickBot="1">
      <c r="A44" s="430"/>
      <c r="B44" s="431" t="s">
        <v>40</v>
      </c>
      <c r="C44" s="432"/>
      <c r="D44" s="432"/>
      <c r="E44" s="409"/>
      <c r="F44" s="72"/>
      <c r="G44" s="20">
        <f>G7+G10+G25+G43</f>
        <v>59708513</v>
      </c>
      <c r="H44" s="20">
        <f>H7+H10+H25+H43</f>
        <v>140000</v>
      </c>
      <c r="I44" s="20">
        <f>I7+I10+I25+I43</f>
        <v>59848513</v>
      </c>
      <c r="J44" s="20">
        <f>J7+J10+J25+J43</f>
        <v>17003007</v>
      </c>
    </row>
    <row r="45" spans="1:10" ht="18" customHeight="1">
      <c r="A45" s="420" t="s">
        <v>51</v>
      </c>
      <c r="B45" s="438" t="s">
        <v>3</v>
      </c>
      <c r="C45" s="439"/>
      <c r="D45" s="439"/>
      <c r="E45" s="439"/>
      <c r="F45" s="439"/>
      <c r="G45" s="439"/>
      <c r="H45" s="255"/>
      <c r="I45" s="255"/>
    </row>
    <row r="46" spans="1:10" ht="15" customHeight="1">
      <c r="A46" s="421"/>
      <c r="B46" s="416" t="s">
        <v>50</v>
      </c>
      <c r="C46" s="440" t="s">
        <v>4</v>
      </c>
      <c r="D46" s="440"/>
      <c r="E46" s="440"/>
      <c r="F46" s="62" t="s">
        <v>112</v>
      </c>
      <c r="G46" s="50">
        <f>G47+G52</f>
        <v>0</v>
      </c>
      <c r="H46" s="50">
        <f>H47+H52</f>
        <v>0</v>
      </c>
      <c r="I46" s="50">
        <f>I47+I52</f>
        <v>0</v>
      </c>
      <c r="J46" s="50">
        <f>J47+J52</f>
        <v>0</v>
      </c>
    </row>
    <row r="47" spans="1:10" s="13" customFormat="1" ht="15" customHeight="1">
      <c r="A47" s="421"/>
      <c r="B47" s="417"/>
      <c r="C47" s="60" t="s">
        <v>50</v>
      </c>
      <c r="D47" s="414" t="s">
        <v>5</v>
      </c>
      <c r="E47" s="415"/>
      <c r="F47" s="18" t="s">
        <v>113</v>
      </c>
      <c r="G47" s="31">
        <f>SUM(G48:G51)</f>
        <v>0</v>
      </c>
      <c r="H47" s="57">
        <f>I47-G47</f>
        <v>0</v>
      </c>
      <c r="I47" s="31"/>
      <c r="J47" s="31">
        <f>SUM(J48:J51)</f>
        <v>0</v>
      </c>
    </row>
    <row r="48" spans="1:10" ht="15" customHeight="1">
      <c r="A48" s="421"/>
      <c r="B48" s="417"/>
      <c r="C48" s="83"/>
      <c r="D48" s="61" t="s">
        <v>50</v>
      </c>
      <c r="E48" s="59"/>
      <c r="F48" s="11"/>
      <c r="G48" s="33"/>
      <c r="H48" s="33"/>
      <c r="I48" s="33"/>
      <c r="J48" s="33"/>
    </row>
    <row r="49" spans="1:10" ht="25.5" customHeight="1">
      <c r="A49" s="421"/>
      <c r="B49" s="417"/>
      <c r="C49" s="83"/>
      <c r="D49" s="61" t="s">
        <v>51</v>
      </c>
      <c r="E49" s="174"/>
      <c r="F49" s="11"/>
      <c r="G49" s="33"/>
      <c r="H49" s="33"/>
      <c r="I49" s="33"/>
      <c r="J49" s="33"/>
    </row>
    <row r="50" spans="1:10" ht="15" customHeight="1">
      <c r="A50" s="421"/>
      <c r="B50" s="417"/>
      <c r="C50" s="83"/>
      <c r="D50" s="61"/>
      <c r="E50" s="59"/>
      <c r="F50" s="11"/>
      <c r="G50" s="33"/>
      <c r="H50" s="33"/>
      <c r="I50" s="33"/>
      <c r="J50" s="33"/>
    </row>
    <row r="51" spans="1:10" s="34" customFormat="1" ht="15" customHeight="1">
      <c r="A51" s="421"/>
      <c r="B51" s="417"/>
      <c r="C51" s="17"/>
      <c r="D51" s="61"/>
      <c r="E51" s="8"/>
      <c r="F51" s="11"/>
      <c r="G51" s="33"/>
      <c r="H51" s="33"/>
      <c r="I51" s="33"/>
      <c r="J51" s="33"/>
    </row>
    <row r="52" spans="1:10" s="13" customFormat="1" ht="15" customHeight="1">
      <c r="A52" s="421"/>
      <c r="B52" s="417"/>
      <c r="C52" s="416" t="s">
        <v>51</v>
      </c>
      <c r="D52" s="414" t="s">
        <v>6</v>
      </c>
      <c r="E52" s="415"/>
      <c r="F52" s="18" t="s">
        <v>114</v>
      </c>
      <c r="G52" s="31">
        <f>SUM(G53:G54)</f>
        <v>0</v>
      </c>
      <c r="H52" s="31"/>
      <c r="I52" s="31"/>
      <c r="J52" s="31">
        <f>SUM(J53:J54)</f>
        <v>0</v>
      </c>
    </row>
    <row r="53" spans="1:10" s="13" customFormat="1" ht="15" customHeight="1">
      <c r="A53" s="421"/>
      <c r="B53" s="417"/>
      <c r="C53" s="417"/>
      <c r="D53" s="61" t="s">
        <v>50</v>
      </c>
      <c r="E53" s="59"/>
      <c r="F53" s="69"/>
      <c r="G53" s="49"/>
      <c r="H53" s="49"/>
      <c r="I53" s="49"/>
      <c r="J53" s="49"/>
    </row>
    <row r="54" spans="1:10" ht="15" customHeight="1">
      <c r="A54" s="421"/>
      <c r="B54" s="417"/>
      <c r="C54" s="417"/>
      <c r="D54" s="61" t="s">
        <v>51</v>
      </c>
      <c r="E54" s="59"/>
      <c r="F54" s="71"/>
      <c r="G54" s="178"/>
      <c r="H54" s="178"/>
      <c r="I54" s="178"/>
      <c r="J54" s="178"/>
    </row>
    <row r="55" spans="1:10" ht="15" customHeight="1">
      <c r="A55" s="429"/>
      <c r="B55" s="441" t="s">
        <v>51</v>
      </c>
      <c r="C55" s="440" t="s">
        <v>7</v>
      </c>
      <c r="D55" s="440"/>
      <c r="E55" s="440"/>
      <c r="F55" s="62"/>
      <c r="G55" s="50">
        <f>SUM(G56:G56)</f>
        <v>0</v>
      </c>
      <c r="H55" s="50">
        <f>SUM(H56:H56)</f>
        <v>0</v>
      </c>
      <c r="I55" s="50">
        <f>SUM(I56:I56)</f>
        <v>0</v>
      </c>
      <c r="J55" s="50">
        <f>SUM(J56:J56)</f>
        <v>0</v>
      </c>
    </row>
    <row r="56" spans="1:10" ht="15" customHeight="1">
      <c r="A56" s="421"/>
      <c r="B56" s="441"/>
      <c r="C56" s="11" t="s">
        <v>50</v>
      </c>
      <c r="D56" s="442"/>
      <c r="E56" s="443"/>
      <c r="F56" s="11"/>
      <c r="G56" s="33"/>
      <c r="H56" s="33"/>
      <c r="I56" s="33"/>
      <c r="J56" s="33"/>
    </row>
    <row r="57" spans="1:10" s="13" customFormat="1" ht="15" customHeight="1">
      <c r="A57" s="421"/>
      <c r="B57" s="17" t="s">
        <v>52</v>
      </c>
      <c r="C57" s="426" t="s">
        <v>39</v>
      </c>
      <c r="D57" s="427"/>
      <c r="E57" s="428"/>
      <c r="F57" s="62"/>
      <c r="G57" s="50">
        <v>0</v>
      </c>
      <c r="H57" s="50"/>
      <c r="I57" s="50"/>
      <c r="J57" s="50">
        <v>0</v>
      </c>
    </row>
    <row r="58" spans="1:10" ht="18" customHeight="1" thickBot="1">
      <c r="A58" s="421"/>
      <c r="B58" s="444" t="s">
        <v>45</v>
      </c>
      <c r="C58" s="444"/>
      <c r="D58" s="444"/>
      <c r="E58" s="444"/>
      <c r="F58" s="73"/>
      <c r="G58" s="51">
        <f>G46+G55+G57</f>
        <v>0</v>
      </c>
      <c r="H58" s="51">
        <f>H46+H55+H57</f>
        <v>0</v>
      </c>
      <c r="I58" s="51">
        <f>I46+I55+I57</f>
        <v>0</v>
      </c>
      <c r="J58" s="51">
        <f>J46+J55+J57</f>
        <v>0</v>
      </c>
    </row>
    <row r="59" spans="1:10" ht="21" customHeight="1" thickBot="1">
      <c r="A59" s="82"/>
      <c r="B59" s="446" t="s">
        <v>38</v>
      </c>
      <c r="C59" s="446"/>
      <c r="D59" s="446"/>
      <c r="E59" s="446"/>
      <c r="F59" s="67"/>
      <c r="G59" s="58">
        <f>G44+G58</f>
        <v>59708513</v>
      </c>
      <c r="H59" s="58">
        <f>H44+H58</f>
        <v>140000</v>
      </c>
      <c r="I59" s="58">
        <f>I44+I58</f>
        <v>59848513</v>
      </c>
      <c r="J59" s="58">
        <f>J44+J58</f>
        <v>17003007</v>
      </c>
    </row>
    <row r="60" spans="1:10" ht="15" customHeight="1">
      <c r="A60" s="421" t="s">
        <v>52</v>
      </c>
      <c r="B60" s="447" t="s">
        <v>1</v>
      </c>
      <c r="C60" s="447"/>
      <c r="D60" s="447"/>
      <c r="E60" s="447"/>
      <c r="F60" s="74"/>
      <c r="G60" s="52"/>
      <c r="H60" s="52"/>
      <c r="I60" s="52"/>
      <c r="J60" s="52"/>
    </row>
    <row r="61" spans="1:10" ht="18" customHeight="1">
      <c r="A61" s="421"/>
      <c r="B61" s="416" t="s">
        <v>50</v>
      </c>
      <c r="C61" s="448" t="s">
        <v>56</v>
      </c>
      <c r="D61" s="448"/>
      <c r="E61" s="448"/>
      <c r="F61" s="75"/>
      <c r="G61" s="31"/>
      <c r="H61" s="31"/>
      <c r="I61" s="31"/>
      <c r="J61" s="31"/>
    </row>
    <row r="62" spans="1:10" ht="15" customHeight="1">
      <c r="A62" s="421"/>
      <c r="B62" s="417"/>
      <c r="C62" s="449" t="s">
        <v>50</v>
      </c>
      <c r="D62" s="42" t="s">
        <v>57</v>
      </c>
      <c r="E62" s="42"/>
      <c r="F62" s="76" t="s">
        <v>98</v>
      </c>
      <c r="G62" s="50">
        <f>G63</f>
        <v>2000000</v>
      </c>
      <c r="H62" s="50">
        <f>H63</f>
        <v>0</v>
      </c>
      <c r="I62" s="50">
        <f>I63</f>
        <v>2000000</v>
      </c>
      <c r="J62" s="50">
        <f>J63</f>
        <v>300000</v>
      </c>
    </row>
    <row r="63" spans="1:10" ht="15" customHeight="1">
      <c r="A63" s="421"/>
      <c r="B63" s="433"/>
      <c r="C63" s="450"/>
      <c r="D63" s="18" t="s">
        <v>50</v>
      </c>
      <c r="E63" s="6" t="s">
        <v>71</v>
      </c>
      <c r="F63" s="14" t="s">
        <v>115</v>
      </c>
      <c r="G63" s="33">
        <v>2000000</v>
      </c>
      <c r="H63" s="29">
        <f>I63-G63</f>
        <v>0</v>
      </c>
      <c r="I63" s="33">
        <v>2000000</v>
      </c>
      <c r="J63" s="33">
        <v>300000</v>
      </c>
    </row>
    <row r="64" spans="1:10" s="9" customFormat="1" ht="15" customHeight="1" thickBot="1">
      <c r="A64" s="430"/>
      <c r="B64" s="451" t="s">
        <v>58</v>
      </c>
      <c r="C64" s="451"/>
      <c r="D64" s="451"/>
      <c r="E64" s="451"/>
      <c r="F64" s="77"/>
      <c r="G64" s="53">
        <f>G62</f>
        <v>2000000</v>
      </c>
      <c r="H64" s="53">
        <f>H62</f>
        <v>0</v>
      </c>
      <c r="I64" s="53">
        <f>I62</f>
        <v>2000000</v>
      </c>
      <c r="J64" s="53">
        <f>J62</f>
        <v>300000</v>
      </c>
    </row>
    <row r="65" spans="1:10" ht="21" customHeight="1" thickBot="1">
      <c r="A65" s="48" t="s">
        <v>53</v>
      </c>
      <c r="B65" s="445" t="s">
        <v>86</v>
      </c>
      <c r="C65" s="445"/>
      <c r="D65" s="445"/>
      <c r="E65" s="445"/>
      <c r="F65" s="64"/>
      <c r="G65" s="32">
        <f>G59+G64</f>
        <v>61708513</v>
      </c>
      <c r="H65" s="32">
        <f>H59+H64</f>
        <v>140000</v>
      </c>
      <c r="I65" s="32">
        <f>I59+I64</f>
        <v>61848513</v>
      </c>
      <c r="J65" s="32">
        <f>J59+J64</f>
        <v>17303007</v>
      </c>
    </row>
    <row r="72" spans="1:10" s="9" customFormat="1" ht="21" customHeight="1">
      <c r="A72" s="10"/>
      <c r="F72" s="25"/>
      <c r="G72" s="25"/>
      <c r="H72" s="25"/>
      <c r="I72" s="25"/>
    </row>
    <row r="73" spans="1:10" s="9" customFormat="1" ht="15" customHeight="1">
      <c r="A73" s="3"/>
      <c r="B73" s="2"/>
      <c r="C73" s="2"/>
      <c r="D73" s="2"/>
      <c r="E73" s="2"/>
      <c r="F73" s="23"/>
      <c r="G73" s="23"/>
      <c r="H73" s="23"/>
      <c r="I73" s="23"/>
    </row>
  </sheetData>
  <mergeCells count="50">
    <mergeCell ref="B65:E65"/>
    <mergeCell ref="B59:E59"/>
    <mergeCell ref="A60:A64"/>
    <mergeCell ref="B60:E60"/>
    <mergeCell ref="B61:B63"/>
    <mergeCell ref="C61:E61"/>
    <mergeCell ref="C62:C63"/>
    <mergeCell ref="B64:E64"/>
    <mergeCell ref="A55:A58"/>
    <mergeCell ref="B55:B56"/>
    <mergeCell ref="C55:E55"/>
    <mergeCell ref="D56:E56"/>
    <mergeCell ref="C57:E57"/>
    <mergeCell ref="B58:E58"/>
    <mergeCell ref="A45:A54"/>
    <mergeCell ref="B45:G45"/>
    <mergeCell ref="B46:B54"/>
    <mergeCell ref="C46:E46"/>
    <mergeCell ref="D47:E47"/>
    <mergeCell ref="C52:C54"/>
    <mergeCell ref="D52:E52"/>
    <mergeCell ref="D42:E42"/>
    <mergeCell ref="A43:A44"/>
    <mergeCell ref="C43:E43"/>
    <mergeCell ref="B44:E44"/>
    <mergeCell ref="B25:B42"/>
    <mergeCell ref="C25:E25"/>
    <mergeCell ref="D26:E26"/>
    <mergeCell ref="C27:C28"/>
    <mergeCell ref="C29:C38"/>
    <mergeCell ref="D20:E20"/>
    <mergeCell ref="A5:E5"/>
    <mergeCell ref="A6:A42"/>
    <mergeCell ref="B6:G6"/>
    <mergeCell ref="B7:B9"/>
    <mergeCell ref="C7:E7"/>
    <mergeCell ref="D8:E8"/>
    <mergeCell ref="C10:E10"/>
    <mergeCell ref="D11:E11"/>
    <mergeCell ref="D41:E41"/>
    <mergeCell ref="A1:J1"/>
    <mergeCell ref="A2:J2"/>
    <mergeCell ref="D29:E29"/>
    <mergeCell ref="D9:E9"/>
    <mergeCell ref="B10:B23"/>
    <mergeCell ref="C17:C18"/>
    <mergeCell ref="D17:E17"/>
    <mergeCell ref="C15:C16"/>
    <mergeCell ref="D15:E15"/>
    <mergeCell ref="C20:C23"/>
  </mergeCells>
  <phoneticPr fontId="7" type="noConversion"/>
  <pageMargins left="0.7" right="0.2" top="0.45" bottom="0.39" header="0.24" footer="0.18"/>
  <pageSetup paperSize="9" scale="74" orientation="portrait" r:id="rId1"/>
  <headerFooter alignWithMargins="0">
    <oddHeader>&amp;R6. számú melléklet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G17"/>
  <sheetViews>
    <sheetView tabSelected="1" view="pageLayout" zoomScaleNormal="100" workbookViewId="0">
      <selection activeCell="D31" sqref="D31"/>
    </sheetView>
  </sheetViews>
  <sheetFormatPr defaultRowHeight="12.75"/>
  <cols>
    <col min="3" max="3" width="36.140625" customWidth="1"/>
    <col min="4" max="4" width="23.42578125" bestFit="1" customWidth="1"/>
    <col min="5" max="5" width="13.7109375" customWidth="1"/>
    <col min="6" max="6" width="13.42578125" customWidth="1"/>
    <col min="7" max="7" width="13.5703125" customWidth="1"/>
  </cols>
  <sheetData>
    <row r="1" spans="1:7">
      <c r="A1" s="381" t="s">
        <v>358</v>
      </c>
      <c r="B1" s="381"/>
      <c r="C1" s="381"/>
      <c r="D1" s="381"/>
      <c r="E1" s="381"/>
      <c r="F1" s="381"/>
      <c r="G1" s="381"/>
    </row>
    <row r="2" spans="1:7">
      <c r="A2" s="3"/>
      <c r="B2" s="3"/>
      <c r="C2" s="3"/>
      <c r="D2" s="3"/>
      <c r="E2" s="3"/>
      <c r="F2" s="3"/>
      <c r="G2" s="159"/>
    </row>
    <row r="3" spans="1:7">
      <c r="A3" s="3"/>
      <c r="B3" s="3"/>
      <c r="C3" s="3"/>
      <c r="D3" s="3"/>
      <c r="E3" s="3"/>
      <c r="F3" s="3"/>
      <c r="G3" s="159"/>
    </row>
    <row r="4" spans="1:7">
      <c r="A4" s="3"/>
      <c r="B4" s="3"/>
      <c r="C4" s="3"/>
      <c r="D4" s="3"/>
      <c r="E4" s="3"/>
      <c r="F4" s="3"/>
      <c r="G4" s="159"/>
    </row>
    <row r="5" spans="1:7">
      <c r="A5" s="3"/>
      <c r="B5" s="3"/>
      <c r="C5" s="3"/>
      <c r="D5" s="3"/>
      <c r="E5" s="3"/>
      <c r="F5" s="3"/>
      <c r="G5" s="19" t="s">
        <v>303</v>
      </c>
    </row>
    <row r="6" spans="1:7" ht="13.5" thickBot="1">
      <c r="A6" s="1"/>
      <c r="B6" s="1"/>
      <c r="C6" s="2"/>
      <c r="D6" s="2"/>
      <c r="E6" s="2"/>
      <c r="F6" s="2"/>
      <c r="G6" s="19"/>
    </row>
    <row r="7" spans="1:7" ht="12.75" customHeight="1">
      <c r="A7" s="461" t="s">
        <v>49</v>
      </c>
      <c r="B7" s="462"/>
      <c r="C7" s="463"/>
      <c r="D7" s="160" t="s">
        <v>302</v>
      </c>
      <c r="E7" s="218" t="s">
        <v>359</v>
      </c>
      <c r="F7" s="218" t="s">
        <v>331</v>
      </c>
      <c r="G7" s="218" t="s">
        <v>332</v>
      </c>
    </row>
    <row r="8" spans="1:7">
      <c r="A8" s="464"/>
      <c r="B8" s="465"/>
      <c r="C8" s="466"/>
      <c r="D8" s="161" t="s">
        <v>116</v>
      </c>
      <c r="E8" s="216"/>
      <c r="F8" s="216"/>
      <c r="G8" s="161"/>
    </row>
    <row r="9" spans="1:7">
      <c r="A9" s="4" t="s">
        <v>50</v>
      </c>
      <c r="B9" s="453" t="s">
        <v>219</v>
      </c>
      <c r="C9" s="453"/>
      <c r="D9" s="6"/>
      <c r="E9" s="5"/>
      <c r="F9" s="5"/>
      <c r="G9" s="6"/>
    </row>
    <row r="10" spans="1:7">
      <c r="A10" s="4" t="s">
        <v>51</v>
      </c>
      <c r="B10" s="453" t="s">
        <v>220</v>
      </c>
      <c r="C10" s="453"/>
      <c r="D10" s="6">
        <v>137221000</v>
      </c>
      <c r="E10" s="33">
        <f>F10-D10</f>
        <v>2029726</v>
      </c>
      <c r="F10" s="33">
        <f>165110464-F11</f>
        <v>139250726</v>
      </c>
      <c r="G10" s="6">
        <f>73732189-G11</f>
        <v>66091800</v>
      </c>
    </row>
    <row r="11" spans="1:7">
      <c r="A11" s="4" t="s">
        <v>52</v>
      </c>
      <c r="B11" s="453" t="s">
        <v>221</v>
      </c>
      <c r="C11" s="453"/>
      <c r="D11" s="6">
        <v>12000000</v>
      </c>
      <c r="E11" s="33">
        <f>F11-D11</f>
        <v>13859738</v>
      </c>
      <c r="F11" s="33">
        <v>25859738</v>
      </c>
      <c r="G11" s="6">
        <v>7640389</v>
      </c>
    </row>
    <row r="12" spans="1:7">
      <c r="A12" s="4" t="s">
        <v>53</v>
      </c>
      <c r="B12" s="453" t="s">
        <v>222</v>
      </c>
      <c r="C12" s="453"/>
      <c r="D12" s="6">
        <v>38000</v>
      </c>
      <c r="E12" s="33">
        <f>F12-D12</f>
        <v>2367024</v>
      </c>
      <c r="F12" s="33">
        <v>2405024</v>
      </c>
      <c r="G12" s="6">
        <v>2405024</v>
      </c>
    </row>
    <row r="13" spans="1:7" ht="13.5" thickBot="1">
      <c r="A13" s="4" t="s">
        <v>54</v>
      </c>
      <c r="B13" s="454" t="s">
        <v>223</v>
      </c>
      <c r="C13" s="454"/>
      <c r="D13" s="30">
        <v>241672</v>
      </c>
      <c r="E13" s="33">
        <f>F13-D13</f>
        <v>0</v>
      </c>
      <c r="F13" s="285">
        <v>241672</v>
      </c>
      <c r="G13" s="30">
        <v>120836</v>
      </c>
    </row>
    <row r="14" spans="1:7" ht="13.5" thickBot="1">
      <c r="A14" s="455" t="s">
        <v>224</v>
      </c>
      <c r="B14" s="456"/>
      <c r="C14" s="456"/>
      <c r="D14" s="162">
        <f>SUM(D9:D13)</f>
        <v>149500672</v>
      </c>
      <c r="E14" s="162">
        <f>SUM(E9:E13)</f>
        <v>18256488</v>
      </c>
      <c r="F14" s="162">
        <f>SUM(F9:F13)</f>
        <v>167757160</v>
      </c>
      <c r="G14" s="162">
        <f>SUM(G9:G13)</f>
        <v>76258049</v>
      </c>
    </row>
    <row r="15" spans="1:7" ht="13.5" thickBot="1">
      <c r="A15" s="457" t="s">
        <v>225</v>
      </c>
      <c r="B15" s="458"/>
      <c r="C15" s="459"/>
      <c r="D15" s="163">
        <f>D14*0.5</f>
        <v>74750336</v>
      </c>
      <c r="E15" s="163">
        <f>E14*0.5</f>
        <v>9128244</v>
      </c>
      <c r="F15" s="163">
        <f>F14*0.5</f>
        <v>83878580</v>
      </c>
      <c r="G15" s="163">
        <f>G14*0.5</f>
        <v>38129024.5</v>
      </c>
    </row>
    <row r="16" spans="1:7">
      <c r="A16" s="460"/>
      <c r="B16" s="460"/>
      <c r="C16" s="460"/>
      <c r="D16" s="215"/>
      <c r="E16" s="215"/>
      <c r="F16" s="215"/>
      <c r="G16" s="164"/>
    </row>
    <row r="17" spans="1:7">
      <c r="A17" s="54"/>
      <c r="B17" s="452"/>
      <c r="C17" s="452"/>
      <c r="D17" s="217"/>
      <c r="E17" s="217"/>
      <c r="F17" s="217"/>
      <c r="G17" s="22"/>
    </row>
  </sheetData>
  <mergeCells count="11">
    <mergeCell ref="A1:G1"/>
    <mergeCell ref="A7:C8"/>
    <mergeCell ref="B9:C9"/>
    <mergeCell ref="B10:C10"/>
    <mergeCell ref="B17:C17"/>
    <mergeCell ref="B11:C11"/>
    <mergeCell ref="B12:C12"/>
    <mergeCell ref="B13:C13"/>
    <mergeCell ref="A14:C14"/>
    <mergeCell ref="A15:C15"/>
    <mergeCell ref="A16:C16"/>
  </mergeCells>
  <phoneticPr fontId="7" type="noConversion"/>
  <pageMargins left="0.63" right="0.36" top="1" bottom="1" header="0.5" footer="0.5"/>
  <pageSetup paperSize="9" scale="75" orientation="portrait" r:id="rId1"/>
  <headerFooter alignWithMargins="0"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 Bevételek</vt:lpstr>
      <vt:lpstr>2. Kiadások</vt:lpstr>
      <vt:lpstr>3.Működési mérleg</vt:lpstr>
      <vt:lpstr>4. Felhalozási mérleg</vt:lpstr>
      <vt:lpstr>5. Pénzeszköz átadás</vt:lpstr>
      <vt:lpstr>6 .Felhalmozási k.</vt:lpstr>
      <vt:lpstr>7. Adósságk.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2017-09-01T08:47:40Z</cp:lastPrinted>
  <dcterms:created xsi:type="dcterms:W3CDTF">2005-12-27T13:42:28Z</dcterms:created>
  <dcterms:modified xsi:type="dcterms:W3CDTF">2017-09-13T06:35:55Z</dcterms:modified>
</cp:coreProperties>
</file>