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35" windowWidth="17085" windowHeight="7665" activeTab="6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'5'!$A$1:$O$46</definedName>
    <definedName name="_xlnm.Print_Area" localSheetId="1">'5A'!$A$1:$P$57</definedName>
    <definedName name="_xlnm.Print_Area" localSheetId="2">'5B'!$A$1:$O$21</definedName>
    <definedName name="_xlnm.Print_Area" localSheetId="3">'5C'!$A$1:$O$19</definedName>
    <definedName name="_xlnm.Print_Area" localSheetId="4">'5D'!$A$1:$O$20</definedName>
  </definedNames>
  <calcPr fullCalcOnLoad="1"/>
</workbook>
</file>

<file path=xl/sharedStrings.xml><?xml version="1.0" encoding="utf-8"?>
<sst xmlns="http://schemas.openxmlformats.org/spreadsheetml/2006/main" count="331" uniqueCount="184">
  <si>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</si>
  <si>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</si>
  <si>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</si>
  <si>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</si>
  <si>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</si>
  <si>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</si>
  <si>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</si>
  <si>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</si>
  <si>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</si>
  <si>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</si>
  <si>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</si>
  <si>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</si>
  <si>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</si>
  <si>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</si>
  <si>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</si>
  <si>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</si>
  <si>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</si>
  <si>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Háztartásoknak nyújtott egyéb felhalmozási célú támogatási kölcsön visszatérülése /társasházak/</t>
  </si>
  <si>
    <t>Idegenforgalmi adó</t>
  </si>
  <si>
    <t>Üdülőhelyi feladatok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</si>
  <si>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</si>
  <si>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</si>
  <si>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</si>
  <si>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</si>
  <si>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</si>
  <si>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5/c. számú melléklet</t>
  </si>
  <si>
    <t>5/d. számú melléklet</t>
  </si>
  <si>
    <t>5/e. számú melléklet</t>
  </si>
  <si>
    <t>Helyi önkormányzatok működésének általános támogatása</t>
  </si>
  <si>
    <t>III.</t>
  </si>
  <si>
    <t>IV.</t>
  </si>
  <si>
    <t>5. számú melléklet</t>
  </si>
  <si>
    <t>5/b. számú melléklet</t>
  </si>
  <si>
    <t>Áh-n belülrők kapott felhalmozási célú támogatás eu-s programokra</t>
  </si>
  <si>
    <t>Egyéb működési bevételek</t>
  </si>
  <si>
    <t>Közhatalmi bevételek összesen</t>
  </si>
  <si>
    <t>MŰKÖDÉSI BEVÉTELEK ÖSSZESEN</t>
  </si>
  <si>
    <t>Felhalmozási célú támogatás Áh-n belülről</t>
  </si>
  <si>
    <t>Belváros- Lipótváros Önkormányzata 2014. évi államháztartáson belülről kapott működési célú támogatásainak részletezése</t>
  </si>
  <si>
    <t>Települési önkorm.egyes köznevelési feladatainak támogatása</t>
  </si>
  <si>
    <t>Települési önkorm.kulturális feladatainak támogatása</t>
  </si>
  <si>
    <t>Működési célú központosított előirányzatok</t>
  </si>
  <si>
    <t>V.</t>
  </si>
  <si>
    <t>Elvonások és befizetések bevételei</t>
  </si>
  <si>
    <t xml:space="preserve">   - Idegenforgalmi adó differenciált kiegészítése</t>
  </si>
  <si>
    <t>Társadalombiztosítás pénzügyi alapjaitól működési támogatás</t>
  </si>
  <si>
    <t>Társulástól és költségvetési szervétől működési célú támogatás</t>
  </si>
  <si>
    <t>3/1.</t>
  </si>
  <si>
    <t>3/2.</t>
  </si>
  <si>
    <t>3/3.</t>
  </si>
  <si>
    <t>1/1.</t>
  </si>
  <si>
    <t>1/2.</t>
  </si>
  <si>
    <t>1/3.</t>
  </si>
  <si>
    <t>1/4.</t>
  </si>
  <si>
    <t>1/5.</t>
  </si>
  <si>
    <t>Belváros-Lipótváros Önkormányzata 2014. évre tervezett közhatalmi bevételeinek részletezése</t>
  </si>
  <si>
    <t>Környezetvédelmi bírság</t>
  </si>
  <si>
    <t>Műemlékvédelmi bírság</t>
  </si>
  <si>
    <t>Egyéb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</si>
  <si>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</si>
  <si>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</si>
  <si>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</si>
  <si>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</si>
  <si>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</si>
  <si>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>Belváros-Lipótváros Önkormányzata 2014. évre tervezett működési bevételeinek részletezése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</si>
  <si>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</si>
  <si>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</si>
  <si>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</si>
  <si>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</si>
  <si>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</si>
  <si>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 xml:space="preserve">Belváros-  Lipótváros Önkormányzata 2014. évre </t>
  </si>
  <si>
    <t>Egyéb tárgyi eszközök értékesítése</t>
  </si>
  <si>
    <t>Általános forgalmi adó visszatérítése</t>
  </si>
  <si>
    <t>Kamatbevételek</t>
  </si>
  <si>
    <t>Egyéb pénzügyi műveletek bevételei</t>
  </si>
  <si>
    <t>Belváros- Lipótváros Önkormányzata 2014. évi államháztartáson belülről kapott felhalmozási célú támogatásainak részletezése</t>
  </si>
  <si>
    <t>Fejezeti kezelésű előirányzattól felhalmozási célú támogatások</t>
  </si>
  <si>
    <t>Helyi önkormányzattól kapott támogatás</t>
  </si>
  <si>
    <t>FELHALMOZÁSI CÉLÚ TÁMOGATÁSOK ÁH-ON BELÜLRŐL</t>
  </si>
  <si>
    <t>Belváros-Lipótváros Önkormányzata 2014. évre tervezett államháztartáson kívülről átvett felhalmozási célú pénzeszközeinek részletezése</t>
  </si>
  <si>
    <t>Felhalmozási célú támogatások, kölcsönök  visszatérülése ÁH-on kívülről</t>
  </si>
  <si>
    <t>Felhalmozási célú pénzeszközátvétel egyéb vállalkozástól a Szervita tér megújításához</t>
  </si>
  <si>
    <t>FELHALMOZÁSI CÉLÚ ÁTVETT PÉNZESZKÖZÖK ÖSSZESEN</t>
  </si>
  <si>
    <t>Működési célú központosított támogatás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</si>
  <si>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</si>
  <si>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</si>
  <si>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</si>
  <si>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</si>
  <si>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</si>
  <si>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</si>
  <si>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</si>
  <si>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</si>
  <si>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</si>
  <si>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</si>
  <si>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</si>
  <si>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</si>
  <si>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</si>
  <si>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</si>
  <si>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</si>
  <si>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</si>
  <si>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Költségvetési pénzmaradvány</t>
  </si>
  <si>
    <t>Irányító szervi támogatás</t>
  </si>
  <si>
    <t>Irányító szervi támogatás miatti korrekció</t>
  </si>
  <si>
    <t>KORRIGÁLT BEVÉTELEK ÖSSZESEN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</si>
  <si>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</si>
  <si>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</si>
  <si>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</si>
  <si>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>Mód.ei.</t>
  </si>
  <si>
    <t>Mutatószám (fő)</t>
  </si>
  <si>
    <t>E-útdíj miatti bevétel</t>
  </si>
  <si>
    <t>5/a.számú melléklet</t>
  </si>
  <si>
    <t>Kiegészítő gyermekvédelmi támogatás</t>
  </si>
  <si>
    <t>Közcélú foglalkoztatottak támogatása</t>
  </si>
  <si>
    <t>Önkormányzat</t>
  </si>
  <si>
    <t>Meghatározott célra kapott pénzeszköz</t>
  </si>
  <si>
    <t>2013.évről áthúzódó bérkompenzáció</t>
  </si>
  <si>
    <t>Egyéb központi támogatás</t>
  </si>
  <si>
    <t>1/6.</t>
  </si>
  <si>
    <t>Önkormányzatok működési támogatása ( 1/1.- 1/6.)</t>
  </si>
  <si>
    <t>Országgyűlési választásra biztosított támogatás</t>
  </si>
  <si>
    <t>EP választásra biztosított támogatás</t>
  </si>
  <si>
    <t>Nyári gyermekétkeztetés támogatása</t>
  </si>
  <si>
    <t>Önkormányzat felhalmozási célú költségvetési támogatása</t>
  </si>
  <si>
    <t>5/f. számú melléklet</t>
  </si>
  <si>
    <t>Szent István mélygarázs követelés rendezése</t>
  </si>
  <si>
    <t>Betétlekötés megszüntetése</t>
  </si>
  <si>
    <t>Működési finanszírozási bevételek összesen</t>
  </si>
  <si>
    <t>Felhalmozási finanszírozási bevételek összesen</t>
  </si>
  <si>
    <t>FINANSZÍROZÁSI BEVÉTELEK ÖSSZESEN (III.+IV.+V.1.)</t>
  </si>
  <si>
    <t>BEVÉTELEK MINDÖSSZESEN (I.+II.+V.)</t>
  </si>
  <si>
    <t>Teljesítés</t>
  </si>
  <si>
    <t>Szociális és gyermekvédelmi ágazati pótlék</t>
  </si>
  <si>
    <t xml:space="preserve">           Fővárosi Önkormányzattól E-útdíj kompenzáció</t>
  </si>
  <si>
    <t>Eredeti ei.</t>
  </si>
  <si>
    <t>Közművelődési érdekeltségnöv. támogatás</t>
  </si>
  <si>
    <t>Tanyai termékek piacra jutásának elősegítéséhez</t>
  </si>
  <si>
    <t>Épületenergetiai pályázathoz</t>
  </si>
  <si>
    <t>Duna korzó és kapcsolódó feladatok támogatása</t>
  </si>
  <si>
    <t>Belváros új Főutcájának kiépítése II.ütem</t>
  </si>
  <si>
    <t>Déli Belváros megújítása</t>
  </si>
  <si>
    <t>Észak Lipótváros megújítása</t>
  </si>
  <si>
    <t>Fővárosi Önkormányzat támogatása a Szervita tér megújításához</t>
  </si>
  <si>
    <t>Szent István tér 13-14.,15. elidegenítése</t>
  </si>
  <si>
    <t xml:space="preserve">Ferenciek tere 10.,Váci utca 36., </t>
  </si>
  <si>
    <t>Egyéb ingatlanok elidegenítése</t>
  </si>
  <si>
    <t>Önkormányzati lakások értékesítése</t>
  </si>
  <si>
    <t>Ered.</t>
  </si>
  <si>
    <t>Mód.</t>
  </si>
  <si>
    <t xml:space="preserve">   - Belváros új Főutcájának kiépítése II.ütem</t>
  </si>
  <si>
    <t xml:space="preserve">   - Észak Lipótváros megújítása</t>
  </si>
  <si>
    <t>Önkormányzati hivatal működésének támogatása</t>
  </si>
  <si>
    <t>Egyéb önkormányzati feladatok támogatása</t>
  </si>
  <si>
    <t>Hozzájárulás a pénzbeli szociális ellátásokhoz</t>
  </si>
  <si>
    <t xml:space="preserve">Óvodapedagógusok bértámogatása </t>
  </si>
  <si>
    <t>Óvodai működtetés támogatása</t>
  </si>
  <si>
    <t>Egyes jövedelempótló támogatások kiegészítése</t>
  </si>
  <si>
    <t>Családsegítés</t>
  </si>
  <si>
    <t>Gyermekjóléti szolgálat</t>
  </si>
  <si>
    <t xml:space="preserve">Szociális étkeztetés </t>
  </si>
  <si>
    <t>Házi segítségnyújtás</t>
  </si>
  <si>
    <t>Időskorúak nappali intézményi ellátása</t>
  </si>
  <si>
    <t>Bölcsődei ellátás</t>
  </si>
  <si>
    <t>Helyi önkorm.működésének ált.támog.</t>
  </si>
  <si>
    <t>Szoc.entlakásos intézmény-üzemeltetési tám.</t>
  </si>
  <si>
    <t>Óvodapedagógusok munkáját közvetlenül segítők bértám.</t>
  </si>
  <si>
    <t>Telep.önkorm.egyes köznevelési feladatainak tám.</t>
  </si>
  <si>
    <t>Gyermekétk.üzemeltetése és a dolgozók tám.</t>
  </si>
  <si>
    <t>Szoc. bentlakásos int.ellátásokhoz kapcs.bértám.</t>
  </si>
  <si>
    <t>Telep.önkorm.kulturális feladatainak tám.</t>
  </si>
  <si>
    <t>Helyi önkorm.ágazati feladataihoz kapcs.tám.</t>
  </si>
  <si>
    <t>Helyi szervezési int.kapcsolódó tám.</t>
  </si>
  <si>
    <t>Kv.szerveknél foglalkoztatottak 2014.évi bérkomp.</t>
  </si>
  <si>
    <t xml:space="preserve">   - Eu-s programok műk.tám.(fordított áfa miatt)</t>
  </si>
  <si>
    <t>Fejezeti kezelésű előirányzattól műk.célú tám.</t>
  </si>
  <si>
    <t xml:space="preserve">           Közterület-hasznosítási Társulástól kapott tám.</t>
  </si>
  <si>
    <t>Helyi önkorm.és nemz.választásra biztosított tám.</t>
  </si>
  <si>
    <t>Egyéb műk.célú tám.államháztartáson belülről</t>
  </si>
  <si>
    <t>MŰK.CÉLÚ TÁMOGATÁSOK ÁH-ON BELÜLRŐL (1.+2.+3.)</t>
  </si>
  <si>
    <t>Nyári diákmunka támogatása</t>
  </si>
  <si>
    <t>Áht-n belüli megelőlegezések</t>
  </si>
  <si>
    <t>Belváros-Lipótváros Önkormányzata 2014. évre bevételei teljesítésének összesítője</t>
  </si>
  <si>
    <t>Gazdasági szervezettel rendelkező költségvetési szervek</t>
  </si>
  <si>
    <t>Gazdasági szervezettel nem rendelkező költségvetési szervek</t>
  </si>
  <si>
    <t>Malév részvény bevonása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</si>
</sst>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0.0"/>
    <numFmt numFmtId="167" formatCode="#,##0.0"/>
  </numFmts>
  <fonts count="4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9" borderId="0" applyNumberFormat="0" applyBorder="0" applyAlignment="0" applyProtection="0"/>
    <xf numFmtId="0" fontId="29" fillId="27" borderId="0" applyNumberFormat="0" applyBorder="0" applyAlignment="0" applyProtection="0"/>
    <xf numFmtId="0" fontId="11" fillId="28" borderId="0" applyNumberFormat="0" applyBorder="0" applyAlignment="0" applyProtection="0"/>
    <xf numFmtId="0" fontId="29" fillId="29" borderId="0" applyNumberFormat="0" applyBorder="0" applyAlignment="0" applyProtection="0"/>
    <xf numFmtId="0" fontId="11" fillId="30" borderId="0" applyNumberFormat="0" applyBorder="0" applyAlignment="0" applyProtection="0"/>
    <xf numFmtId="0" fontId="29" fillId="31" borderId="0" applyNumberFormat="0" applyBorder="0" applyAlignment="0" applyProtection="0"/>
    <xf numFmtId="0" fontId="11" fillId="32" borderId="0" applyNumberFormat="0" applyBorder="0" applyAlignment="0" applyProtection="0"/>
    <xf numFmtId="0" fontId="30" fillId="33" borderId="1" applyNumberFormat="0" applyAlignment="0" applyProtection="0"/>
    <xf numFmtId="0" fontId="12" fillId="13" borderId="2" applyNumberFormat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4" fillId="0" borderId="4" applyNumberFormat="0" applyFill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34" borderId="9" applyNumberFormat="0" applyAlignment="0" applyProtection="0"/>
    <xf numFmtId="0" fontId="17" fillId="35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7" fillId="0" borderId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9" fillId="0" borderId="12" applyNumberFormat="0" applyFill="0" applyAlignment="0" applyProtection="0"/>
    <xf numFmtId="0" fontId="0" fillId="36" borderId="13" applyNumberFormat="0" applyFont="0" applyAlignment="0" applyProtection="0"/>
    <xf numFmtId="0" fontId="0" fillId="37" borderId="14" applyNumberFormat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4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29" fillId="44" borderId="0" applyNumberFormat="0" applyBorder="0" applyAlignment="0" applyProtection="0"/>
    <xf numFmtId="0" fontId="11" fillId="28" borderId="0" applyNumberFormat="0" applyBorder="0" applyAlignment="0" applyProtection="0"/>
    <xf numFmtId="0" fontId="29" fillId="45" borderId="0" applyNumberFormat="0" applyBorder="0" applyAlignment="0" applyProtection="0"/>
    <xf numFmtId="0" fontId="11" fillId="30" borderId="0" applyNumberFormat="0" applyBorder="0" applyAlignment="0" applyProtection="0"/>
    <xf numFmtId="0" fontId="29" fillId="46" borderId="0" applyNumberFormat="0" applyBorder="0" applyAlignment="0" applyProtection="0"/>
    <xf numFmtId="0" fontId="11" fillId="47" borderId="0" applyNumberFormat="0" applyBorder="0" applyAlignment="0" applyProtection="0"/>
    <xf numFmtId="0" fontId="38" fillId="48" borderId="0" applyNumberFormat="0" applyBorder="0" applyAlignment="0" applyProtection="0"/>
    <xf numFmtId="0" fontId="20" fillId="7" borderId="0" applyNumberFormat="0" applyBorder="0" applyAlignment="0" applyProtection="0"/>
    <xf numFmtId="0" fontId="39" fillId="49" borderId="15" applyNumberFormat="0" applyAlignment="0" applyProtection="0"/>
    <xf numFmtId="0" fontId="21" fillId="50" borderId="16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41" fillId="0" borderId="17" applyNumberFormat="0" applyFill="0" applyAlignment="0" applyProtection="0"/>
    <xf numFmtId="0" fontId="23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43" fillId="52" borderId="0" applyNumberFormat="0" applyBorder="0" applyAlignment="0" applyProtection="0"/>
    <xf numFmtId="0" fontId="25" fillId="53" borderId="0" applyNumberFormat="0" applyBorder="0" applyAlignment="0" applyProtection="0"/>
    <xf numFmtId="0" fontId="44" fillId="49" borderId="1" applyNumberFormat="0" applyAlignment="0" applyProtection="0"/>
    <xf numFmtId="0" fontId="26" fillId="50" borderId="2" applyNumberFormat="0" applyAlignment="0" applyProtection="0"/>
    <xf numFmtId="9" fontId="0" fillId="0" borderId="0" applyFont="0" applyFill="0" applyBorder="0" applyAlignment="0" applyProtection="0"/>
    <xf numFmtId="9" fontId="27" fillId="0" borderId="0" applyFill="0" applyBorder="0" applyAlignment="0" applyProtection="0"/>
  </cellStyleXfs>
  <cellXfs count="4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Fill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49" fontId="3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Alignment="1">
      <alignment vertical="center"/>
    </xf>
    <xf numFmtId="0" fontId="4" fillId="0" borderId="23" xfId="0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vertical="center"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49" fontId="4" fillId="0" borderId="26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3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0" fillId="0" borderId="0" xfId="0" applyNumberFormat="1" applyFill="1" applyAlignment="1">
      <alignment vertical="center"/>
    </xf>
    <xf numFmtId="49" fontId="4" fillId="0" borderId="27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3" fontId="4" fillId="0" borderId="33" xfId="0" applyNumberFormat="1" applyFont="1" applyBorder="1" applyAlignment="1">
      <alignment horizontal="center" vertical="center" wrapText="1"/>
    </xf>
    <xf numFmtId="3" fontId="0" fillId="0" borderId="25" xfId="0" applyNumberFormat="1" applyBorder="1" applyAlignment="1">
      <alignment vertical="center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9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3" xfId="0" applyFont="1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right" vertical="center" wrapText="1"/>
    </xf>
    <xf numFmtId="3" fontId="4" fillId="0" borderId="38" xfId="0" applyNumberFormat="1" applyFont="1" applyFill="1" applyBorder="1" applyAlignment="1">
      <alignment horizontal="right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vertical="center" wrapText="1"/>
    </xf>
    <xf numFmtId="3" fontId="4" fillId="0" borderId="41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1" xfId="0" applyFont="1" applyFill="1" applyBorder="1" applyAlignment="1">
      <alignment horizontal="right" vertical="center" wrapText="1"/>
    </xf>
    <xf numFmtId="4" fontId="4" fillId="0" borderId="41" xfId="0" applyNumberFormat="1" applyFont="1" applyFill="1" applyBorder="1" applyAlignment="1">
      <alignment horizontal="right" vertical="center" wrapText="1"/>
    </xf>
    <xf numFmtId="3" fontId="4" fillId="0" borderId="41" xfId="0" applyNumberFormat="1" applyFont="1" applyFill="1" applyBorder="1" applyAlignment="1">
      <alignment horizontal="right" wrapText="1"/>
    </xf>
    <xf numFmtId="3" fontId="4" fillId="0" borderId="28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0" fontId="4" fillId="0" borderId="38" xfId="0" applyFont="1" applyFill="1" applyBorder="1" applyAlignment="1">
      <alignment horizontal="right" vertical="center" wrapText="1"/>
    </xf>
    <xf numFmtId="3" fontId="4" fillId="0" borderId="38" xfId="0" applyNumberFormat="1" applyFont="1" applyFill="1" applyBorder="1" applyAlignment="1">
      <alignment horizontal="right" wrapText="1"/>
    </xf>
    <xf numFmtId="3" fontId="4" fillId="0" borderId="27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2" xfId="0" applyFont="1" applyFill="1" applyBorder="1" applyAlignment="1">
      <alignment horizontal="right" vertical="center" wrapText="1"/>
    </xf>
    <xf numFmtId="3" fontId="4" fillId="0" borderId="42" xfId="0" applyNumberFormat="1" applyFont="1" applyFill="1" applyBorder="1" applyAlignment="1">
      <alignment horizontal="right" wrapText="1"/>
    </xf>
    <xf numFmtId="3" fontId="4" fillId="0" borderId="31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3" fillId="0" borderId="22" xfId="0" applyFont="1" applyFill="1" applyBorder="1" applyAlignment="1">
      <alignment horizontal="right" vertical="center" wrapText="1"/>
    </xf>
    <xf numFmtId="3" fontId="3" fillId="0" borderId="22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 horizontal="right" vertical="center" wrapText="1"/>
    </xf>
    <xf numFmtId="49" fontId="3" fillId="0" borderId="3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3" fillId="0" borderId="25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wrapText="1"/>
    </xf>
    <xf numFmtId="3" fontId="4" fillId="0" borderId="32" xfId="0" applyNumberFormat="1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/>
    </xf>
    <xf numFmtId="3" fontId="4" fillId="0" borderId="30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/>
    </xf>
    <xf numFmtId="49" fontId="3" fillId="0" borderId="30" xfId="0" applyNumberFormat="1" applyFont="1" applyFill="1" applyBorder="1" applyAlignment="1">
      <alignment/>
    </xf>
    <xf numFmtId="0" fontId="4" fillId="0" borderId="25" xfId="0" applyFont="1" applyFill="1" applyBorder="1" applyAlignment="1">
      <alignment wrapText="1"/>
    </xf>
    <xf numFmtId="0" fontId="4" fillId="0" borderId="25" xfId="0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wrapText="1"/>
    </xf>
    <xf numFmtId="0" fontId="8" fillId="0" borderId="33" xfId="0" applyFont="1" applyFill="1" applyBorder="1" applyAlignment="1">
      <alignment wrapText="1"/>
    </xf>
    <xf numFmtId="49" fontId="3" fillId="0" borderId="3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49" fontId="3" fillId="0" borderId="20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49" fontId="3" fillId="0" borderId="29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right" vertical="center" wrapText="1"/>
    </xf>
    <xf numFmtId="3" fontId="4" fillId="0" borderId="43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/>
    </xf>
    <xf numFmtId="0" fontId="4" fillId="0" borderId="45" xfId="0" applyFont="1" applyFill="1" applyBorder="1" applyAlignment="1">
      <alignment/>
    </xf>
    <xf numFmtId="49" fontId="3" fillId="0" borderId="29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/>
    </xf>
    <xf numFmtId="3" fontId="4" fillId="0" borderId="43" xfId="0" applyNumberFormat="1" applyFont="1" applyFill="1" applyBorder="1" applyAlignment="1">
      <alignment horizontal="right" wrapText="1"/>
    </xf>
    <xf numFmtId="3" fontId="4" fillId="0" borderId="29" xfId="0" applyNumberFormat="1" applyFont="1" applyFill="1" applyBorder="1" applyAlignment="1">
      <alignment horizontal="right" vertical="center" wrapText="1"/>
    </xf>
    <xf numFmtId="49" fontId="3" fillId="0" borderId="31" xfId="0" applyNumberFormat="1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horizontal="right" wrapText="1"/>
    </xf>
    <xf numFmtId="3" fontId="4" fillId="0" borderId="31" xfId="0" applyNumberFormat="1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3" fontId="3" fillId="0" borderId="22" xfId="0" applyNumberFormat="1" applyFont="1" applyFill="1" applyBorder="1" applyAlignment="1">
      <alignment horizont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vertical="center" wrapText="1"/>
    </xf>
    <xf numFmtId="3" fontId="4" fillId="0" borderId="24" xfId="0" applyNumberFormat="1" applyFont="1" applyFill="1" applyBorder="1" applyAlignment="1">
      <alignment wrapText="1"/>
    </xf>
    <xf numFmtId="3" fontId="4" fillId="0" borderId="25" xfId="0" applyNumberFormat="1" applyFont="1" applyFill="1" applyBorder="1" applyAlignment="1">
      <alignment vertical="center" wrapText="1"/>
    </xf>
    <xf numFmtId="12" fontId="3" fillId="0" borderId="41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3" fontId="4" fillId="0" borderId="41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12" fontId="3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horizontal="right"/>
    </xf>
    <xf numFmtId="12" fontId="3" fillId="0" borderId="24" xfId="0" applyNumberFormat="1" applyFont="1" applyFill="1" applyBorder="1" applyAlignment="1">
      <alignment horizontal="center" vertical="center" wrapText="1"/>
    </xf>
    <xf numFmtId="12" fontId="3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3" fontId="4" fillId="0" borderId="31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right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right" vertical="center" wrapText="1"/>
    </xf>
    <xf numFmtId="3" fontId="4" fillId="0" borderId="47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/>
    </xf>
    <xf numFmtId="3" fontId="4" fillId="0" borderId="41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49" fontId="4" fillId="0" borderId="30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16" fontId="4" fillId="0" borderId="50" xfId="0" applyNumberFormat="1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16" fontId="4" fillId="0" borderId="24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16" fontId="4" fillId="0" borderId="4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16" fontId="4" fillId="0" borderId="42" xfId="0" applyNumberFormat="1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3" fontId="4" fillId="0" borderId="42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3" fontId="4" fillId="0" borderId="2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 wrapText="1"/>
    </xf>
    <xf numFmtId="3" fontId="4" fillId="0" borderId="32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horizontal="left" vertical="center" wrapText="1"/>
    </xf>
    <xf numFmtId="3" fontId="3" fillId="0" borderId="4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3" fontId="4" fillId="0" borderId="38" xfId="0" applyNumberFormat="1" applyFont="1" applyFill="1" applyBorder="1" applyAlignment="1">
      <alignment vertical="center" wrapText="1"/>
    </xf>
    <xf numFmtId="3" fontId="4" fillId="0" borderId="42" xfId="0" applyNumberFormat="1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vertical="center" wrapText="1"/>
    </xf>
    <xf numFmtId="3" fontId="4" fillId="0" borderId="43" xfId="0" applyNumberFormat="1" applyFont="1" applyFill="1" applyBorder="1" applyAlignment="1">
      <alignment vertical="center" wrapText="1"/>
    </xf>
    <xf numFmtId="3" fontId="4" fillId="0" borderId="43" xfId="0" applyNumberFormat="1" applyFont="1" applyFill="1" applyBorder="1" applyAlignment="1">
      <alignment vertical="center" wrapText="1"/>
    </xf>
    <xf numFmtId="3" fontId="4" fillId="0" borderId="42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1" fillId="0" borderId="19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3" fontId="8" fillId="0" borderId="20" xfId="0" applyNumberFormat="1" applyFont="1" applyFill="1" applyBorder="1" applyAlignment="1">
      <alignment horizontal="right" vertical="center" wrapText="1"/>
    </xf>
    <xf numFmtId="0" fontId="7" fillId="0" borderId="48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horizontal="center" vertical="center" wrapText="1"/>
    </xf>
    <xf numFmtId="3" fontId="3" fillId="0" borderId="46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0" fillId="0" borderId="19" xfId="0" applyFill="1" applyBorder="1" applyAlignment="1">
      <alignment horizontal="right"/>
    </xf>
    <xf numFmtId="0" fontId="4" fillId="0" borderId="47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top" wrapText="1"/>
    </xf>
    <xf numFmtId="0" fontId="4" fillId="0" borderId="40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wrapText="1"/>
    </xf>
    <xf numFmtId="0" fontId="4" fillId="0" borderId="4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wrapText="1"/>
    </xf>
    <xf numFmtId="0" fontId="4" fillId="0" borderId="54" xfId="0" applyFont="1" applyFill="1" applyBorder="1" applyAlignment="1">
      <alignment horizontal="left" wrapText="1"/>
    </xf>
    <xf numFmtId="3" fontId="3" fillId="0" borderId="22" xfId="0" applyNumberFormat="1" applyFont="1" applyFill="1" applyBorder="1" applyAlignment="1">
      <alignment horizontal="left" wrapText="1"/>
    </xf>
    <xf numFmtId="3" fontId="3" fillId="0" borderId="33" xfId="0" applyNumberFormat="1" applyFont="1" applyFill="1" applyBorder="1" applyAlignment="1">
      <alignment horizontal="left" wrapText="1"/>
    </xf>
    <xf numFmtId="0" fontId="4" fillId="0" borderId="55" xfId="0" applyFont="1" applyFill="1" applyBorder="1" applyAlignment="1">
      <alignment horizontal="left" wrapText="1"/>
    </xf>
    <xf numFmtId="0" fontId="4" fillId="0" borderId="56" xfId="0" applyFont="1" applyFill="1" applyBorder="1" applyAlignment="1">
      <alignment horizontal="left" wrapText="1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9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9" fillId="0" borderId="22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3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right"/>
    </xf>
  </cellXfs>
  <cellStyles count="93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Ellenőrzőcella" xfId="63"/>
    <cellStyle name="Ellenőrzőcella 2" xfId="64"/>
    <cellStyle name="Comma" xfId="65"/>
    <cellStyle name="Comma [0]" xfId="66"/>
    <cellStyle name="Ezres 2" xfId="67"/>
    <cellStyle name="Figyelmeztetés" xfId="68"/>
    <cellStyle name="Figyelmeztetés 2" xfId="69"/>
    <cellStyle name="Hyperlink" xfId="70"/>
    <cellStyle name="Hivatkozott cella" xfId="71"/>
    <cellStyle name="Hivatkozott cella 2" xfId="72"/>
    <cellStyle name="Jegyzet" xfId="73"/>
    <cellStyle name="Jegyzet 2" xfId="74"/>
    <cellStyle name="Jelölőszín (1)" xfId="75"/>
    <cellStyle name="Jelölőszín (1) 2" xfId="76"/>
    <cellStyle name="Jelölőszín (2)" xfId="77"/>
    <cellStyle name="Jelölőszín (2) 2" xfId="78"/>
    <cellStyle name="Jelölőszín (3)" xfId="79"/>
    <cellStyle name="Jelölőszín (3) 2" xfId="80"/>
    <cellStyle name="Jelölőszín (4)" xfId="81"/>
    <cellStyle name="Jelölőszín (4) 2" xfId="82"/>
    <cellStyle name="Jelölőszín (5)" xfId="83"/>
    <cellStyle name="Jelölőszín (5) 2" xfId="84"/>
    <cellStyle name="Jelölőszín (6)" xfId="85"/>
    <cellStyle name="Jelölőszín (6) 2" xfId="86"/>
    <cellStyle name="Jó" xfId="87"/>
    <cellStyle name="Jó 2" xfId="88"/>
    <cellStyle name="Kimenet" xfId="89"/>
    <cellStyle name="Kimenet 2" xfId="90"/>
    <cellStyle name="Followed Hyperlink" xfId="91"/>
    <cellStyle name="Magyarázó szöveg" xfId="92"/>
    <cellStyle name="Magyarázó szöveg 2" xfId="93"/>
    <cellStyle name="Normál 2" xfId="94"/>
    <cellStyle name="Összesen" xfId="95"/>
    <cellStyle name="Összesen 2" xfId="96"/>
    <cellStyle name="Currency" xfId="97"/>
    <cellStyle name="Currency [0]" xfId="98"/>
    <cellStyle name="Rossz" xfId="99"/>
    <cellStyle name="Rossz 2" xfId="100"/>
    <cellStyle name="Semleges" xfId="101"/>
    <cellStyle name="Semleges 2" xfId="102"/>
    <cellStyle name="Számítás" xfId="103"/>
    <cellStyle name="Számítás 2" xfId="104"/>
    <cellStyle name="Percent" xfId="105"/>
    <cellStyle name="Százalék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9"/>
  <sheetViews>
    <sheetView zoomScalePageLayoutView="0" workbookViewId="0" topLeftCell="A1">
      <selection activeCell="G4" sqref="G4:O6"/>
    </sheetView>
  </sheetViews>
  <sheetFormatPr defaultColWidth="9.00390625" defaultRowHeight="12.75"/>
  <cols>
    <col min="1" max="1" width="3.25390625" style="280" customWidth="1"/>
    <col min="2" max="2" width="3.125" style="280" customWidth="1"/>
    <col min="3" max="3" width="48.75390625" style="280" customWidth="1"/>
    <col min="4" max="6" width="9.875" style="280" bestFit="1" customWidth="1"/>
    <col min="7" max="7" width="9.375" style="282" bestFit="1" customWidth="1"/>
    <col min="8" max="8" width="12.25390625" style="282" bestFit="1" customWidth="1"/>
    <col min="9" max="9" width="8.875" style="282" bestFit="1" customWidth="1"/>
    <col min="10" max="10" width="9.00390625" style="280" bestFit="1" customWidth="1"/>
    <col min="11" max="12" width="8.875" style="280" bestFit="1" customWidth="1"/>
    <col min="13" max="13" width="9.875" style="280" bestFit="1" customWidth="1"/>
    <col min="14" max="14" width="10.375" style="23" bestFit="1" customWidth="1"/>
    <col min="15" max="15" width="9.875" style="57" bestFit="1" customWidth="1"/>
    <col min="16" max="16384" width="9.125" style="23" customWidth="1"/>
  </cols>
  <sheetData>
    <row r="2" spans="1:15" ht="15.75">
      <c r="A2" s="365" t="s">
        <v>180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spans="7:15" ht="12.75" customHeight="1">
      <c r="G3" s="390" t="s">
        <v>31</v>
      </c>
      <c r="H3" s="390"/>
      <c r="I3" s="390"/>
      <c r="J3" s="390"/>
      <c r="K3" s="390"/>
      <c r="L3" s="390"/>
      <c r="M3" s="390"/>
      <c r="N3" s="390"/>
      <c r="O3" s="390"/>
    </row>
    <row r="4" spans="2:15" ht="13.5" customHeight="1" thickBot="1">
      <c r="B4" s="281"/>
      <c r="J4" s="391" t="s">
        <v>0</v>
      </c>
      <c r="K4" s="391"/>
      <c r="L4" s="391"/>
      <c r="M4" s="391"/>
      <c r="N4" s="391"/>
      <c r="O4" s="391"/>
    </row>
    <row r="5" spans="1:15" s="15" customFormat="1" ht="26.25" customHeight="1">
      <c r="A5" s="369" t="s">
        <v>1</v>
      </c>
      <c r="B5" s="370"/>
      <c r="C5" s="371"/>
      <c r="D5" s="378" t="s">
        <v>20</v>
      </c>
      <c r="E5" s="379"/>
      <c r="F5" s="380"/>
      <c r="G5" s="378" t="s">
        <v>181</v>
      </c>
      <c r="H5" s="379"/>
      <c r="I5" s="380"/>
      <c r="J5" s="378" t="s">
        <v>182</v>
      </c>
      <c r="K5" s="379"/>
      <c r="L5" s="380"/>
      <c r="M5" s="384" t="s">
        <v>21</v>
      </c>
      <c r="N5" s="385"/>
      <c r="O5" s="386"/>
    </row>
    <row r="6" spans="1:15" s="15" customFormat="1" ht="64.5" customHeight="1" thickBot="1">
      <c r="A6" s="372"/>
      <c r="B6" s="373"/>
      <c r="C6" s="374"/>
      <c r="D6" s="381"/>
      <c r="E6" s="382"/>
      <c r="F6" s="383"/>
      <c r="G6" s="381"/>
      <c r="H6" s="382"/>
      <c r="I6" s="383"/>
      <c r="J6" s="381"/>
      <c r="K6" s="382"/>
      <c r="L6" s="383"/>
      <c r="M6" s="387"/>
      <c r="N6" s="388"/>
      <c r="O6" s="389"/>
    </row>
    <row r="7" spans="1:15" s="15" customFormat="1" ht="20.25" customHeight="1" thickBot="1">
      <c r="A7" s="375"/>
      <c r="B7" s="376"/>
      <c r="C7" s="377"/>
      <c r="D7" s="95" t="s">
        <v>133</v>
      </c>
      <c r="E7" s="95" t="s">
        <v>107</v>
      </c>
      <c r="F7" s="95" t="s">
        <v>130</v>
      </c>
      <c r="G7" s="95" t="s">
        <v>133</v>
      </c>
      <c r="H7" s="95" t="s">
        <v>107</v>
      </c>
      <c r="I7" s="95" t="s">
        <v>130</v>
      </c>
      <c r="J7" s="95" t="s">
        <v>133</v>
      </c>
      <c r="K7" s="95" t="s">
        <v>107</v>
      </c>
      <c r="L7" s="95" t="s">
        <v>130</v>
      </c>
      <c r="M7" s="95" t="s">
        <v>133</v>
      </c>
      <c r="N7" s="95" t="s">
        <v>107</v>
      </c>
      <c r="O7" s="95" t="s">
        <v>130</v>
      </c>
    </row>
    <row r="8" spans="1:15" s="15" customFormat="1" ht="13.5" customHeight="1" thickBot="1">
      <c r="A8" s="366">
        <v>1</v>
      </c>
      <c r="B8" s="367"/>
      <c r="C8" s="368"/>
      <c r="D8" s="245">
        <v>2</v>
      </c>
      <c r="E8" s="123">
        <v>3</v>
      </c>
      <c r="F8" s="246">
        <v>4</v>
      </c>
      <c r="G8" s="245">
        <v>5</v>
      </c>
      <c r="H8" s="123">
        <v>6</v>
      </c>
      <c r="I8" s="246">
        <v>7</v>
      </c>
      <c r="J8" s="245">
        <v>8</v>
      </c>
      <c r="K8" s="123">
        <v>9</v>
      </c>
      <c r="L8" s="246">
        <v>10</v>
      </c>
      <c r="M8" s="245">
        <v>11</v>
      </c>
      <c r="N8" s="123">
        <v>12</v>
      </c>
      <c r="O8" s="115">
        <v>13</v>
      </c>
    </row>
    <row r="9" spans="1:15" ht="13.5" customHeight="1">
      <c r="A9" s="283"/>
      <c r="B9" s="284"/>
      <c r="C9" s="285" t="s">
        <v>28</v>
      </c>
      <c r="D9" s="286">
        <f>SUM(5A!E10)</f>
        <v>123370</v>
      </c>
      <c r="E9" s="286">
        <f>SUM(5A!F10)</f>
        <v>141927</v>
      </c>
      <c r="F9" s="286">
        <f>SUM(5A!G10)</f>
        <v>141927</v>
      </c>
      <c r="G9" s="286"/>
      <c r="H9" s="286"/>
      <c r="I9" s="286"/>
      <c r="J9" s="286"/>
      <c r="K9" s="286"/>
      <c r="L9" s="286"/>
      <c r="M9" s="286">
        <f aca="true" t="shared" si="0" ref="M9:O16">SUM(D9,G9,J9)</f>
        <v>123370</v>
      </c>
      <c r="N9" s="287">
        <f t="shared" si="0"/>
        <v>141927</v>
      </c>
      <c r="O9" s="287">
        <f t="shared" si="0"/>
        <v>141927</v>
      </c>
    </row>
    <row r="10" spans="1:15" ht="13.5" customHeight="1">
      <c r="A10" s="283"/>
      <c r="B10" s="288"/>
      <c r="C10" s="289" t="s">
        <v>39</v>
      </c>
      <c r="D10" s="290">
        <f>SUM(5A!E14)</f>
        <v>244625</v>
      </c>
      <c r="E10" s="290">
        <f>SUM(5A!F14)</f>
        <v>243183</v>
      </c>
      <c r="F10" s="290">
        <f>SUM(5A!G14)</f>
        <v>243183</v>
      </c>
      <c r="G10" s="291"/>
      <c r="H10" s="291"/>
      <c r="I10" s="291"/>
      <c r="J10" s="292"/>
      <c r="K10" s="292"/>
      <c r="L10" s="293"/>
      <c r="M10" s="286">
        <f t="shared" si="0"/>
        <v>244625</v>
      </c>
      <c r="N10" s="294">
        <f t="shared" si="0"/>
        <v>243183</v>
      </c>
      <c r="O10" s="294">
        <f t="shared" si="0"/>
        <v>243183</v>
      </c>
    </row>
    <row r="11" spans="1:15" ht="13.5" customHeight="1">
      <c r="A11" s="283"/>
      <c r="B11" s="288"/>
      <c r="C11" s="289" t="s">
        <v>105</v>
      </c>
      <c r="D11" s="290">
        <f>SUM(5A!E27)</f>
        <v>229943</v>
      </c>
      <c r="E11" s="290">
        <f>SUM(5A!F27)</f>
        <v>268237</v>
      </c>
      <c r="F11" s="290">
        <f>SUM(5A!G27)</f>
        <v>268237</v>
      </c>
      <c r="G11" s="291"/>
      <c r="H11" s="291"/>
      <c r="I11" s="291"/>
      <c r="J11" s="292"/>
      <c r="K11" s="292"/>
      <c r="L11" s="293"/>
      <c r="M11" s="286">
        <f t="shared" si="0"/>
        <v>229943</v>
      </c>
      <c r="N11" s="294">
        <f t="shared" si="0"/>
        <v>268237</v>
      </c>
      <c r="O11" s="294">
        <f t="shared" si="0"/>
        <v>268237</v>
      </c>
    </row>
    <row r="12" spans="1:15" ht="13.5" customHeight="1">
      <c r="A12" s="283"/>
      <c r="B12" s="288"/>
      <c r="C12" s="289" t="s">
        <v>40</v>
      </c>
      <c r="D12" s="290">
        <f>SUM(5A!E28)</f>
        <v>10520</v>
      </c>
      <c r="E12" s="290">
        <f>SUM(5A!F28)</f>
        <v>10520</v>
      </c>
      <c r="F12" s="290">
        <f>SUM(5A!G28)</f>
        <v>10520</v>
      </c>
      <c r="G12" s="291"/>
      <c r="H12" s="291"/>
      <c r="I12" s="291"/>
      <c r="J12" s="292"/>
      <c r="K12" s="292"/>
      <c r="L12" s="293"/>
      <c r="M12" s="286">
        <f t="shared" si="0"/>
        <v>10520</v>
      </c>
      <c r="N12" s="294">
        <f t="shared" si="0"/>
        <v>10520</v>
      </c>
      <c r="O12" s="294">
        <f t="shared" si="0"/>
        <v>10520</v>
      </c>
    </row>
    <row r="13" spans="1:15" ht="13.5" customHeight="1">
      <c r="A13" s="283"/>
      <c r="B13" s="295"/>
      <c r="C13" s="296" t="s">
        <v>83</v>
      </c>
      <c r="D13" s="297">
        <f>SUM(5A!E35)</f>
        <v>1430388</v>
      </c>
      <c r="E13" s="297">
        <f>SUM(5A!F35)</f>
        <v>1438380</v>
      </c>
      <c r="F13" s="297">
        <f>SUM(5A!G35)</f>
        <v>1438380</v>
      </c>
      <c r="G13" s="298"/>
      <c r="H13" s="298"/>
      <c r="I13" s="298"/>
      <c r="J13" s="299"/>
      <c r="K13" s="299"/>
      <c r="L13" s="300"/>
      <c r="M13" s="297">
        <f t="shared" si="0"/>
        <v>1430388</v>
      </c>
      <c r="N13" s="294">
        <f t="shared" si="0"/>
        <v>1438380</v>
      </c>
      <c r="O13" s="294">
        <f t="shared" si="0"/>
        <v>1438380</v>
      </c>
    </row>
    <row r="14" spans="1:15" ht="13.5" customHeight="1" thickBot="1">
      <c r="A14" s="283"/>
      <c r="B14" s="301"/>
      <c r="C14" s="302" t="s">
        <v>116</v>
      </c>
      <c r="D14" s="54">
        <f>SUM(5A!E36)</f>
        <v>0</v>
      </c>
      <c r="E14" s="303">
        <f>SUM(5A!F38)</f>
        <v>43153</v>
      </c>
      <c r="F14" s="303">
        <f>SUM(5A!G38)</f>
        <v>43153</v>
      </c>
      <c r="G14" s="54"/>
      <c r="H14" s="54"/>
      <c r="I14" s="54"/>
      <c r="J14" s="304"/>
      <c r="K14" s="304"/>
      <c r="L14" s="304"/>
      <c r="M14" s="54">
        <f t="shared" si="0"/>
        <v>0</v>
      </c>
      <c r="N14" s="294">
        <f t="shared" si="0"/>
        <v>43153</v>
      </c>
      <c r="O14" s="294">
        <f t="shared" si="0"/>
        <v>43153</v>
      </c>
    </row>
    <row r="15" spans="1:15" ht="13.5" customHeight="1" thickBot="1">
      <c r="A15" s="283"/>
      <c r="B15" s="305" t="s">
        <v>2</v>
      </c>
      <c r="C15" s="306" t="s">
        <v>84</v>
      </c>
      <c r="D15" s="307">
        <f>SUM(D9:D14)</f>
        <v>2038846</v>
      </c>
      <c r="E15" s="307">
        <f>SUM(E9:E14)</f>
        <v>2145400</v>
      </c>
      <c r="F15" s="307">
        <f>SUM(F9:F14)</f>
        <v>2145400</v>
      </c>
      <c r="G15" s="307">
        <f>SUM(G9:G11)</f>
        <v>0</v>
      </c>
      <c r="H15" s="307"/>
      <c r="I15" s="307"/>
      <c r="J15" s="307">
        <f>SUM(J9:J11)</f>
        <v>0</v>
      </c>
      <c r="K15" s="307"/>
      <c r="L15" s="307"/>
      <c r="M15" s="307">
        <f t="shared" si="0"/>
        <v>2038846</v>
      </c>
      <c r="N15" s="307">
        <f t="shared" si="0"/>
        <v>2145400</v>
      </c>
      <c r="O15" s="307">
        <f t="shared" si="0"/>
        <v>2145400</v>
      </c>
    </row>
    <row r="16" spans="1:17" ht="13.5" customHeight="1" thickBot="1">
      <c r="A16" s="283"/>
      <c r="B16" s="308" t="s">
        <v>3</v>
      </c>
      <c r="C16" s="309" t="s">
        <v>43</v>
      </c>
      <c r="D16" s="310"/>
      <c r="E16" s="310"/>
      <c r="F16" s="310">
        <f>SUM(5A!G40)</f>
        <v>325330</v>
      </c>
      <c r="G16" s="310"/>
      <c r="H16" s="310"/>
      <c r="I16" s="310">
        <f>SUM(5A!J40)</f>
        <v>0</v>
      </c>
      <c r="J16" s="310"/>
      <c r="K16" s="310"/>
      <c r="L16" s="310">
        <f>SUM(5A!M40)</f>
        <v>0</v>
      </c>
      <c r="M16" s="53">
        <f aca="true" t="shared" si="1" ref="M16:M41">SUM(D16,G16,J16)</f>
        <v>0</v>
      </c>
      <c r="N16" s="53">
        <f t="shared" si="0"/>
        <v>0</v>
      </c>
      <c r="O16" s="53">
        <f t="shared" si="0"/>
        <v>325330</v>
      </c>
      <c r="Q16" s="57"/>
    </row>
    <row r="17" spans="1:15" ht="13.5" thickBot="1">
      <c r="A17" s="283"/>
      <c r="B17" s="305" t="s">
        <v>4</v>
      </c>
      <c r="C17" s="311" t="s">
        <v>85</v>
      </c>
      <c r="D17" s="312">
        <f>SUM(5A!E56)</f>
        <v>502541</v>
      </c>
      <c r="E17" s="312">
        <f>SUM(5A!F56)</f>
        <v>722621</v>
      </c>
      <c r="F17" s="312">
        <f>SUM(5A!G56)</f>
        <v>692500</v>
      </c>
      <c r="G17" s="312">
        <f>SUM(5A!H56)</f>
        <v>734836</v>
      </c>
      <c r="H17" s="312">
        <f>SUM(5A!I56)</f>
        <v>747231</v>
      </c>
      <c r="I17" s="312">
        <f>SUM(5A!J56)</f>
        <v>775956</v>
      </c>
      <c r="J17" s="312"/>
      <c r="K17" s="312">
        <f>SUM(5A!L56)</f>
        <v>62580</v>
      </c>
      <c r="L17" s="312">
        <f>SUM(5A!M56)</f>
        <v>42947</v>
      </c>
      <c r="M17" s="53">
        <f t="shared" si="1"/>
        <v>1237377</v>
      </c>
      <c r="N17" s="53">
        <f aca="true" t="shared" si="2" ref="N17:O40">SUM(E17,H17,K17)</f>
        <v>1532432</v>
      </c>
      <c r="O17" s="53">
        <f t="shared" si="2"/>
        <v>1511403</v>
      </c>
    </row>
    <row r="18" spans="1:15" ht="13.5" thickBot="1">
      <c r="A18" s="283"/>
      <c r="B18" s="242" t="s">
        <v>5</v>
      </c>
      <c r="C18" s="313" t="s">
        <v>86</v>
      </c>
      <c r="D18" s="314">
        <f aca="true" t="shared" si="3" ref="D18:L18">SUM(D15:D17)</f>
        <v>2541387</v>
      </c>
      <c r="E18" s="314">
        <f t="shared" si="3"/>
        <v>2868021</v>
      </c>
      <c r="F18" s="314">
        <f t="shared" si="3"/>
        <v>3163230</v>
      </c>
      <c r="G18" s="315">
        <f t="shared" si="3"/>
        <v>734836</v>
      </c>
      <c r="H18" s="315">
        <f t="shared" si="3"/>
        <v>747231</v>
      </c>
      <c r="I18" s="315">
        <f t="shared" si="3"/>
        <v>775956</v>
      </c>
      <c r="J18" s="315">
        <f t="shared" si="3"/>
        <v>0</v>
      </c>
      <c r="K18" s="315">
        <f t="shared" si="3"/>
        <v>62580</v>
      </c>
      <c r="L18" s="315">
        <f t="shared" si="3"/>
        <v>42947</v>
      </c>
      <c r="M18" s="307">
        <f t="shared" si="1"/>
        <v>3276223</v>
      </c>
      <c r="N18" s="307">
        <f t="shared" si="2"/>
        <v>3677832</v>
      </c>
      <c r="O18" s="307">
        <f t="shared" si="2"/>
        <v>3982133</v>
      </c>
    </row>
    <row r="19" spans="1:15" ht="13.5" thickBot="1">
      <c r="A19" s="283"/>
      <c r="B19" s="316" t="s">
        <v>2</v>
      </c>
      <c r="C19" s="317" t="s">
        <v>10</v>
      </c>
      <c r="D19" s="318">
        <f>SUM(5B!D13)</f>
        <v>4730648</v>
      </c>
      <c r="E19" s="318">
        <f>SUM(5B!E13)</f>
        <v>4730648</v>
      </c>
      <c r="F19" s="318">
        <f>SUM(5B!F13)</f>
        <v>4913013</v>
      </c>
      <c r="G19" s="297"/>
      <c r="H19" s="297"/>
      <c r="I19" s="297"/>
      <c r="J19" s="297"/>
      <c r="K19" s="297"/>
      <c r="L19" s="297"/>
      <c r="M19" s="53">
        <f t="shared" si="1"/>
        <v>4730648</v>
      </c>
      <c r="N19" s="53">
        <f t="shared" si="2"/>
        <v>4730648</v>
      </c>
      <c r="O19" s="53">
        <f t="shared" si="2"/>
        <v>4913013</v>
      </c>
    </row>
    <row r="20" spans="1:15" ht="13.5" thickBot="1">
      <c r="A20" s="283"/>
      <c r="B20" s="316" t="s">
        <v>3</v>
      </c>
      <c r="C20" s="317" t="s">
        <v>87</v>
      </c>
      <c r="D20" s="318">
        <f>SUM(5B!D20)</f>
        <v>237200</v>
      </c>
      <c r="E20" s="318">
        <f>SUM(5B!E20)</f>
        <v>237200</v>
      </c>
      <c r="F20" s="318">
        <f>SUM(5B!F20)</f>
        <v>281521</v>
      </c>
      <c r="G20" s="318"/>
      <c r="H20" s="318"/>
      <c r="I20" s="318">
        <f>SUM(5B!I20)</f>
        <v>4319</v>
      </c>
      <c r="J20" s="318"/>
      <c r="K20" s="318"/>
      <c r="L20" s="318"/>
      <c r="M20" s="53">
        <f t="shared" si="1"/>
        <v>237200</v>
      </c>
      <c r="N20" s="53">
        <f t="shared" si="2"/>
        <v>237200</v>
      </c>
      <c r="O20" s="53">
        <f t="shared" si="2"/>
        <v>285840</v>
      </c>
    </row>
    <row r="21" spans="1:15" ht="13.5" customHeight="1" thickBot="1">
      <c r="A21" s="283"/>
      <c r="B21" s="243" t="s">
        <v>6</v>
      </c>
      <c r="C21" s="319" t="s">
        <v>35</v>
      </c>
      <c r="D21" s="315">
        <f aca="true" t="shared" si="4" ref="D21:K21">SUM(D19:D20)</f>
        <v>4967848</v>
      </c>
      <c r="E21" s="315">
        <f t="shared" si="4"/>
        <v>4967848</v>
      </c>
      <c r="F21" s="315">
        <f t="shared" si="4"/>
        <v>5194534</v>
      </c>
      <c r="G21" s="315">
        <f t="shared" si="4"/>
        <v>0</v>
      </c>
      <c r="H21" s="315">
        <f t="shared" si="4"/>
        <v>0</v>
      </c>
      <c r="I21" s="315">
        <f t="shared" si="4"/>
        <v>4319</v>
      </c>
      <c r="J21" s="315">
        <f t="shared" si="4"/>
        <v>0</v>
      </c>
      <c r="K21" s="315">
        <f t="shared" si="4"/>
        <v>0</v>
      </c>
      <c r="L21" s="315">
        <f>SUM(L19:L20)</f>
        <v>0</v>
      </c>
      <c r="M21" s="307">
        <f t="shared" si="1"/>
        <v>4967848</v>
      </c>
      <c r="N21" s="320">
        <f t="shared" si="2"/>
        <v>4967848</v>
      </c>
      <c r="O21" s="320">
        <f t="shared" si="2"/>
        <v>5198853</v>
      </c>
    </row>
    <row r="22" spans="1:17" ht="13.5" customHeight="1" thickBot="1">
      <c r="A22" s="283"/>
      <c r="B22" s="243" t="s">
        <v>29</v>
      </c>
      <c r="C22" s="321" t="s">
        <v>88</v>
      </c>
      <c r="D22" s="315">
        <f>SUM(5C!D19)</f>
        <v>5047111</v>
      </c>
      <c r="E22" s="315">
        <f>SUM(5C!E19)</f>
        <v>5728886</v>
      </c>
      <c r="F22" s="315">
        <f>SUM(5C!F19)</f>
        <v>5941491</v>
      </c>
      <c r="G22" s="315">
        <f>SUM(5C!G19)</f>
        <v>467050</v>
      </c>
      <c r="H22" s="315">
        <f>SUM(5C!H19)</f>
        <v>558979</v>
      </c>
      <c r="I22" s="315">
        <f>SUM(5C!I19)</f>
        <v>800223</v>
      </c>
      <c r="J22" s="315">
        <v>79106</v>
      </c>
      <c r="K22" s="315">
        <f>SUM(5C!K19)</f>
        <v>79463</v>
      </c>
      <c r="L22" s="315">
        <f>SUM(5C!L19)</f>
        <v>152264</v>
      </c>
      <c r="M22" s="315">
        <f t="shared" si="1"/>
        <v>5593267</v>
      </c>
      <c r="N22" s="307">
        <f t="shared" si="2"/>
        <v>6367328</v>
      </c>
      <c r="O22" s="307">
        <f>SUM(F22,I22,L22)</f>
        <v>6893978</v>
      </c>
      <c r="Q22" s="57"/>
    </row>
    <row r="23" spans="1:15" ht="26.25" customHeight="1" thickBot="1">
      <c r="A23" s="283"/>
      <c r="B23" s="305" t="s">
        <v>2</v>
      </c>
      <c r="C23" s="311" t="s">
        <v>89</v>
      </c>
      <c r="D23" s="310">
        <v>134</v>
      </c>
      <c r="E23" s="310">
        <v>134</v>
      </c>
      <c r="F23" s="310">
        <v>1171</v>
      </c>
      <c r="G23" s="310"/>
      <c r="H23" s="310"/>
      <c r="I23" s="310"/>
      <c r="J23" s="310"/>
      <c r="K23" s="310"/>
      <c r="L23" s="310"/>
      <c r="M23" s="53">
        <f t="shared" si="1"/>
        <v>134</v>
      </c>
      <c r="N23" s="53">
        <f t="shared" si="2"/>
        <v>134</v>
      </c>
      <c r="O23" s="53">
        <f t="shared" si="2"/>
        <v>1171</v>
      </c>
    </row>
    <row r="24" spans="1:15" ht="13.5" customHeight="1" thickBot="1">
      <c r="A24" s="283"/>
      <c r="B24" s="305" t="s">
        <v>3</v>
      </c>
      <c r="C24" s="306" t="s">
        <v>90</v>
      </c>
      <c r="D24" s="315"/>
      <c r="E24" s="315"/>
      <c r="F24" s="315"/>
      <c r="G24" s="315"/>
      <c r="H24" s="310">
        <v>40</v>
      </c>
      <c r="I24" s="310">
        <v>40</v>
      </c>
      <c r="J24" s="315"/>
      <c r="K24" s="315"/>
      <c r="L24" s="315"/>
      <c r="M24" s="53">
        <f t="shared" si="1"/>
        <v>0</v>
      </c>
      <c r="N24" s="53">
        <f t="shared" si="2"/>
        <v>40</v>
      </c>
      <c r="O24" s="53">
        <f t="shared" si="2"/>
        <v>40</v>
      </c>
    </row>
    <row r="25" spans="1:15" ht="13.5" customHeight="1" thickBot="1">
      <c r="A25" s="283"/>
      <c r="B25" s="243" t="s">
        <v>30</v>
      </c>
      <c r="C25" s="321" t="s">
        <v>91</v>
      </c>
      <c r="D25" s="315">
        <f aca="true" t="shared" si="5" ref="D25:L25">SUM(D23:D24)</f>
        <v>134</v>
      </c>
      <c r="E25" s="315">
        <f t="shared" si="5"/>
        <v>134</v>
      </c>
      <c r="F25" s="315">
        <f t="shared" si="5"/>
        <v>1171</v>
      </c>
      <c r="G25" s="315">
        <f t="shared" si="5"/>
        <v>0</v>
      </c>
      <c r="H25" s="315">
        <f t="shared" si="5"/>
        <v>40</v>
      </c>
      <c r="I25" s="315">
        <f t="shared" si="5"/>
        <v>40</v>
      </c>
      <c r="J25" s="315">
        <f t="shared" si="5"/>
        <v>0</v>
      </c>
      <c r="K25" s="315">
        <f t="shared" si="5"/>
        <v>0</v>
      </c>
      <c r="L25" s="315">
        <f t="shared" si="5"/>
        <v>0</v>
      </c>
      <c r="M25" s="307">
        <f t="shared" si="1"/>
        <v>134</v>
      </c>
      <c r="N25" s="307">
        <f t="shared" si="2"/>
        <v>174</v>
      </c>
      <c r="O25" s="307">
        <f t="shared" si="2"/>
        <v>1211</v>
      </c>
    </row>
    <row r="26" spans="1:15" s="322" customFormat="1" ht="13.5" customHeight="1" thickBot="1">
      <c r="A26" s="212" t="s">
        <v>5</v>
      </c>
      <c r="B26" s="366" t="s">
        <v>92</v>
      </c>
      <c r="C26" s="368"/>
      <c r="D26" s="315">
        <f aca="true" t="shared" si="6" ref="D26:L26">SUM(D18,D21,D22,D25)</f>
        <v>12556480</v>
      </c>
      <c r="E26" s="315">
        <f t="shared" si="6"/>
        <v>13564889</v>
      </c>
      <c r="F26" s="315">
        <f t="shared" si="6"/>
        <v>14300426</v>
      </c>
      <c r="G26" s="315">
        <f t="shared" si="6"/>
        <v>1201886</v>
      </c>
      <c r="H26" s="315">
        <f t="shared" si="6"/>
        <v>1306250</v>
      </c>
      <c r="I26" s="315">
        <f t="shared" si="6"/>
        <v>1580538</v>
      </c>
      <c r="J26" s="315">
        <f t="shared" si="6"/>
        <v>79106</v>
      </c>
      <c r="K26" s="315">
        <f t="shared" si="6"/>
        <v>142043</v>
      </c>
      <c r="L26" s="315">
        <f t="shared" si="6"/>
        <v>195211</v>
      </c>
      <c r="M26" s="307">
        <f t="shared" si="1"/>
        <v>13837472</v>
      </c>
      <c r="N26" s="307">
        <f t="shared" si="2"/>
        <v>15013182</v>
      </c>
      <c r="O26" s="307">
        <f t="shared" si="2"/>
        <v>16076175</v>
      </c>
    </row>
    <row r="27" spans="1:15" s="322" customFormat="1" ht="13.5" customHeight="1" thickBot="1">
      <c r="A27" s="323"/>
      <c r="B27" s="243" t="s">
        <v>42</v>
      </c>
      <c r="C27" s="324" t="s">
        <v>37</v>
      </c>
      <c r="D27" s="315">
        <f>SUM(5D!D20)</f>
        <v>3143753</v>
      </c>
      <c r="E27" s="315">
        <f>SUM(5D!E20)</f>
        <v>2310070</v>
      </c>
      <c r="F27" s="315">
        <f>SUM(5D!F20)</f>
        <v>1933789</v>
      </c>
      <c r="G27" s="315">
        <f>SUM(5D!G20)</f>
        <v>0</v>
      </c>
      <c r="H27" s="315">
        <f>SUM(5D!H20)</f>
        <v>0</v>
      </c>
      <c r="I27" s="315">
        <f>SUM(5D!I20)</f>
        <v>0</v>
      </c>
      <c r="J27" s="315">
        <f>SUM(5D!J20)</f>
        <v>0</v>
      </c>
      <c r="K27" s="315">
        <f>SUM(5D!K20)</f>
        <v>0</v>
      </c>
      <c r="L27" s="315">
        <f>SUM(5D!L20)</f>
        <v>0</v>
      </c>
      <c r="M27" s="307">
        <f t="shared" si="1"/>
        <v>3143753</v>
      </c>
      <c r="N27" s="307">
        <f t="shared" si="2"/>
        <v>2310070</v>
      </c>
      <c r="O27" s="307">
        <f t="shared" si="2"/>
        <v>1933789</v>
      </c>
    </row>
    <row r="28" spans="1:15" s="322" customFormat="1" ht="13.5" customHeight="1" thickBot="1">
      <c r="A28" s="323"/>
      <c r="B28" s="243" t="s">
        <v>93</v>
      </c>
      <c r="C28" s="324" t="s">
        <v>24</v>
      </c>
      <c r="D28" s="315">
        <f>SUM(5E!D20)</f>
        <v>6150000</v>
      </c>
      <c r="E28" s="315">
        <f>SUM(5E!E20)</f>
        <v>7384944</v>
      </c>
      <c r="F28" s="315">
        <f>SUM(5E!F20)</f>
        <v>6932330</v>
      </c>
      <c r="G28" s="315">
        <f>SUM(5E!G20)</f>
        <v>0</v>
      </c>
      <c r="H28" s="315">
        <f>SUM(5E!H20)</f>
        <v>19</v>
      </c>
      <c r="I28" s="315">
        <f>SUM(5E!I20)</f>
        <v>26</v>
      </c>
      <c r="J28" s="315">
        <f>SUM(5E!J20)</f>
        <v>0</v>
      </c>
      <c r="K28" s="315">
        <f>SUM(5E!K20)</f>
        <v>0</v>
      </c>
      <c r="L28" s="315">
        <f>SUM(5E!L20)</f>
        <v>0</v>
      </c>
      <c r="M28" s="307">
        <f t="shared" si="1"/>
        <v>6150000</v>
      </c>
      <c r="N28" s="307">
        <f t="shared" si="2"/>
        <v>7384963</v>
      </c>
      <c r="O28" s="307">
        <f t="shared" si="2"/>
        <v>6932356</v>
      </c>
    </row>
    <row r="29" spans="1:15" ht="24" customHeight="1" thickBot="1">
      <c r="A29" s="325"/>
      <c r="B29" s="326" t="s">
        <v>2</v>
      </c>
      <c r="C29" s="311" t="s">
        <v>94</v>
      </c>
      <c r="D29" s="310">
        <f>SUM(5F!D12)</f>
        <v>27266</v>
      </c>
      <c r="E29" s="310">
        <f>SUM(5F!E12)</f>
        <v>27266</v>
      </c>
      <c r="F29" s="310">
        <f>SUM(5F!F12)</f>
        <v>28800</v>
      </c>
      <c r="G29" s="310">
        <f>SUM(5F!G12)</f>
        <v>0</v>
      </c>
      <c r="H29" s="310">
        <f>SUM(5F!H12)</f>
        <v>0</v>
      </c>
      <c r="I29" s="310">
        <f>SUM(5F!I12)</f>
        <v>0</v>
      </c>
      <c r="J29" s="310">
        <f>SUM(5F!J12)</f>
        <v>0</v>
      </c>
      <c r="K29" s="53">
        <f>SUM(5F!K12)</f>
        <v>0</v>
      </c>
      <c r="L29" s="53">
        <f>SUM(5F!L12)</f>
        <v>0</v>
      </c>
      <c r="M29" s="53">
        <f t="shared" si="1"/>
        <v>27266</v>
      </c>
      <c r="N29" s="53">
        <f t="shared" si="2"/>
        <v>27266</v>
      </c>
      <c r="O29" s="53">
        <f t="shared" si="2"/>
        <v>28800</v>
      </c>
    </row>
    <row r="30" spans="1:15" ht="13.5" customHeight="1" thickBot="1">
      <c r="A30" s="325"/>
      <c r="B30" s="327" t="s">
        <v>3</v>
      </c>
      <c r="C30" s="328" t="s">
        <v>95</v>
      </c>
      <c r="D30" s="286">
        <f>SUM(5F!D15)</f>
        <v>85000</v>
      </c>
      <c r="E30" s="286">
        <f>SUM(5F!E15)</f>
        <v>49000</v>
      </c>
      <c r="F30" s="286">
        <f>SUM(5F!F15)</f>
        <v>0</v>
      </c>
      <c r="G30" s="286">
        <f>SUM(5F!G15)</f>
        <v>0</v>
      </c>
      <c r="H30" s="286">
        <f>SUM(5F!H15)</f>
        <v>0</v>
      </c>
      <c r="I30" s="286">
        <f>SUM(5F!I15)</f>
        <v>0</v>
      </c>
      <c r="J30" s="286"/>
      <c r="K30" s="286">
        <v>800</v>
      </c>
      <c r="L30" s="286"/>
      <c r="M30" s="53">
        <f t="shared" si="1"/>
        <v>85000</v>
      </c>
      <c r="N30" s="53">
        <f t="shared" si="2"/>
        <v>49800</v>
      </c>
      <c r="O30" s="53">
        <f t="shared" si="2"/>
        <v>0</v>
      </c>
    </row>
    <row r="31" spans="1:15" ht="13.5" customHeight="1" thickBot="1">
      <c r="A31" s="325"/>
      <c r="B31" s="244" t="s">
        <v>96</v>
      </c>
      <c r="C31" s="324" t="s">
        <v>97</v>
      </c>
      <c r="D31" s="307">
        <f aca="true" t="shared" si="7" ref="D31:K31">SUM(D29:D30)</f>
        <v>112266</v>
      </c>
      <c r="E31" s="307">
        <f t="shared" si="7"/>
        <v>76266</v>
      </c>
      <c r="F31" s="307">
        <f t="shared" si="7"/>
        <v>28800</v>
      </c>
      <c r="G31" s="307">
        <f t="shared" si="7"/>
        <v>0</v>
      </c>
      <c r="H31" s="307">
        <f t="shared" si="7"/>
        <v>0</v>
      </c>
      <c r="I31" s="307">
        <f>SUM(I29:I30)</f>
        <v>0</v>
      </c>
      <c r="J31" s="307">
        <f t="shared" si="7"/>
        <v>0</v>
      </c>
      <c r="K31" s="307">
        <f t="shared" si="7"/>
        <v>800</v>
      </c>
      <c r="L31" s="307">
        <f>SUM(L29:L30)</f>
        <v>0</v>
      </c>
      <c r="M31" s="307">
        <f t="shared" si="1"/>
        <v>112266</v>
      </c>
      <c r="N31" s="307">
        <f t="shared" si="2"/>
        <v>77066</v>
      </c>
      <c r="O31" s="307">
        <f t="shared" si="2"/>
        <v>28800</v>
      </c>
    </row>
    <row r="32" spans="1:15" ht="13.5" customHeight="1" thickBot="1">
      <c r="A32" s="329" t="s">
        <v>6</v>
      </c>
      <c r="B32" s="384" t="s">
        <v>98</v>
      </c>
      <c r="C32" s="386"/>
      <c r="D32" s="307">
        <f aca="true" t="shared" si="8" ref="D32:K32">SUM(D27,D28,D31)</f>
        <v>9406019</v>
      </c>
      <c r="E32" s="307">
        <f t="shared" si="8"/>
        <v>9771280</v>
      </c>
      <c r="F32" s="307">
        <f t="shared" si="8"/>
        <v>8894919</v>
      </c>
      <c r="G32" s="307">
        <f t="shared" si="8"/>
        <v>0</v>
      </c>
      <c r="H32" s="307">
        <f t="shared" si="8"/>
        <v>19</v>
      </c>
      <c r="I32" s="307">
        <f>SUM(I27,I28,I31)</f>
        <v>26</v>
      </c>
      <c r="J32" s="307">
        <f t="shared" si="8"/>
        <v>0</v>
      </c>
      <c r="K32" s="307">
        <f t="shared" si="8"/>
        <v>800</v>
      </c>
      <c r="L32" s="307">
        <f>SUM(L27,L28,L31)</f>
        <v>0</v>
      </c>
      <c r="M32" s="307">
        <f t="shared" si="1"/>
        <v>9406019</v>
      </c>
      <c r="N32" s="307">
        <f t="shared" si="2"/>
        <v>9772099</v>
      </c>
      <c r="O32" s="307">
        <f t="shared" si="2"/>
        <v>8894945</v>
      </c>
    </row>
    <row r="33" spans="1:15" s="322" customFormat="1" ht="13.5" customHeight="1" thickBot="1">
      <c r="A33" s="366" t="s">
        <v>99</v>
      </c>
      <c r="B33" s="367"/>
      <c r="C33" s="368"/>
      <c r="D33" s="307">
        <f aca="true" t="shared" si="9" ref="D33:K33">SUM(D26,D32)</f>
        <v>21962499</v>
      </c>
      <c r="E33" s="307">
        <f t="shared" si="9"/>
        <v>23336169</v>
      </c>
      <c r="F33" s="307">
        <f t="shared" si="9"/>
        <v>23195345</v>
      </c>
      <c r="G33" s="307">
        <f t="shared" si="9"/>
        <v>1201886</v>
      </c>
      <c r="H33" s="307">
        <f t="shared" si="9"/>
        <v>1306269</v>
      </c>
      <c r="I33" s="307">
        <f>SUM(I26,I32)</f>
        <v>1580564</v>
      </c>
      <c r="J33" s="307">
        <f t="shared" si="9"/>
        <v>79106</v>
      </c>
      <c r="K33" s="307">
        <f t="shared" si="9"/>
        <v>142843</v>
      </c>
      <c r="L33" s="307">
        <f>SUM(L26,L32)</f>
        <v>195211</v>
      </c>
      <c r="M33" s="307">
        <f t="shared" si="1"/>
        <v>23243491</v>
      </c>
      <c r="N33" s="307">
        <f t="shared" si="2"/>
        <v>24785281</v>
      </c>
      <c r="O33" s="307">
        <f t="shared" si="2"/>
        <v>24971120</v>
      </c>
    </row>
    <row r="34" spans="1:15" ht="12.75">
      <c r="A34" s="330"/>
      <c r="B34" s="331" t="s">
        <v>2</v>
      </c>
      <c r="C34" s="332" t="s">
        <v>100</v>
      </c>
      <c r="D34" s="333"/>
      <c r="E34" s="333">
        <v>603637</v>
      </c>
      <c r="F34" s="333">
        <v>278307</v>
      </c>
      <c r="G34" s="333">
        <v>61364</v>
      </c>
      <c r="H34" s="333">
        <v>424204</v>
      </c>
      <c r="I34" s="333">
        <f>89997+88032+11043-2021</f>
        <v>187051</v>
      </c>
      <c r="J34" s="333"/>
      <c r="K34" s="333">
        <v>67297</v>
      </c>
      <c r="L34" s="333">
        <f>32617-15854+1</f>
        <v>16764</v>
      </c>
      <c r="M34" s="287">
        <f t="shared" si="1"/>
        <v>61364</v>
      </c>
      <c r="N34" s="287">
        <f t="shared" si="2"/>
        <v>1095138</v>
      </c>
      <c r="O34" s="287">
        <f t="shared" si="2"/>
        <v>482122</v>
      </c>
    </row>
    <row r="35" spans="1:15" ht="13.5" thickBot="1">
      <c r="A35" s="334"/>
      <c r="B35" s="335" t="s">
        <v>3</v>
      </c>
      <c r="C35" s="336" t="s">
        <v>101</v>
      </c>
      <c r="D35" s="54"/>
      <c r="E35" s="54"/>
      <c r="F35" s="54"/>
      <c r="G35" s="54">
        <v>3461381</v>
      </c>
      <c r="H35" s="54">
        <v>3491500</v>
      </c>
      <c r="I35" s="54">
        <v>3272866</v>
      </c>
      <c r="J35" s="54">
        <v>1073157</v>
      </c>
      <c r="K35" s="54">
        <v>1104158</v>
      </c>
      <c r="L35" s="54">
        <v>1053356</v>
      </c>
      <c r="M35" s="312">
        <f t="shared" si="1"/>
        <v>4534538</v>
      </c>
      <c r="N35" s="312">
        <f t="shared" si="2"/>
        <v>4595658</v>
      </c>
      <c r="O35" s="312">
        <f t="shared" si="2"/>
        <v>4326222</v>
      </c>
    </row>
    <row r="36" spans="1:15" ht="13.5" thickBot="1">
      <c r="A36" s="334"/>
      <c r="B36" s="360" t="s">
        <v>4</v>
      </c>
      <c r="C36" s="361" t="s">
        <v>179</v>
      </c>
      <c r="D36" s="312"/>
      <c r="E36" s="312">
        <v>83862</v>
      </c>
      <c r="F36" s="312">
        <v>83862</v>
      </c>
      <c r="G36" s="312"/>
      <c r="H36" s="312"/>
      <c r="I36" s="312"/>
      <c r="J36" s="312"/>
      <c r="K36" s="312"/>
      <c r="L36" s="312"/>
      <c r="M36" s="312"/>
      <c r="N36" s="312">
        <f>SUM(E36,H36,K36)</f>
        <v>83862</v>
      </c>
      <c r="O36" s="312">
        <f>SUM(F36,I36,L36)</f>
        <v>83862</v>
      </c>
    </row>
    <row r="37" spans="1:15" ht="13.5" thickBot="1">
      <c r="A37" s="337" t="s">
        <v>29</v>
      </c>
      <c r="B37" s="394" t="s">
        <v>126</v>
      </c>
      <c r="C37" s="394"/>
      <c r="D37" s="307">
        <f aca="true" t="shared" si="10" ref="D37:K37">SUM(D34:D35)</f>
        <v>0</v>
      </c>
      <c r="E37" s="307">
        <f>SUM(E34:E36)</f>
        <v>687499</v>
      </c>
      <c r="F37" s="307">
        <f>SUM(F34:F36)</f>
        <v>362169</v>
      </c>
      <c r="G37" s="307">
        <f t="shared" si="10"/>
        <v>3522745</v>
      </c>
      <c r="H37" s="307">
        <f t="shared" si="10"/>
        <v>3915704</v>
      </c>
      <c r="I37" s="307">
        <f>SUM(I34:I35)</f>
        <v>3459917</v>
      </c>
      <c r="J37" s="307">
        <f t="shared" si="10"/>
        <v>1073157</v>
      </c>
      <c r="K37" s="307">
        <f t="shared" si="10"/>
        <v>1171455</v>
      </c>
      <c r="L37" s="307">
        <f>SUM(L34:L35)</f>
        <v>1070120</v>
      </c>
      <c r="M37" s="307">
        <f t="shared" si="1"/>
        <v>4595902</v>
      </c>
      <c r="N37" s="307">
        <f t="shared" si="2"/>
        <v>5774658</v>
      </c>
      <c r="O37" s="307">
        <f t="shared" si="2"/>
        <v>4892206</v>
      </c>
    </row>
    <row r="38" spans="1:15" ht="12.75">
      <c r="A38" s="330"/>
      <c r="B38" s="331" t="s">
        <v>2</v>
      </c>
      <c r="C38" s="332" t="s">
        <v>100</v>
      </c>
      <c r="D38" s="333"/>
      <c r="E38" s="333">
        <v>1723028</v>
      </c>
      <c r="F38" s="333">
        <v>1723028</v>
      </c>
      <c r="G38" s="333"/>
      <c r="H38" s="333">
        <v>2021</v>
      </c>
      <c r="I38" s="333">
        <v>2021</v>
      </c>
      <c r="J38" s="333"/>
      <c r="K38" s="333">
        <v>15854</v>
      </c>
      <c r="L38" s="333">
        <v>15854</v>
      </c>
      <c r="M38" s="333">
        <f t="shared" si="1"/>
        <v>0</v>
      </c>
      <c r="N38" s="333">
        <f t="shared" si="2"/>
        <v>1740903</v>
      </c>
      <c r="O38" s="333">
        <f t="shared" si="2"/>
        <v>1740903</v>
      </c>
    </row>
    <row r="39" spans="1:15" ht="13.5" thickBot="1">
      <c r="A39" s="334"/>
      <c r="B39" s="335" t="s">
        <v>3</v>
      </c>
      <c r="C39" s="336" t="s">
        <v>101</v>
      </c>
      <c r="D39" s="54"/>
      <c r="E39" s="54"/>
      <c r="F39" s="54"/>
      <c r="G39" s="54">
        <v>69900</v>
      </c>
      <c r="H39" s="54">
        <v>143565</v>
      </c>
      <c r="I39" s="54">
        <v>95936</v>
      </c>
      <c r="J39" s="54">
        <v>2000</v>
      </c>
      <c r="K39" s="54">
        <v>22430</v>
      </c>
      <c r="L39" s="54">
        <v>22235</v>
      </c>
      <c r="M39" s="54">
        <f t="shared" si="1"/>
        <v>71900</v>
      </c>
      <c r="N39" s="54">
        <f t="shared" si="2"/>
        <v>165995</v>
      </c>
      <c r="O39" s="54">
        <f t="shared" si="2"/>
        <v>118171</v>
      </c>
    </row>
    <row r="40" spans="1:15" ht="13.5" thickBot="1">
      <c r="A40" s="337" t="s">
        <v>30</v>
      </c>
      <c r="B40" s="394" t="s">
        <v>127</v>
      </c>
      <c r="C40" s="394"/>
      <c r="D40" s="307">
        <f aca="true" t="shared" si="11" ref="D40:K40">SUM(D38:D39)</f>
        <v>0</v>
      </c>
      <c r="E40" s="307">
        <f t="shared" si="11"/>
        <v>1723028</v>
      </c>
      <c r="F40" s="307">
        <f>SUM(F38:F39)</f>
        <v>1723028</v>
      </c>
      <c r="G40" s="307">
        <f t="shared" si="11"/>
        <v>69900</v>
      </c>
      <c r="H40" s="307">
        <f t="shared" si="11"/>
        <v>145586</v>
      </c>
      <c r="I40" s="307">
        <f>SUM(I38:I39)</f>
        <v>97957</v>
      </c>
      <c r="J40" s="307">
        <f t="shared" si="11"/>
        <v>2000</v>
      </c>
      <c r="K40" s="307">
        <f t="shared" si="11"/>
        <v>38284</v>
      </c>
      <c r="L40" s="307">
        <f>SUM(L38:L39)</f>
        <v>38089</v>
      </c>
      <c r="M40" s="307">
        <f t="shared" si="1"/>
        <v>71900</v>
      </c>
      <c r="N40" s="307">
        <f t="shared" si="2"/>
        <v>1906898</v>
      </c>
      <c r="O40" s="307">
        <f t="shared" si="2"/>
        <v>1859074</v>
      </c>
    </row>
    <row r="41" spans="1:15" ht="13.5" thickBot="1">
      <c r="A41" s="338"/>
      <c r="B41" s="339">
        <v>1</v>
      </c>
      <c r="C41" s="340" t="s">
        <v>125</v>
      </c>
      <c r="D41" s="307"/>
      <c r="E41" s="307">
        <v>2500000</v>
      </c>
      <c r="F41" s="307">
        <v>0</v>
      </c>
      <c r="G41" s="307"/>
      <c r="H41" s="307"/>
      <c r="I41" s="307"/>
      <c r="J41" s="307"/>
      <c r="K41" s="307"/>
      <c r="L41" s="307"/>
      <c r="M41" s="307">
        <f t="shared" si="1"/>
        <v>0</v>
      </c>
      <c r="N41" s="307">
        <v>2500000</v>
      </c>
      <c r="O41" s="307">
        <v>0</v>
      </c>
    </row>
    <row r="42" spans="1:15" ht="13.5" thickBot="1">
      <c r="A42" s="338" t="s">
        <v>42</v>
      </c>
      <c r="B42" s="342"/>
      <c r="C42" s="341" t="s">
        <v>128</v>
      </c>
      <c r="D42" s="307">
        <f>SUM(D37,D40,D41)</f>
        <v>0</v>
      </c>
      <c r="E42" s="307">
        <f aca="true" t="shared" si="12" ref="E42:N42">SUM(E37,E40,E41)</f>
        <v>4910527</v>
      </c>
      <c r="F42" s="307">
        <f>SUM(F37,F40,F41)</f>
        <v>2085197</v>
      </c>
      <c r="G42" s="307">
        <f t="shared" si="12"/>
        <v>3592645</v>
      </c>
      <c r="H42" s="307">
        <f t="shared" si="12"/>
        <v>4061290</v>
      </c>
      <c r="I42" s="307">
        <f>SUM(I37,I40,I41)</f>
        <v>3557874</v>
      </c>
      <c r="J42" s="307">
        <f t="shared" si="12"/>
        <v>1075157</v>
      </c>
      <c r="K42" s="307">
        <f t="shared" si="12"/>
        <v>1209739</v>
      </c>
      <c r="L42" s="307">
        <f>SUM(L37,L40,L41)</f>
        <v>1108209</v>
      </c>
      <c r="M42" s="307">
        <f t="shared" si="12"/>
        <v>4667802</v>
      </c>
      <c r="N42" s="307">
        <f t="shared" si="12"/>
        <v>10181556</v>
      </c>
      <c r="O42" s="307">
        <f>SUM(O37,O40,O41)</f>
        <v>6751280</v>
      </c>
    </row>
    <row r="43" spans="1:15" s="343" customFormat="1" ht="13.5" thickBot="1">
      <c r="A43" s="392" t="s">
        <v>129</v>
      </c>
      <c r="B43" s="393"/>
      <c r="C43" s="395"/>
      <c r="D43" s="307">
        <f>SUM(D26,D32,D42)</f>
        <v>21962499</v>
      </c>
      <c r="E43" s="307">
        <f aca="true" t="shared" si="13" ref="E43:N43">SUM(E26,E32,E42)</f>
        <v>28246696</v>
      </c>
      <c r="F43" s="307">
        <f>SUM(F26,F32,F42)</f>
        <v>25280542</v>
      </c>
      <c r="G43" s="307">
        <f t="shared" si="13"/>
        <v>4794531</v>
      </c>
      <c r="H43" s="307">
        <f t="shared" si="13"/>
        <v>5367559</v>
      </c>
      <c r="I43" s="307">
        <f>SUM(I26,I32,I42)</f>
        <v>5138438</v>
      </c>
      <c r="J43" s="307">
        <f t="shared" si="13"/>
        <v>1154263</v>
      </c>
      <c r="K43" s="307">
        <f t="shared" si="13"/>
        <v>1352582</v>
      </c>
      <c r="L43" s="307">
        <f>SUM(L26,L32,L42)</f>
        <v>1303420</v>
      </c>
      <c r="M43" s="307">
        <f t="shared" si="13"/>
        <v>27911293</v>
      </c>
      <c r="N43" s="307">
        <f t="shared" si="13"/>
        <v>34966837</v>
      </c>
      <c r="O43" s="307">
        <f>SUM(O26,O32,O42)</f>
        <v>31722400</v>
      </c>
    </row>
    <row r="44" spans="1:15" ht="13.5" thickBot="1">
      <c r="A44" s="345"/>
      <c r="B44" s="396" t="s">
        <v>102</v>
      </c>
      <c r="C44" s="397"/>
      <c r="D44" s="53">
        <f>-SUM(D35,D39)</f>
        <v>0</v>
      </c>
      <c r="E44" s="53"/>
      <c r="F44" s="53"/>
      <c r="G44" s="53"/>
      <c r="H44" s="53"/>
      <c r="I44" s="53"/>
      <c r="J44" s="53"/>
      <c r="K44" s="53"/>
      <c r="L44" s="53"/>
      <c r="M44" s="53">
        <f>-SUM(M35,M39)</f>
        <v>-4606438</v>
      </c>
      <c r="N44" s="53">
        <f>-SUM(N35,N39)</f>
        <v>-4761653</v>
      </c>
      <c r="O44" s="53">
        <f>-SUM(O35,O39)</f>
        <v>-4444393</v>
      </c>
    </row>
    <row r="45" spans="1:15" ht="13.5" thickBot="1">
      <c r="A45" s="345"/>
      <c r="B45" s="396" t="s">
        <v>104</v>
      </c>
      <c r="C45" s="397"/>
      <c r="D45" s="53"/>
      <c r="E45" s="53"/>
      <c r="F45" s="53"/>
      <c r="G45" s="53"/>
      <c r="H45" s="53"/>
      <c r="I45" s="53"/>
      <c r="J45" s="53"/>
      <c r="K45" s="53"/>
      <c r="L45" s="53"/>
      <c r="M45" s="53">
        <v>-194000</v>
      </c>
      <c r="N45" s="53">
        <v>-267751</v>
      </c>
      <c r="O45" s="53">
        <v>-267751</v>
      </c>
    </row>
    <row r="46" spans="1:15" s="343" customFormat="1" ht="13.5" thickBot="1">
      <c r="A46" s="392" t="s">
        <v>103</v>
      </c>
      <c r="B46" s="393"/>
      <c r="C46" s="393"/>
      <c r="D46" s="307">
        <f aca="true" t="shared" si="14" ref="D46:K46">SUM(D43:D44)</f>
        <v>21962499</v>
      </c>
      <c r="E46" s="307">
        <f t="shared" si="14"/>
        <v>28246696</v>
      </c>
      <c r="F46" s="307">
        <f>SUM(F43:F44)</f>
        <v>25280542</v>
      </c>
      <c r="G46" s="307">
        <f t="shared" si="14"/>
        <v>4794531</v>
      </c>
      <c r="H46" s="307">
        <f t="shared" si="14"/>
        <v>5367559</v>
      </c>
      <c r="I46" s="307">
        <f>SUM(I43:I44)</f>
        <v>5138438</v>
      </c>
      <c r="J46" s="307">
        <f t="shared" si="14"/>
        <v>1154263</v>
      </c>
      <c r="K46" s="307">
        <f t="shared" si="14"/>
        <v>1352582</v>
      </c>
      <c r="L46" s="307">
        <f>SUM(L43:L44)</f>
        <v>1303420</v>
      </c>
      <c r="M46" s="307">
        <f>SUM(M43:M45)</f>
        <v>23110855</v>
      </c>
      <c r="N46" s="307">
        <f>SUM(N43:N45)</f>
        <v>29937433</v>
      </c>
      <c r="O46" s="307">
        <f>SUM(O43:O45)</f>
        <v>27010256</v>
      </c>
    </row>
    <row r="47" spans="1:15" s="343" customFormat="1" ht="12.75">
      <c r="A47" s="346"/>
      <c r="B47" s="346"/>
      <c r="C47" s="346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4"/>
    </row>
    <row r="48" spans="1:13" s="57" customFormat="1" ht="12.7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</row>
    <row r="49" spans="1:13" s="57" customFormat="1" ht="12.7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</row>
  </sheetData>
  <sheetProtection/>
  <mergeCells count="18">
    <mergeCell ref="B26:C26"/>
    <mergeCell ref="B32:C32"/>
    <mergeCell ref="A46:C46"/>
    <mergeCell ref="A33:C33"/>
    <mergeCell ref="B37:C37"/>
    <mergeCell ref="B40:C40"/>
    <mergeCell ref="A43:C43"/>
    <mergeCell ref="B45:C45"/>
    <mergeCell ref="B44:C44"/>
    <mergeCell ref="A2:O2"/>
    <mergeCell ref="A8:C8"/>
    <mergeCell ref="A5:C7"/>
    <mergeCell ref="D5:F6"/>
    <mergeCell ref="G5:I6"/>
    <mergeCell ref="J5:L6"/>
    <mergeCell ref="M5:O6"/>
    <mergeCell ref="G3:O3"/>
    <mergeCell ref="J4:O4"/>
  </mergeCells>
  <printOptions/>
  <pageMargins left="0.5118110236220472" right="0.2362204724409449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P59"/>
  <sheetViews>
    <sheetView zoomScalePageLayoutView="0" workbookViewId="0" topLeftCell="A22">
      <selection activeCell="U39" sqref="U39"/>
    </sheetView>
  </sheetViews>
  <sheetFormatPr defaultColWidth="9.00390625" defaultRowHeight="12.75"/>
  <cols>
    <col min="1" max="1" width="3.875" style="23" bestFit="1" customWidth="1"/>
    <col min="2" max="2" width="51.375" style="23" customWidth="1"/>
    <col min="3" max="4" width="6.00390625" style="23" bestFit="1" customWidth="1"/>
    <col min="5" max="5" width="9.00390625" style="119" bestFit="1" customWidth="1"/>
    <col min="6" max="7" width="8.875" style="23" bestFit="1" customWidth="1"/>
    <col min="8" max="8" width="9.00390625" style="23" bestFit="1" customWidth="1"/>
    <col min="9" max="9" width="7.375" style="23" bestFit="1" customWidth="1"/>
    <col min="10" max="10" width="8.875" style="23" bestFit="1" customWidth="1"/>
    <col min="11" max="11" width="9.00390625" style="23" bestFit="1" customWidth="1"/>
    <col min="12" max="12" width="6.75390625" style="23" bestFit="1" customWidth="1"/>
    <col min="13" max="13" width="8.875" style="356" bestFit="1" customWidth="1"/>
    <col min="14" max="14" width="8.625" style="23" customWidth="1"/>
    <col min="15" max="16" width="8.875" style="23" customWidth="1"/>
    <col min="17" max="16384" width="9.125" style="23" customWidth="1"/>
  </cols>
  <sheetData>
    <row r="1" spans="14:16" ht="12.75">
      <c r="N1" s="398" t="s">
        <v>110</v>
      </c>
      <c r="O1" s="398"/>
      <c r="P1" s="398"/>
    </row>
    <row r="2" spans="1:16" ht="15" customHeight="1">
      <c r="A2" s="399" t="s">
        <v>38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</row>
    <row r="3" spans="1:16" ht="13.5" customHeight="1" thickBot="1">
      <c r="A3" s="94"/>
      <c r="B3" s="94"/>
      <c r="C3" s="94"/>
      <c r="D3" s="94"/>
      <c r="E3" s="121"/>
      <c r="F3" s="94"/>
      <c r="G3" s="94"/>
      <c r="H3" s="94"/>
      <c r="I3" s="94"/>
      <c r="J3" s="348"/>
      <c r="K3" s="94"/>
      <c r="L3" s="94"/>
      <c r="M3" s="357"/>
      <c r="N3" s="120"/>
      <c r="O3" s="407" t="s">
        <v>0</v>
      </c>
      <c r="P3" s="407"/>
    </row>
    <row r="4" spans="1:16" ht="44.25" customHeight="1" thickBot="1">
      <c r="A4" s="369" t="s">
        <v>1</v>
      </c>
      <c r="B4" s="371"/>
      <c r="C4" s="404" t="s">
        <v>108</v>
      </c>
      <c r="D4" s="405"/>
      <c r="E4" s="404" t="s">
        <v>113</v>
      </c>
      <c r="F4" s="406"/>
      <c r="G4" s="405"/>
      <c r="H4" s="378" t="s">
        <v>181</v>
      </c>
      <c r="I4" s="379"/>
      <c r="J4" s="380"/>
      <c r="K4" s="378" t="s">
        <v>182</v>
      </c>
      <c r="L4" s="379"/>
      <c r="M4" s="380"/>
      <c r="N4" s="400" t="s">
        <v>21</v>
      </c>
      <c r="O4" s="401"/>
      <c r="P4" s="402"/>
    </row>
    <row r="5" spans="1:16" ht="15" customHeight="1" thickBot="1">
      <c r="A5" s="375"/>
      <c r="B5" s="377"/>
      <c r="C5" s="111" t="s">
        <v>146</v>
      </c>
      <c r="D5" s="95" t="s">
        <v>147</v>
      </c>
      <c r="E5" s="95" t="s">
        <v>133</v>
      </c>
      <c r="F5" s="95" t="s">
        <v>107</v>
      </c>
      <c r="G5" s="95" t="s">
        <v>130</v>
      </c>
      <c r="H5" s="381"/>
      <c r="I5" s="382"/>
      <c r="J5" s="383"/>
      <c r="K5" s="381"/>
      <c r="L5" s="382"/>
      <c r="M5" s="383"/>
      <c r="N5" s="95" t="s">
        <v>133</v>
      </c>
      <c r="O5" s="95" t="s">
        <v>107</v>
      </c>
      <c r="P5" s="95" t="s">
        <v>130</v>
      </c>
    </row>
    <row r="6" spans="1:16" s="124" customFormat="1" ht="13.5" customHeight="1" thickBot="1">
      <c r="A6" s="403" t="s">
        <v>2</v>
      </c>
      <c r="B6" s="403"/>
      <c r="C6" s="96">
        <v>2</v>
      </c>
      <c r="D6" s="96">
        <v>3</v>
      </c>
      <c r="E6" s="122">
        <v>4</v>
      </c>
      <c r="F6" s="96">
        <v>5</v>
      </c>
      <c r="G6" s="96"/>
      <c r="H6" s="96">
        <v>6</v>
      </c>
      <c r="I6" s="96">
        <v>7</v>
      </c>
      <c r="J6" s="349"/>
      <c r="K6" s="96">
        <v>8</v>
      </c>
      <c r="L6" s="96">
        <v>9</v>
      </c>
      <c r="M6" s="358"/>
      <c r="N6" s="123">
        <v>10</v>
      </c>
      <c r="O6" s="123">
        <v>11</v>
      </c>
      <c r="P6" s="123"/>
    </row>
    <row r="7" spans="1:16" s="124" customFormat="1" ht="13.5" customHeight="1">
      <c r="A7" s="125"/>
      <c r="B7" s="126" t="s">
        <v>150</v>
      </c>
      <c r="C7" s="127">
        <v>71.61</v>
      </c>
      <c r="D7" s="128">
        <v>71.61</v>
      </c>
      <c r="E7" s="129">
        <v>87865</v>
      </c>
      <c r="F7" s="97">
        <v>87865</v>
      </c>
      <c r="G7" s="97">
        <v>87865</v>
      </c>
      <c r="H7" s="97"/>
      <c r="I7" s="97"/>
      <c r="J7" s="110"/>
      <c r="K7" s="97"/>
      <c r="L7" s="97"/>
      <c r="M7" s="97"/>
      <c r="N7" s="130">
        <f aca="true" t="shared" si="0" ref="N7:P9">SUM(E7,H7,K7)</f>
        <v>87865</v>
      </c>
      <c r="O7" s="131">
        <f t="shared" si="0"/>
        <v>87865</v>
      </c>
      <c r="P7" s="131">
        <f t="shared" si="0"/>
        <v>87865</v>
      </c>
    </row>
    <row r="8" spans="1:16" s="124" customFormat="1" ht="13.5" customHeight="1">
      <c r="A8" s="132"/>
      <c r="B8" s="133" t="s">
        <v>151</v>
      </c>
      <c r="C8" s="134"/>
      <c r="D8" s="98"/>
      <c r="E8" s="135">
        <v>35505</v>
      </c>
      <c r="F8" s="98">
        <v>35505</v>
      </c>
      <c r="G8" s="98">
        <v>35505</v>
      </c>
      <c r="H8" s="98"/>
      <c r="I8" s="98"/>
      <c r="J8" s="350"/>
      <c r="K8" s="98"/>
      <c r="L8" s="98"/>
      <c r="M8" s="102"/>
      <c r="N8" s="97">
        <f t="shared" si="0"/>
        <v>35505</v>
      </c>
      <c r="O8" s="136">
        <f t="shared" si="0"/>
        <v>35505</v>
      </c>
      <c r="P8" s="136">
        <f t="shared" si="0"/>
        <v>35505</v>
      </c>
    </row>
    <row r="9" spans="1:16" s="124" customFormat="1" ht="13.5" customHeight="1" thickBot="1">
      <c r="A9" s="137"/>
      <c r="B9" s="138" t="s">
        <v>152</v>
      </c>
      <c r="C9" s="139"/>
      <c r="D9" s="99"/>
      <c r="E9" s="140"/>
      <c r="F9" s="99">
        <v>18557</v>
      </c>
      <c r="G9" s="99">
        <v>18557</v>
      </c>
      <c r="H9" s="99"/>
      <c r="I9" s="99"/>
      <c r="J9" s="351"/>
      <c r="K9" s="99"/>
      <c r="L9" s="99"/>
      <c r="M9" s="99"/>
      <c r="N9" s="141">
        <f t="shared" si="0"/>
        <v>0</v>
      </c>
      <c r="O9" s="141">
        <f t="shared" si="0"/>
        <v>18557</v>
      </c>
      <c r="P9" s="141">
        <f t="shared" si="0"/>
        <v>18557</v>
      </c>
    </row>
    <row r="10" spans="1:16" s="124" customFormat="1" ht="13.5" customHeight="1" thickBot="1">
      <c r="A10" s="142" t="s">
        <v>50</v>
      </c>
      <c r="B10" s="143" t="s">
        <v>162</v>
      </c>
      <c r="C10" s="144"/>
      <c r="D10" s="100"/>
      <c r="E10" s="145">
        <f>SUM(E7:E8)</f>
        <v>123370</v>
      </c>
      <c r="F10" s="100">
        <f>SUM(F7:F9)</f>
        <v>141927</v>
      </c>
      <c r="G10" s="100">
        <f>SUM(G6:G9)</f>
        <v>141927</v>
      </c>
      <c r="H10" s="100"/>
      <c r="I10" s="100"/>
      <c r="J10" s="352"/>
      <c r="K10" s="100"/>
      <c r="L10" s="100"/>
      <c r="M10" s="100"/>
      <c r="N10" s="100">
        <f>SUM(N7:N9)</f>
        <v>123370</v>
      </c>
      <c r="O10" s="146">
        <f>SUM(O7:O9)</f>
        <v>141927</v>
      </c>
      <c r="P10" s="146">
        <f>SUM(P7:P9)</f>
        <v>141927</v>
      </c>
    </row>
    <row r="11" spans="1:16" s="124" customFormat="1" ht="13.5" customHeight="1">
      <c r="A11" s="147"/>
      <c r="B11" s="148" t="s">
        <v>153</v>
      </c>
      <c r="C11" s="127">
        <v>41</v>
      </c>
      <c r="D11" s="97">
        <v>41</v>
      </c>
      <c r="E11" s="129">
        <v>165388</v>
      </c>
      <c r="F11" s="97">
        <f>163957+1431+2195-3525</f>
        <v>164058</v>
      </c>
      <c r="G11" s="97">
        <v>164058</v>
      </c>
      <c r="H11" s="97"/>
      <c r="I11" s="97"/>
      <c r="J11" s="110"/>
      <c r="K11" s="97"/>
      <c r="L11" s="97"/>
      <c r="M11" s="97"/>
      <c r="N11" s="97">
        <f aca="true" t="shared" si="1" ref="N11:P13">SUM(E11,H11,K11)</f>
        <v>165388</v>
      </c>
      <c r="O11" s="131">
        <f t="shared" si="1"/>
        <v>164058</v>
      </c>
      <c r="P11" s="131">
        <f t="shared" si="1"/>
        <v>164058</v>
      </c>
    </row>
    <row r="12" spans="1:16" s="124" customFormat="1" ht="13.5" customHeight="1">
      <c r="A12" s="149"/>
      <c r="B12" s="150" t="s">
        <v>164</v>
      </c>
      <c r="C12" s="151">
        <v>30</v>
      </c>
      <c r="D12" s="101">
        <v>30</v>
      </c>
      <c r="E12" s="152">
        <v>54000</v>
      </c>
      <c r="F12" s="101">
        <v>54000</v>
      </c>
      <c r="G12" s="101">
        <v>54000</v>
      </c>
      <c r="H12" s="101"/>
      <c r="I12" s="101"/>
      <c r="J12" s="109"/>
      <c r="K12" s="101"/>
      <c r="L12" s="101"/>
      <c r="M12" s="101"/>
      <c r="N12" s="102">
        <f t="shared" si="1"/>
        <v>54000</v>
      </c>
      <c r="O12" s="102">
        <f t="shared" si="1"/>
        <v>54000</v>
      </c>
      <c r="P12" s="102">
        <f t="shared" si="1"/>
        <v>54000</v>
      </c>
    </row>
    <row r="13" spans="1:16" s="124" customFormat="1" ht="13.5" customHeight="1" thickBot="1">
      <c r="A13" s="149"/>
      <c r="B13" s="150" t="s">
        <v>154</v>
      </c>
      <c r="C13" s="151">
        <v>451</v>
      </c>
      <c r="D13" s="101">
        <v>451</v>
      </c>
      <c r="E13" s="152">
        <v>25237</v>
      </c>
      <c r="F13" s="101">
        <f>25237+411-523</f>
        <v>25125</v>
      </c>
      <c r="G13" s="101">
        <v>25125</v>
      </c>
      <c r="H13" s="101"/>
      <c r="I13" s="101"/>
      <c r="J13" s="109"/>
      <c r="K13" s="101"/>
      <c r="L13" s="101"/>
      <c r="M13" s="97"/>
      <c r="N13" s="97">
        <f t="shared" si="1"/>
        <v>25237</v>
      </c>
      <c r="O13" s="153">
        <f t="shared" si="1"/>
        <v>25125</v>
      </c>
      <c r="P13" s="153">
        <f t="shared" si="1"/>
        <v>25125</v>
      </c>
    </row>
    <row r="14" spans="1:16" s="124" customFormat="1" ht="13.5" customHeight="1" thickBot="1">
      <c r="A14" s="142" t="s">
        <v>51</v>
      </c>
      <c r="B14" s="143" t="s">
        <v>165</v>
      </c>
      <c r="C14" s="144"/>
      <c r="D14" s="100"/>
      <c r="E14" s="145">
        <f>SUM(E11:E13)</f>
        <v>244625</v>
      </c>
      <c r="F14" s="100">
        <f>SUM(F11:F13)</f>
        <v>243183</v>
      </c>
      <c r="G14" s="100">
        <f>SUM(G11:G13)</f>
        <v>243183</v>
      </c>
      <c r="H14" s="100"/>
      <c r="I14" s="100"/>
      <c r="J14" s="352"/>
      <c r="K14" s="100"/>
      <c r="L14" s="100"/>
      <c r="M14" s="100"/>
      <c r="N14" s="146">
        <f>SUM(N11:N13)</f>
        <v>244625</v>
      </c>
      <c r="O14" s="146">
        <f>SUM(O11:O13)</f>
        <v>243183</v>
      </c>
      <c r="P14" s="146">
        <f>SUM(P11:P13)</f>
        <v>243183</v>
      </c>
    </row>
    <row r="15" spans="1:16" s="124" customFormat="1" ht="13.5" customHeight="1">
      <c r="A15" s="137"/>
      <c r="B15" s="154" t="s">
        <v>152</v>
      </c>
      <c r="C15" s="127"/>
      <c r="D15" s="97"/>
      <c r="E15" s="129">
        <v>18557</v>
      </c>
      <c r="F15" s="97"/>
      <c r="G15" s="97"/>
      <c r="H15" s="97"/>
      <c r="I15" s="97"/>
      <c r="J15" s="110"/>
      <c r="K15" s="97"/>
      <c r="L15" s="97"/>
      <c r="M15" s="97"/>
      <c r="N15" s="131">
        <f aca="true" t="shared" si="2" ref="N15:P17">SUM(E15,H15,K15)</f>
        <v>18557</v>
      </c>
      <c r="O15" s="131">
        <f t="shared" si="2"/>
        <v>0</v>
      </c>
      <c r="P15" s="131">
        <f t="shared" si="2"/>
        <v>0</v>
      </c>
    </row>
    <row r="16" spans="1:16" s="124" customFormat="1" ht="13.5" customHeight="1">
      <c r="A16" s="137"/>
      <c r="B16" s="154" t="s">
        <v>155</v>
      </c>
      <c r="C16" s="151"/>
      <c r="D16" s="101"/>
      <c r="E16" s="152">
        <v>0</v>
      </c>
      <c r="F16" s="101">
        <f>9922+6452+16012+9523+401</f>
        <v>42310</v>
      </c>
      <c r="G16" s="101">
        <v>42310</v>
      </c>
      <c r="H16" s="101"/>
      <c r="I16" s="101"/>
      <c r="J16" s="109"/>
      <c r="K16" s="101"/>
      <c r="L16" s="101"/>
      <c r="M16" s="101"/>
      <c r="N16" s="102">
        <f t="shared" si="2"/>
        <v>0</v>
      </c>
      <c r="O16" s="102">
        <f t="shared" si="2"/>
        <v>42310</v>
      </c>
      <c r="P16" s="102">
        <f t="shared" si="2"/>
        <v>42310</v>
      </c>
    </row>
    <row r="17" spans="1:16" s="124" customFormat="1" ht="13.5" customHeight="1">
      <c r="A17" s="137"/>
      <c r="B17" s="154" t="s">
        <v>131</v>
      </c>
      <c r="C17" s="127"/>
      <c r="D17" s="97"/>
      <c r="E17" s="129">
        <v>0</v>
      </c>
      <c r="F17" s="97">
        <v>0</v>
      </c>
      <c r="G17" s="97">
        <v>0</v>
      </c>
      <c r="H17" s="97"/>
      <c r="I17" s="97"/>
      <c r="J17" s="110"/>
      <c r="K17" s="97"/>
      <c r="L17" s="97"/>
      <c r="M17" s="97"/>
      <c r="N17" s="102">
        <f>SUM(E17,H17,K17)</f>
        <v>0</v>
      </c>
      <c r="O17" s="102">
        <f>SUM(F17,I17,L17)</f>
        <v>0</v>
      </c>
      <c r="P17" s="155">
        <f t="shared" si="2"/>
        <v>0</v>
      </c>
    </row>
    <row r="18" spans="1:16" s="124" customFormat="1" ht="13.5" customHeight="1">
      <c r="A18" s="156"/>
      <c r="B18" s="31" t="s">
        <v>156</v>
      </c>
      <c r="C18" s="151">
        <v>26300</v>
      </c>
      <c r="D18" s="151">
        <v>26300</v>
      </c>
      <c r="E18" s="152">
        <v>10388</v>
      </c>
      <c r="F18" s="101">
        <v>10388</v>
      </c>
      <c r="G18" s="101">
        <v>10388</v>
      </c>
      <c r="H18" s="101"/>
      <c r="I18" s="101"/>
      <c r="J18" s="109"/>
      <c r="K18" s="101"/>
      <c r="L18" s="101"/>
      <c r="M18" s="101"/>
      <c r="N18" s="102">
        <f aca="true" t="shared" si="3" ref="N18:N26">SUM(E18,H18,K18)</f>
        <v>10388</v>
      </c>
      <c r="O18" s="102">
        <f aca="true" t="shared" si="4" ref="O18:P26">SUM(F18,I18,L18)</f>
        <v>10388</v>
      </c>
      <c r="P18" s="102">
        <f t="shared" si="4"/>
        <v>10388</v>
      </c>
    </row>
    <row r="19" spans="1:16" s="124" customFormat="1" ht="13.5" customHeight="1">
      <c r="A19" s="156"/>
      <c r="B19" s="31" t="s">
        <v>157</v>
      </c>
      <c r="C19" s="151">
        <v>26300</v>
      </c>
      <c r="D19" s="151">
        <v>26300</v>
      </c>
      <c r="E19" s="152">
        <v>10389</v>
      </c>
      <c r="F19" s="101">
        <v>10389</v>
      </c>
      <c r="G19" s="101">
        <v>10389</v>
      </c>
      <c r="H19" s="101"/>
      <c r="I19" s="101"/>
      <c r="J19" s="109"/>
      <c r="K19" s="101"/>
      <c r="L19" s="101"/>
      <c r="M19" s="101"/>
      <c r="N19" s="102">
        <f t="shared" si="3"/>
        <v>10389</v>
      </c>
      <c r="O19" s="102">
        <f t="shared" si="4"/>
        <v>10389</v>
      </c>
      <c r="P19" s="102">
        <f t="shared" si="4"/>
        <v>10389</v>
      </c>
    </row>
    <row r="20" spans="1:16" s="124" customFormat="1" ht="13.5" customHeight="1">
      <c r="A20" s="156"/>
      <c r="B20" s="31" t="s">
        <v>158</v>
      </c>
      <c r="C20" s="151">
        <v>510</v>
      </c>
      <c r="D20" s="151">
        <v>510</v>
      </c>
      <c r="E20" s="152">
        <v>28234</v>
      </c>
      <c r="F20" s="101">
        <v>28234</v>
      </c>
      <c r="G20" s="101">
        <v>28234</v>
      </c>
      <c r="H20" s="101"/>
      <c r="I20" s="101"/>
      <c r="J20" s="109"/>
      <c r="K20" s="101"/>
      <c r="L20" s="101"/>
      <c r="M20" s="101"/>
      <c r="N20" s="102">
        <f t="shared" si="3"/>
        <v>28234</v>
      </c>
      <c r="O20" s="102">
        <f t="shared" si="4"/>
        <v>28234</v>
      </c>
      <c r="P20" s="102">
        <f t="shared" si="4"/>
        <v>28234</v>
      </c>
    </row>
    <row r="21" spans="1:16" s="124" customFormat="1" ht="13.5" customHeight="1">
      <c r="A21" s="157"/>
      <c r="B21" s="150" t="s">
        <v>159</v>
      </c>
      <c r="C21" s="151">
        <v>88</v>
      </c>
      <c r="D21" s="151">
        <v>88</v>
      </c>
      <c r="E21" s="152">
        <v>12760</v>
      </c>
      <c r="F21" s="101">
        <v>12760</v>
      </c>
      <c r="G21" s="101">
        <v>12760</v>
      </c>
      <c r="H21" s="101"/>
      <c r="I21" s="101"/>
      <c r="J21" s="109"/>
      <c r="K21" s="101"/>
      <c r="L21" s="101"/>
      <c r="M21" s="101"/>
      <c r="N21" s="102">
        <f t="shared" si="3"/>
        <v>12760</v>
      </c>
      <c r="O21" s="102">
        <f t="shared" si="4"/>
        <v>12760</v>
      </c>
      <c r="P21" s="102">
        <f t="shared" si="4"/>
        <v>12760</v>
      </c>
    </row>
    <row r="22" spans="1:16" s="124" customFormat="1" ht="13.5" customHeight="1">
      <c r="A22" s="157"/>
      <c r="B22" s="150" t="s">
        <v>160</v>
      </c>
      <c r="C22" s="151">
        <v>250</v>
      </c>
      <c r="D22" s="151">
        <v>250</v>
      </c>
      <c r="E22" s="152">
        <v>27250</v>
      </c>
      <c r="F22" s="101">
        <v>27250</v>
      </c>
      <c r="G22" s="101">
        <v>27250</v>
      </c>
      <c r="H22" s="101"/>
      <c r="I22" s="101"/>
      <c r="J22" s="109"/>
      <c r="K22" s="101"/>
      <c r="L22" s="101"/>
      <c r="M22" s="101"/>
      <c r="N22" s="102">
        <f t="shared" si="3"/>
        <v>27250</v>
      </c>
      <c r="O22" s="102">
        <f t="shared" si="4"/>
        <v>27250</v>
      </c>
      <c r="P22" s="102">
        <f t="shared" si="4"/>
        <v>27250</v>
      </c>
    </row>
    <row r="23" spans="1:16" s="124" customFormat="1" ht="13.5" customHeight="1">
      <c r="A23" s="157"/>
      <c r="B23" s="150" t="s">
        <v>161</v>
      </c>
      <c r="C23" s="151">
        <v>85</v>
      </c>
      <c r="D23" s="151">
        <v>115</v>
      </c>
      <c r="E23" s="152">
        <v>42245</v>
      </c>
      <c r="F23" s="101">
        <f>42245+6621+7955</f>
        <v>56821</v>
      </c>
      <c r="G23" s="101">
        <v>56821</v>
      </c>
      <c r="H23" s="101"/>
      <c r="I23" s="101"/>
      <c r="J23" s="109"/>
      <c r="K23" s="101"/>
      <c r="L23" s="101"/>
      <c r="M23" s="101"/>
      <c r="N23" s="102">
        <f t="shared" si="3"/>
        <v>42245</v>
      </c>
      <c r="O23" s="102">
        <f t="shared" si="4"/>
        <v>56821</v>
      </c>
      <c r="P23" s="102">
        <f t="shared" si="4"/>
        <v>56821</v>
      </c>
    </row>
    <row r="24" spans="1:16" s="124" customFormat="1" ht="13.5" customHeight="1">
      <c r="A24" s="157"/>
      <c r="B24" s="118" t="s">
        <v>167</v>
      </c>
      <c r="C24" s="151">
        <v>4</v>
      </c>
      <c r="D24" s="151">
        <v>4</v>
      </c>
      <c r="E24" s="152">
        <v>10424</v>
      </c>
      <c r="F24" s="101">
        <v>10424</v>
      </c>
      <c r="G24" s="101">
        <v>10424</v>
      </c>
      <c r="H24" s="101"/>
      <c r="I24" s="101"/>
      <c r="J24" s="109"/>
      <c r="K24" s="101"/>
      <c r="L24" s="101"/>
      <c r="M24" s="101"/>
      <c r="N24" s="102">
        <f t="shared" si="3"/>
        <v>10424</v>
      </c>
      <c r="O24" s="102">
        <f t="shared" si="4"/>
        <v>10424</v>
      </c>
      <c r="P24" s="102">
        <f t="shared" si="4"/>
        <v>10424</v>
      </c>
    </row>
    <row r="25" spans="1:16" s="124" customFormat="1" ht="13.5" customHeight="1">
      <c r="A25" s="157"/>
      <c r="B25" s="133" t="s">
        <v>163</v>
      </c>
      <c r="C25" s="151"/>
      <c r="D25" s="151"/>
      <c r="E25" s="152">
        <v>11662</v>
      </c>
      <c r="F25" s="101">
        <f>11662-955</f>
        <v>10707</v>
      </c>
      <c r="G25" s="101">
        <v>10707</v>
      </c>
      <c r="H25" s="101"/>
      <c r="I25" s="101"/>
      <c r="J25" s="109"/>
      <c r="K25" s="101"/>
      <c r="L25" s="101"/>
      <c r="M25" s="101"/>
      <c r="N25" s="102">
        <f t="shared" si="3"/>
        <v>11662</v>
      </c>
      <c r="O25" s="102">
        <f t="shared" si="4"/>
        <v>10707</v>
      </c>
      <c r="P25" s="102">
        <f t="shared" si="4"/>
        <v>10707</v>
      </c>
    </row>
    <row r="26" spans="1:16" s="124" customFormat="1" ht="13.5" customHeight="1" thickBot="1">
      <c r="A26" s="158"/>
      <c r="B26" s="159" t="s">
        <v>166</v>
      </c>
      <c r="C26" s="160"/>
      <c r="D26" s="160"/>
      <c r="E26" s="161">
        <v>58034</v>
      </c>
      <c r="F26" s="102">
        <f>59835-10245+9364</f>
        <v>58954</v>
      </c>
      <c r="G26" s="102">
        <v>58954</v>
      </c>
      <c r="H26" s="102"/>
      <c r="I26" s="102"/>
      <c r="J26" s="195"/>
      <c r="K26" s="102"/>
      <c r="L26" s="102"/>
      <c r="M26" s="102"/>
      <c r="N26" s="102">
        <f t="shared" si="3"/>
        <v>58034</v>
      </c>
      <c r="O26" s="102">
        <f t="shared" si="4"/>
        <v>58954</v>
      </c>
      <c r="P26" s="102">
        <f t="shared" si="4"/>
        <v>58954</v>
      </c>
    </row>
    <row r="27" spans="1:16" s="124" customFormat="1" ht="13.5" customHeight="1" thickBot="1">
      <c r="A27" s="142" t="s">
        <v>52</v>
      </c>
      <c r="B27" s="162" t="s">
        <v>106</v>
      </c>
      <c r="C27" s="144"/>
      <c r="D27" s="100"/>
      <c r="E27" s="145">
        <f>SUM(E15:E26)</f>
        <v>229943</v>
      </c>
      <c r="F27" s="100">
        <f>SUM(F15:F26)</f>
        <v>268237</v>
      </c>
      <c r="G27" s="100">
        <f>SUM(G15:G26)</f>
        <v>268237</v>
      </c>
      <c r="H27" s="100"/>
      <c r="I27" s="100"/>
      <c r="J27" s="352"/>
      <c r="K27" s="100"/>
      <c r="L27" s="100"/>
      <c r="M27" s="100"/>
      <c r="N27" s="146">
        <f>SUM(N15:N26)</f>
        <v>229943</v>
      </c>
      <c r="O27" s="146">
        <f>SUM(O15:O26)</f>
        <v>268237</v>
      </c>
      <c r="P27" s="146">
        <f>SUM(P15:P26)</f>
        <v>268237</v>
      </c>
    </row>
    <row r="28" spans="1:16" s="124" customFormat="1" ht="13.5" customHeight="1" thickBot="1">
      <c r="A28" s="163" t="s">
        <v>53</v>
      </c>
      <c r="B28" s="164" t="s">
        <v>168</v>
      </c>
      <c r="C28" s="100"/>
      <c r="D28" s="100"/>
      <c r="E28" s="145">
        <v>10520</v>
      </c>
      <c r="F28" s="100">
        <v>10520</v>
      </c>
      <c r="G28" s="100">
        <v>10520</v>
      </c>
      <c r="H28" s="100"/>
      <c r="I28" s="100"/>
      <c r="J28" s="352"/>
      <c r="K28" s="100"/>
      <c r="L28" s="100"/>
      <c r="M28" s="100"/>
      <c r="N28" s="146">
        <v>10520</v>
      </c>
      <c r="O28" s="146">
        <v>10520</v>
      </c>
      <c r="P28" s="146">
        <v>10520</v>
      </c>
    </row>
    <row r="29" spans="1:16" s="124" customFormat="1" ht="13.5" customHeight="1" thickBot="1">
      <c r="A29" s="165"/>
      <c r="B29" s="166" t="s">
        <v>169</v>
      </c>
      <c r="C29" s="100"/>
      <c r="D29" s="100"/>
      <c r="E29" s="145">
        <f aca="true" t="shared" si="5" ref="E29:O29">SUM(E28,E27,E14,E10)</f>
        <v>608458</v>
      </c>
      <c r="F29" s="100">
        <f t="shared" si="5"/>
        <v>663867</v>
      </c>
      <c r="G29" s="100">
        <f t="shared" si="5"/>
        <v>663867</v>
      </c>
      <c r="H29" s="100">
        <f t="shared" si="5"/>
        <v>0</v>
      </c>
      <c r="I29" s="100">
        <f t="shared" si="5"/>
        <v>0</v>
      </c>
      <c r="J29" s="352"/>
      <c r="K29" s="100">
        <f t="shared" si="5"/>
        <v>0</v>
      </c>
      <c r="L29" s="100">
        <f t="shared" si="5"/>
        <v>0</v>
      </c>
      <c r="M29" s="100"/>
      <c r="N29" s="146">
        <f t="shared" si="5"/>
        <v>608458</v>
      </c>
      <c r="O29" s="146">
        <f t="shared" si="5"/>
        <v>663867</v>
      </c>
      <c r="P29" s="146">
        <f>SUM(P28,P27,P14,P10)</f>
        <v>663867</v>
      </c>
    </row>
    <row r="30" spans="1:16" s="124" customFormat="1" ht="13.5" customHeight="1">
      <c r="A30" s="167"/>
      <c r="B30" s="148" t="s">
        <v>19</v>
      </c>
      <c r="C30" s="168"/>
      <c r="D30" s="103"/>
      <c r="E30" s="169">
        <v>1430388</v>
      </c>
      <c r="F30" s="103">
        <v>1430388</v>
      </c>
      <c r="G30" s="103">
        <v>1430388</v>
      </c>
      <c r="H30" s="103"/>
      <c r="I30" s="103"/>
      <c r="J30" s="353"/>
      <c r="K30" s="103"/>
      <c r="L30" s="103"/>
      <c r="M30" s="103"/>
      <c r="N30" s="131">
        <f>SUM(E30,H30,K30)</f>
        <v>1430388</v>
      </c>
      <c r="O30" s="131">
        <v>1430388</v>
      </c>
      <c r="P30" s="102">
        <f aca="true" t="shared" si="6" ref="O30:P40">SUM(G30,J30,M30)</f>
        <v>1430388</v>
      </c>
    </row>
    <row r="31" spans="1:16" s="124" customFormat="1" ht="13.5" customHeight="1">
      <c r="A31" s="158"/>
      <c r="B31" s="31" t="s">
        <v>121</v>
      </c>
      <c r="C31" s="160"/>
      <c r="D31" s="102"/>
      <c r="E31" s="161">
        <v>0</v>
      </c>
      <c r="F31" s="102">
        <f>642+190</f>
        <v>832</v>
      </c>
      <c r="G31" s="102">
        <v>832</v>
      </c>
      <c r="H31" s="102"/>
      <c r="I31" s="102"/>
      <c r="J31" s="195"/>
      <c r="K31" s="102"/>
      <c r="L31" s="102"/>
      <c r="M31" s="102"/>
      <c r="N31" s="102">
        <f>SUM(E31,H31,K31)</f>
        <v>0</v>
      </c>
      <c r="O31" s="102">
        <f t="shared" si="6"/>
        <v>832</v>
      </c>
      <c r="P31" s="102">
        <f t="shared" si="6"/>
        <v>832</v>
      </c>
    </row>
    <row r="32" spans="1:16" s="124" customFormat="1" ht="13.5" customHeight="1">
      <c r="A32" s="137"/>
      <c r="B32" s="154" t="s">
        <v>109</v>
      </c>
      <c r="C32" s="134"/>
      <c r="D32" s="98"/>
      <c r="E32" s="135">
        <v>0</v>
      </c>
      <c r="F32" s="98">
        <f>867+155</f>
        <v>1022</v>
      </c>
      <c r="G32" s="98">
        <v>1022</v>
      </c>
      <c r="H32" s="98"/>
      <c r="I32" s="98"/>
      <c r="J32" s="350"/>
      <c r="K32" s="98"/>
      <c r="L32" s="98"/>
      <c r="M32" s="98"/>
      <c r="N32" s="102">
        <f>SUM(E32,H32,K32)</f>
        <v>0</v>
      </c>
      <c r="O32" s="136">
        <f t="shared" si="6"/>
        <v>1022</v>
      </c>
      <c r="P32" s="102">
        <f t="shared" si="6"/>
        <v>1022</v>
      </c>
    </row>
    <row r="33" spans="1:16" s="124" customFormat="1" ht="13.5" customHeight="1">
      <c r="A33" s="137"/>
      <c r="B33" s="154" t="s">
        <v>115</v>
      </c>
      <c r="C33" s="134"/>
      <c r="D33" s="98"/>
      <c r="E33" s="135">
        <v>0</v>
      </c>
      <c r="F33" s="98">
        <v>2494</v>
      </c>
      <c r="G33" s="98">
        <v>2494</v>
      </c>
      <c r="H33" s="98"/>
      <c r="I33" s="98"/>
      <c r="J33" s="350"/>
      <c r="K33" s="98"/>
      <c r="L33" s="98"/>
      <c r="M33" s="102"/>
      <c r="N33" s="155">
        <f>SUM(E33,H33,K33)</f>
        <v>0</v>
      </c>
      <c r="O33" s="136">
        <f t="shared" si="6"/>
        <v>2494</v>
      </c>
      <c r="P33" s="102">
        <f t="shared" si="6"/>
        <v>2494</v>
      </c>
    </row>
    <row r="34" spans="1:16" s="124" customFormat="1" ht="13.5" customHeight="1" thickBot="1">
      <c r="A34" s="170"/>
      <c r="B34" s="171" t="s">
        <v>170</v>
      </c>
      <c r="C34" s="139"/>
      <c r="D34" s="99"/>
      <c r="E34" s="140">
        <v>0</v>
      </c>
      <c r="F34" s="99">
        <v>3644</v>
      </c>
      <c r="G34" s="99">
        <v>3644</v>
      </c>
      <c r="H34" s="99"/>
      <c r="I34" s="99"/>
      <c r="J34" s="351"/>
      <c r="K34" s="99"/>
      <c r="L34" s="99"/>
      <c r="M34" s="99"/>
      <c r="N34" s="141">
        <f>SUM(E34,H34,K34)</f>
        <v>0</v>
      </c>
      <c r="O34" s="136">
        <f t="shared" si="6"/>
        <v>3644</v>
      </c>
      <c r="P34" s="136">
        <f t="shared" si="6"/>
        <v>3644</v>
      </c>
    </row>
    <row r="35" spans="1:16" s="124" customFormat="1" ht="13.5" customHeight="1" thickBot="1">
      <c r="A35" s="142" t="s">
        <v>54</v>
      </c>
      <c r="B35" s="166" t="s">
        <v>41</v>
      </c>
      <c r="C35" s="100">
        <f>SUM(C30)</f>
        <v>0</v>
      </c>
      <c r="D35" s="100">
        <f>SUM(D30)</f>
        <v>0</v>
      </c>
      <c r="E35" s="145">
        <f>SUM(E30:E34)</f>
        <v>1430388</v>
      </c>
      <c r="F35" s="100">
        <f>SUM(F30:F34)</f>
        <v>1438380</v>
      </c>
      <c r="G35" s="100">
        <f>SUM(G30:G34)</f>
        <v>1438380</v>
      </c>
      <c r="H35" s="100">
        <f>SUM(H30)</f>
        <v>0</v>
      </c>
      <c r="I35" s="100">
        <f>SUM(I30)</f>
        <v>0</v>
      </c>
      <c r="J35" s="352"/>
      <c r="K35" s="100">
        <f>SUM(K30)</f>
        <v>0</v>
      </c>
      <c r="L35" s="100">
        <f>SUM(L30)</f>
        <v>0</v>
      </c>
      <c r="M35" s="100"/>
      <c r="N35" s="146">
        <f>SUM(N30:N34)</f>
        <v>1430388</v>
      </c>
      <c r="O35" s="146">
        <f>SUM(O30:O34)</f>
        <v>1438380</v>
      </c>
      <c r="P35" s="146">
        <f t="shared" si="6"/>
        <v>1438380</v>
      </c>
    </row>
    <row r="36" spans="1:16" s="124" customFormat="1" ht="13.5" customHeight="1">
      <c r="A36" s="172"/>
      <c r="B36" s="173" t="s">
        <v>171</v>
      </c>
      <c r="C36" s="104"/>
      <c r="D36" s="104"/>
      <c r="E36" s="174"/>
      <c r="F36" s="104">
        <f>10011+7601+7465+2390</f>
        <v>27467</v>
      </c>
      <c r="G36" s="104">
        <v>27467</v>
      </c>
      <c r="H36" s="104"/>
      <c r="I36" s="104"/>
      <c r="J36" s="354"/>
      <c r="K36" s="104"/>
      <c r="L36" s="104"/>
      <c r="M36" s="104"/>
      <c r="N36" s="175">
        <f>SUM(E36,H36,K36)</f>
        <v>0</v>
      </c>
      <c r="O36" s="175">
        <f>SUM(F36)</f>
        <v>27467</v>
      </c>
      <c r="P36" s="235">
        <f t="shared" si="6"/>
        <v>27467</v>
      </c>
    </row>
    <row r="37" spans="1:16" s="124" customFormat="1" ht="13.5" customHeight="1" thickBot="1">
      <c r="A37" s="176"/>
      <c r="B37" s="154" t="s">
        <v>131</v>
      </c>
      <c r="C37" s="177"/>
      <c r="D37" s="177"/>
      <c r="E37" s="178"/>
      <c r="F37" s="105">
        <v>15686</v>
      </c>
      <c r="G37" s="105">
        <v>15686</v>
      </c>
      <c r="H37" s="105"/>
      <c r="I37" s="105"/>
      <c r="J37" s="355"/>
      <c r="K37" s="105"/>
      <c r="L37" s="105"/>
      <c r="M37" s="105"/>
      <c r="N37" s="179">
        <f>SUM(E37,H37,K37)</f>
        <v>0</v>
      </c>
      <c r="O37" s="179">
        <f>SUM(F37,I37,L37)</f>
        <v>15686</v>
      </c>
      <c r="P37" s="136">
        <f t="shared" si="6"/>
        <v>15686</v>
      </c>
    </row>
    <row r="38" spans="1:16" s="124" customFormat="1" ht="13.5" customHeight="1" thickBot="1">
      <c r="A38" s="142" t="s">
        <v>117</v>
      </c>
      <c r="B38" s="166" t="s">
        <v>116</v>
      </c>
      <c r="C38" s="100"/>
      <c r="D38" s="100"/>
      <c r="E38" s="145">
        <f>SUM(E36)</f>
        <v>0</v>
      </c>
      <c r="F38" s="100">
        <f>SUM(F36:F37)</f>
        <v>43153</v>
      </c>
      <c r="G38" s="100">
        <f>SUM(G36:G37)</f>
        <v>43153</v>
      </c>
      <c r="H38" s="100"/>
      <c r="I38" s="100"/>
      <c r="J38" s="352"/>
      <c r="K38" s="100"/>
      <c r="L38" s="100"/>
      <c r="M38" s="100"/>
      <c r="N38" s="146">
        <f>SUM(N36:N37)</f>
        <v>0</v>
      </c>
      <c r="O38" s="146">
        <f>SUM(O36:O37)</f>
        <v>43153</v>
      </c>
      <c r="P38" s="146">
        <f t="shared" si="6"/>
        <v>43153</v>
      </c>
    </row>
    <row r="39" spans="1:16" s="124" customFormat="1" ht="13.5" customHeight="1" thickBot="1">
      <c r="A39" s="142" t="s">
        <v>2</v>
      </c>
      <c r="B39" s="180" t="s">
        <v>118</v>
      </c>
      <c r="C39" s="100"/>
      <c r="D39" s="100"/>
      <c r="E39" s="145">
        <f>SUM(E10,E14,E27,E28,E35,E38)</f>
        <v>2038846</v>
      </c>
      <c r="F39" s="100">
        <f>SUM(F10,F14,F27,F28,F35,F38)</f>
        <v>2145400</v>
      </c>
      <c r="G39" s="100">
        <f>SUM(G10,G14,G27,G28,G35,G38)</f>
        <v>2145400</v>
      </c>
      <c r="H39" s="100">
        <f>SUM(H10,H14,H27,H28,H35)</f>
        <v>0</v>
      </c>
      <c r="I39" s="100">
        <f>SUM(I10,I14,I27,I28,I35)</f>
        <v>0</v>
      </c>
      <c r="J39" s="352"/>
      <c r="K39" s="100">
        <f>SUM(K10,K14,K27,K28,K35)</f>
        <v>0</v>
      </c>
      <c r="L39" s="100">
        <f>SUM(L10,L14,L27,L28,L35)</f>
        <v>0</v>
      </c>
      <c r="M39" s="100"/>
      <c r="N39" s="146">
        <f>SUM(N10,N14,N27,N28,N35,N38)</f>
        <v>2038846</v>
      </c>
      <c r="O39" s="146">
        <f>SUM(O10,O14,O27,O28,O35,O38)</f>
        <v>2145400</v>
      </c>
      <c r="P39" s="359">
        <f t="shared" si="6"/>
        <v>2145400</v>
      </c>
    </row>
    <row r="40" spans="1:16" s="124" customFormat="1" ht="13.5" customHeight="1" thickBot="1">
      <c r="A40" s="181" t="s">
        <v>3</v>
      </c>
      <c r="B40" s="182" t="s">
        <v>43</v>
      </c>
      <c r="C40" s="181"/>
      <c r="D40" s="106"/>
      <c r="E40" s="183"/>
      <c r="F40" s="106"/>
      <c r="G40" s="216">
        <v>325330</v>
      </c>
      <c r="H40" s="106"/>
      <c r="I40" s="106"/>
      <c r="J40" s="211">
        <v>0</v>
      </c>
      <c r="K40" s="106"/>
      <c r="L40" s="106"/>
      <c r="M40" s="216">
        <v>0</v>
      </c>
      <c r="N40" s="184">
        <f>SUM(E40,H40,K40)</f>
        <v>0</v>
      </c>
      <c r="O40" s="184">
        <f>SUM(F40,I40,L40)</f>
        <v>0</v>
      </c>
      <c r="P40" s="146">
        <f t="shared" si="6"/>
        <v>325330</v>
      </c>
    </row>
    <row r="41" spans="1:16" s="124" customFormat="1" ht="13.5" customHeight="1">
      <c r="A41" s="185" t="s">
        <v>47</v>
      </c>
      <c r="B41" s="186" t="s">
        <v>173</v>
      </c>
      <c r="C41" s="187"/>
      <c r="D41" s="107"/>
      <c r="E41" s="188"/>
      <c r="F41" s="107"/>
      <c r="G41" s="107"/>
      <c r="H41" s="107"/>
      <c r="I41" s="107"/>
      <c r="J41" s="110"/>
      <c r="K41" s="107"/>
      <c r="L41" s="107"/>
      <c r="M41" s="97"/>
      <c r="N41" s="155"/>
      <c r="O41" s="155"/>
      <c r="P41" s="155"/>
    </row>
    <row r="42" spans="1:16" s="124" customFormat="1" ht="13.5" customHeight="1">
      <c r="A42" s="189"/>
      <c r="B42" s="190" t="s">
        <v>44</v>
      </c>
      <c r="C42" s="191"/>
      <c r="D42" s="108"/>
      <c r="E42" s="152">
        <v>22541</v>
      </c>
      <c r="F42" s="101">
        <v>22541</v>
      </c>
      <c r="G42" s="101">
        <v>22541</v>
      </c>
      <c r="H42" s="108"/>
      <c r="I42" s="108"/>
      <c r="J42" s="109"/>
      <c r="K42" s="108"/>
      <c r="L42" s="108"/>
      <c r="M42" s="101"/>
      <c r="N42" s="102">
        <f aca="true" t="shared" si="7" ref="N42:N54">SUM(E42,H42,K42)</f>
        <v>22541</v>
      </c>
      <c r="O42" s="102">
        <f aca="true" t="shared" si="8" ref="O42:P55">SUM(F42,I42,L42)</f>
        <v>22541</v>
      </c>
      <c r="P42" s="102">
        <f t="shared" si="8"/>
        <v>22541</v>
      </c>
    </row>
    <row r="43" spans="1:16" s="124" customFormat="1" ht="13.5" customHeight="1">
      <c r="A43" s="189"/>
      <c r="B43" s="190" t="s">
        <v>172</v>
      </c>
      <c r="C43" s="191"/>
      <c r="D43" s="108"/>
      <c r="E43" s="152"/>
      <c r="F43" s="101"/>
      <c r="G43" s="101"/>
      <c r="H43" s="108"/>
      <c r="I43" s="108"/>
      <c r="J43" s="109"/>
      <c r="K43" s="108"/>
      <c r="L43" s="108"/>
      <c r="M43" s="101"/>
      <c r="N43" s="102">
        <f t="shared" si="7"/>
        <v>0</v>
      </c>
      <c r="O43" s="102">
        <f t="shared" si="8"/>
        <v>0</v>
      </c>
      <c r="P43" s="102">
        <f t="shared" si="8"/>
        <v>0</v>
      </c>
    </row>
    <row r="44" spans="1:16" s="124" customFormat="1" ht="13.5" customHeight="1">
      <c r="A44" s="189"/>
      <c r="B44" s="190" t="s">
        <v>148</v>
      </c>
      <c r="C44" s="191"/>
      <c r="D44" s="108"/>
      <c r="E44" s="152"/>
      <c r="F44" s="101">
        <v>99366</v>
      </c>
      <c r="G44" s="101">
        <v>0</v>
      </c>
      <c r="H44" s="108"/>
      <c r="I44" s="108"/>
      <c r="J44" s="109"/>
      <c r="K44" s="108"/>
      <c r="L44" s="108"/>
      <c r="M44" s="101"/>
      <c r="N44" s="102">
        <f t="shared" si="7"/>
        <v>0</v>
      </c>
      <c r="O44" s="102">
        <f t="shared" si="8"/>
        <v>99366</v>
      </c>
      <c r="P44" s="102">
        <f t="shared" si="8"/>
        <v>0</v>
      </c>
    </row>
    <row r="45" spans="1:16" s="124" customFormat="1" ht="13.5" customHeight="1">
      <c r="A45" s="189"/>
      <c r="B45" s="190" t="s">
        <v>149</v>
      </c>
      <c r="C45" s="191"/>
      <c r="D45" s="108"/>
      <c r="E45" s="152"/>
      <c r="F45" s="101">
        <f>119316-177</f>
        <v>119139</v>
      </c>
      <c r="G45" s="101">
        <v>119139</v>
      </c>
      <c r="H45" s="108"/>
      <c r="I45" s="108"/>
      <c r="J45" s="109"/>
      <c r="K45" s="108"/>
      <c r="L45" s="108"/>
      <c r="M45" s="101"/>
      <c r="N45" s="102">
        <f t="shared" si="7"/>
        <v>0</v>
      </c>
      <c r="O45" s="102">
        <f t="shared" si="8"/>
        <v>119139</v>
      </c>
      <c r="P45" s="102">
        <f t="shared" si="8"/>
        <v>119139</v>
      </c>
    </row>
    <row r="46" spans="1:16" s="124" customFormat="1" ht="13.5" customHeight="1">
      <c r="A46" s="189" t="s">
        <v>48</v>
      </c>
      <c r="B46" s="190" t="s">
        <v>45</v>
      </c>
      <c r="C46" s="191"/>
      <c r="D46" s="108"/>
      <c r="E46" s="192"/>
      <c r="F46" s="108"/>
      <c r="G46" s="108"/>
      <c r="H46" s="101">
        <v>734836</v>
      </c>
      <c r="I46" s="101">
        <v>734836</v>
      </c>
      <c r="J46" s="109">
        <v>762442</v>
      </c>
      <c r="K46" s="108"/>
      <c r="L46" s="108"/>
      <c r="M46" s="102"/>
      <c r="N46" s="102">
        <f t="shared" si="7"/>
        <v>734836</v>
      </c>
      <c r="O46" s="102">
        <f t="shared" si="8"/>
        <v>734836</v>
      </c>
      <c r="P46" s="102">
        <f t="shared" si="8"/>
        <v>762442</v>
      </c>
    </row>
    <row r="47" spans="1:16" ht="13.5" customHeight="1">
      <c r="A47" s="189" t="s">
        <v>49</v>
      </c>
      <c r="B47" s="190" t="s">
        <v>46</v>
      </c>
      <c r="C47" s="193"/>
      <c r="D47" s="109"/>
      <c r="E47" s="194"/>
      <c r="F47" s="109"/>
      <c r="G47" s="109"/>
      <c r="H47" s="109"/>
      <c r="I47" s="109"/>
      <c r="J47" s="109"/>
      <c r="K47" s="109"/>
      <c r="L47" s="109"/>
      <c r="M47" s="102"/>
      <c r="N47" s="102">
        <f t="shared" si="7"/>
        <v>0</v>
      </c>
      <c r="O47" s="102">
        <f t="shared" si="8"/>
        <v>0</v>
      </c>
      <c r="P47" s="102">
        <f t="shared" si="8"/>
        <v>0</v>
      </c>
    </row>
    <row r="48" spans="1:16" ht="13.5" customHeight="1">
      <c r="A48" s="196"/>
      <c r="B48" s="186" t="s">
        <v>174</v>
      </c>
      <c r="C48" s="197"/>
      <c r="D48" s="110"/>
      <c r="E48" s="198">
        <f>450000+30000</f>
        <v>480000</v>
      </c>
      <c r="F48" s="110">
        <v>480000</v>
      </c>
      <c r="G48" s="110">
        <v>549245</v>
      </c>
      <c r="H48" s="110"/>
      <c r="I48" s="110"/>
      <c r="J48" s="110"/>
      <c r="K48" s="110"/>
      <c r="L48" s="110"/>
      <c r="M48" s="136"/>
      <c r="N48" s="136">
        <f t="shared" si="7"/>
        <v>480000</v>
      </c>
      <c r="O48" s="136">
        <f t="shared" si="8"/>
        <v>480000</v>
      </c>
      <c r="P48" s="136">
        <f t="shared" si="8"/>
        <v>549245</v>
      </c>
    </row>
    <row r="49" spans="1:16" ht="13.5" customHeight="1">
      <c r="A49" s="196"/>
      <c r="B49" s="190" t="s">
        <v>132</v>
      </c>
      <c r="C49" s="193"/>
      <c r="D49" s="109"/>
      <c r="E49" s="199"/>
      <c r="F49" s="109">
        <v>1073</v>
      </c>
      <c r="G49" s="109">
        <v>1073</v>
      </c>
      <c r="H49" s="109"/>
      <c r="I49" s="109"/>
      <c r="J49" s="109"/>
      <c r="K49" s="109"/>
      <c r="L49" s="109"/>
      <c r="M49" s="102"/>
      <c r="N49" s="102"/>
      <c r="O49" s="136">
        <f t="shared" si="8"/>
        <v>1073</v>
      </c>
      <c r="P49" s="136">
        <f t="shared" si="8"/>
        <v>1073</v>
      </c>
    </row>
    <row r="50" spans="1:16" ht="13.5" customHeight="1">
      <c r="A50" s="200"/>
      <c r="B50" s="190" t="s">
        <v>111</v>
      </c>
      <c r="C50" s="201"/>
      <c r="D50" s="195"/>
      <c r="E50" s="202"/>
      <c r="F50" s="195">
        <f>94+31+253+124</f>
        <v>502</v>
      </c>
      <c r="G50" s="195">
        <v>502</v>
      </c>
      <c r="H50" s="195"/>
      <c r="I50" s="195"/>
      <c r="J50" s="195"/>
      <c r="K50" s="195"/>
      <c r="L50" s="195"/>
      <c r="M50" s="102"/>
      <c r="N50" s="136">
        <f t="shared" si="7"/>
        <v>0</v>
      </c>
      <c r="O50" s="136">
        <f t="shared" si="8"/>
        <v>502</v>
      </c>
      <c r="P50" s="136">
        <f t="shared" si="8"/>
        <v>502</v>
      </c>
    </row>
    <row r="51" spans="1:16" ht="13.5" customHeight="1">
      <c r="A51" s="196"/>
      <c r="B51" s="186" t="s">
        <v>178</v>
      </c>
      <c r="C51" s="197"/>
      <c r="D51" s="110"/>
      <c r="E51" s="198"/>
      <c r="F51" s="110"/>
      <c r="G51" s="110"/>
      <c r="H51" s="110"/>
      <c r="I51" s="110"/>
      <c r="J51" s="110">
        <v>1151</v>
      </c>
      <c r="K51" s="110"/>
      <c r="L51" s="110"/>
      <c r="M51" s="102"/>
      <c r="N51" s="136">
        <f>SUM(E51,H51,K51)</f>
        <v>0</v>
      </c>
      <c r="O51" s="136">
        <f>SUM(F51,I51,L51)</f>
        <v>0</v>
      </c>
      <c r="P51" s="136">
        <f>SUM(G51,J51,M51)</f>
        <v>1151</v>
      </c>
    </row>
    <row r="52" spans="1:16" ht="13.5" customHeight="1">
      <c r="A52" s="203"/>
      <c r="B52" s="190" t="s">
        <v>112</v>
      </c>
      <c r="C52" s="193"/>
      <c r="D52" s="109"/>
      <c r="E52" s="199"/>
      <c r="F52" s="109"/>
      <c r="G52" s="109"/>
      <c r="H52" s="109"/>
      <c r="I52" s="109"/>
      <c r="J52" s="109"/>
      <c r="K52" s="109"/>
      <c r="L52" s="195">
        <f>53886+8694</f>
        <v>62580</v>
      </c>
      <c r="M52" s="102">
        <v>42947</v>
      </c>
      <c r="N52" s="136">
        <f t="shared" si="7"/>
        <v>0</v>
      </c>
      <c r="O52" s="136">
        <f t="shared" si="8"/>
        <v>62580</v>
      </c>
      <c r="P52" s="136">
        <f t="shared" si="8"/>
        <v>42947</v>
      </c>
    </row>
    <row r="53" spans="1:16" ht="13.5" customHeight="1">
      <c r="A53" s="203"/>
      <c r="B53" s="190" t="s">
        <v>119</v>
      </c>
      <c r="C53" s="193"/>
      <c r="D53" s="109"/>
      <c r="E53" s="199"/>
      <c r="F53" s="109"/>
      <c r="G53" s="109"/>
      <c r="H53" s="109"/>
      <c r="I53" s="109">
        <v>4699</v>
      </c>
      <c r="J53" s="109">
        <v>4699</v>
      </c>
      <c r="K53" s="109"/>
      <c r="L53" s="109"/>
      <c r="M53" s="102"/>
      <c r="N53" s="136">
        <f t="shared" si="7"/>
        <v>0</v>
      </c>
      <c r="O53" s="136">
        <f t="shared" si="8"/>
        <v>4699</v>
      </c>
      <c r="P53" s="136">
        <f t="shared" si="8"/>
        <v>4699</v>
      </c>
    </row>
    <row r="54" spans="1:16" ht="13.5" customHeight="1">
      <c r="A54" s="196"/>
      <c r="B54" s="186" t="s">
        <v>120</v>
      </c>
      <c r="C54" s="197"/>
      <c r="D54" s="110"/>
      <c r="E54" s="198"/>
      <c r="F54" s="110"/>
      <c r="G54" s="110"/>
      <c r="H54" s="110"/>
      <c r="I54" s="110">
        <v>3864</v>
      </c>
      <c r="J54" s="110">
        <v>3832</v>
      </c>
      <c r="K54" s="110"/>
      <c r="L54" s="110"/>
      <c r="M54" s="102"/>
      <c r="N54" s="136">
        <f t="shared" si="7"/>
        <v>0</v>
      </c>
      <c r="O54" s="136">
        <f t="shared" si="8"/>
        <v>3864</v>
      </c>
      <c r="P54" s="136">
        <f t="shared" si="8"/>
        <v>3832</v>
      </c>
    </row>
    <row r="55" spans="1:16" ht="13.5" customHeight="1" thickBot="1">
      <c r="A55" s="204"/>
      <c r="B55" s="205" t="s">
        <v>175</v>
      </c>
      <c r="C55" s="206"/>
      <c r="D55" s="113"/>
      <c r="E55" s="207"/>
      <c r="F55" s="113"/>
      <c r="G55" s="113"/>
      <c r="H55" s="113"/>
      <c r="I55" s="113">
        <v>3832</v>
      </c>
      <c r="J55" s="113">
        <v>3832</v>
      </c>
      <c r="K55" s="113"/>
      <c r="L55" s="113"/>
      <c r="M55" s="141"/>
      <c r="N55" s="141"/>
      <c r="O55" s="136">
        <f t="shared" si="8"/>
        <v>3832</v>
      </c>
      <c r="P55" s="136">
        <f t="shared" si="8"/>
        <v>3832</v>
      </c>
    </row>
    <row r="56" spans="1:16" ht="13.5" customHeight="1" thickBot="1">
      <c r="A56" s="208" t="s">
        <v>4</v>
      </c>
      <c r="B56" s="209" t="s">
        <v>176</v>
      </c>
      <c r="C56" s="111">
        <f>SUM(C41:C48)</f>
        <v>0</v>
      </c>
      <c r="D56" s="111">
        <f>SUM(D41:D48)</f>
        <v>0</v>
      </c>
      <c r="E56" s="210">
        <f>SUM(E41:E52)</f>
        <v>502541</v>
      </c>
      <c r="F56" s="111">
        <f>SUM(F41:F54)</f>
        <v>722621</v>
      </c>
      <c r="G56" s="111">
        <f>SUM(G41:G54)</f>
        <v>692500</v>
      </c>
      <c r="H56" s="111">
        <f>SUM(H46:H54)</f>
        <v>734836</v>
      </c>
      <c r="I56" s="111">
        <f>SUM(I46:I55)</f>
        <v>747231</v>
      </c>
      <c r="J56" s="111">
        <f>SUM(J46:J55)</f>
        <v>775956</v>
      </c>
      <c r="K56" s="111">
        <f>SUM(K41:K52)</f>
        <v>0</v>
      </c>
      <c r="L56" s="211">
        <f>SUM(L41:L52)</f>
        <v>62580</v>
      </c>
      <c r="M56" s="216">
        <f>SUM(M41:M52)</f>
        <v>42947</v>
      </c>
      <c r="N56" s="111">
        <f>SUM(N41:N54)</f>
        <v>1237377</v>
      </c>
      <c r="O56" s="111">
        <f>SUM(O41:O55)</f>
        <v>1532432</v>
      </c>
      <c r="P56" s="111">
        <f>SUM(P41:P55)</f>
        <v>1511403</v>
      </c>
    </row>
    <row r="57" spans="1:16" ht="13.5" customHeight="1" thickBot="1">
      <c r="A57" s="212" t="s">
        <v>5</v>
      </c>
      <c r="B57" s="213" t="s">
        <v>177</v>
      </c>
      <c r="C57" s="112">
        <f>SUM(C56,C39)</f>
        <v>0</v>
      </c>
      <c r="D57" s="112">
        <f>SUM(D56,D39)</f>
        <v>0</v>
      </c>
      <c r="E57" s="214">
        <f>SUM(E56,E39)</f>
        <v>2541387</v>
      </c>
      <c r="F57" s="112">
        <f>SUM(F56,F39)</f>
        <v>2868021</v>
      </c>
      <c r="G57" s="112">
        <f aca="true" t="shared" si="9" ref="G57:P57">SUM(G56,G39,G40)</f>
        <v>3163230</v>
      </c>
      <c r="H57" s="112">
        <f t="shared" si="9"/>
        <v>734836</v>
      </c>
      <c r="I57" s="112">
        <f t="shared" si="9"/>
        <v>747231</v>
      </c>
      <c r="J57" s="112">
        <f t="shared" si="9"/>
        <v>775956</v>
      </c>
      <c r="K57" s="112">
        <f t="shared" si="9"/>
        <v>0</v>
      </c>
      <c r="L57" s="112">
        <f t="shared" si="9"/>
        <v>62580</v>
      </c>
      <c r="M57" s="112">
        <f t="shared" si="9"/>
        <v>42947</v>
      </c>
      <c r="N57" s="112">
        <f t="shared" si="9"/>
        <v>3276223</v>
      </c>
      <c r="O57" s="112">
        <f t="shared" si="9"/>
        <v>3677832</v>
      </c>
      <c r="P57" s="215">
        <f t="shared" si="9"/>
        <v>3982133</v>
      </c>
    </row>
    <row r="59" ht="12.75">
      <c r="J59" s="57"/>
    </row>
  </sheetData>
  <sheetProtection/>
  <mergeCells count="10">
    <mergeCell ref="H4:J5"/>
    <mergeCell ref="K4:M5"/>
    <mergeCell ref="N1:P1"/>
    <mergeCell ref="A2:P2"/>
    <mergeCell ref="N4:P4"/>
    <mergeCell ref="A6:B6"/>
    <mergeCell ref="A4:B5"/>
    <mergeCell ref="C4:D4"/>
    <mergeCell ref="E4:G4"/>
    <mergeCell ref="O3:P3"/>
  </mergeCells>
  <printOptions/>
  <pageMargins left="0.9055118110236221" right="0.15748031496062992" top="0.2362204724409449" bottom="0.1968503937007874" header="0.15748031496062992" footer="0.275590551181102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22"/>
  <sheetViews>
    <sheetView zoomScalePageLayoutView="0" workbookViewId="0" topLeftCell="A10">
      <selection activeCell="G4" sqref="G4:O6"/>
    </sheetView>
  </sheetViews>
  <sheetFormatPr defaultColWidth="9.00390625" defaultRowHeight="12.75"/>
  <cols>
    <col min="1" max="1" width="3.625" style="279" customWidth="1"/>
    <col min="2" max="2" width="3.00390625" style="15" customWidth="1"/>
    <col min="3" max="3" width="19.375" style="15" customWidth="1"/>
    <col min="4" max="4" width="9.125" style="71" bestFit="1" customWidth="1"/>
    <col min="5" max="6" width="8.875" style="71" bestFit="1" customWidth="1"/>
    <col min="7" max="7" width="9.00390625" style="15" bestFit="1" customWidth="1"/>
    <col min="8" max="9" width="8.875" style="15" customWidth="1"/>
    <col min="10" max="10" width="9.00390625" style="15" bestFit="1" customWidth="1"/>
    <col min="11" max="12" width="8.875" style="15" customWidth="1"/>
    <col min="13" max="13" width="9.00390625" style="15" bestFit="1" customWidth="1"/>
    <col min="14" max="15" width="8.875" style="15" bestFit="1" customWidth="1"/>
    <col min="16" max="16384" width="9.125" style="15" customWidth="1"/>
  </cols>
  <sheetData>
    <row r="1" spans="1:15" ht="25.5" customHeight="1">
      <c r="A1" s="425"/>
      <c r="B1" s="425"/>
      <c r="C1" s="425"/>
      <c r="D1" s="240"/>
      <c r="E1" s="240"/>
      <c r="F1" s="240"/>
      <c r="G1" s="421" t="s">
        <v>32</v>
      </c>
      <c r="H1" s="421"/>
      <c r="I1" s="421"/>
      <c r="J1" s="421"/>
      <c r="K1" s="421"/>
      <c r="L1" s="421"/>
      <c r="M1" s="421"/>
      <c r="N1" s="421"/>
      <c r="O1" s="421"/>
    </row>
    <row r="2" spans="1:15" ht="33" customHeight="1">
      <c r="A2" s="365" t="s">
        <v>55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spans="1:9" ht="25.5" customHeight="1">
      <c r="A3" s="240"/>
      <c r="B3" s="240"/>
      <c r="C3" s="240"/>
      <c r="D3" s="241"/>
      <c r="E3" s="241"/>
      <c r="F3" s="241"/>
      <c r="G3" s="240"/>
      <c r="H3" s="240"/>
      <c r="I3" s="240"/>
    </row>
    <row r="4" spans="1:15" ht="17.25" customHeight="1" thickBot="1">
      <c r="A4" s="240"/>
      <c r="B4" s="240"/>
      <c r="C4" s="240"/>
      <c r="D4" s="241"/>
      <c r="E4" s="241"/>
      <c r="F4" s="241"/>
      <c r="G4" s="240"/>
      <c r="H4" s="240"/>
      <c r="I4" s="240"/>
      <c r="J4" s="416" t="s">
        <v>0</v>
      </c>
      <c r="K4" s="416"/>
      <c r="L4" s="416"/>
      <c r="M4" s="416"/>
      <c r="N4" s="416"/>
      <c r="O4" s="416"/>
    </row>
    <row r="5" spans="1:15" ht="26.25" customHeight="1">
      <c r="A5" s="369" t="s">
        <v>1</v>
      </c>
      <c r="B5" s="370"/>
      <c r="C5" s="371"/>
      <c r="D5" s="378" t="s">
        <v>20</v>
      </c>
      <c r="E5" s="379"/>
      <c r="F5" s="380"/>
      <c r="G5" s="378" t="s">
        <v>181</v>
      </c>
      <c r="H5" s="379"/>
      <c r="I5" s="380"/>
      <c r="J5" s="378" t="s">
        <v>182</v>
      </c>
      <c r="K5" s="379"/>
      <c r="L5" s="380"/>
      <c r="M5" s="384" t="s">
        <v>21</v>
      </c>
      <c r="N5" s="385"/>
      <c r="O5" s="386"/>
    </row>
    <row r="6" spans="1:15" ht="64.5" customHeight="1" thickBot="1">
      <c r="A6" s="372"/>
      <c r="B6" s="373"/>
      <c r="C6" s="374"/>
      <c r="D6" s="381"/>
      <c r="E6" s="382"/>
      <c r="F6" s="383"/>
      <c r="G6" s="381"/>
      <c r="H6" s="382"/>
      <c r="I6" s="383"/>
      <c r="J6" s="381"/>
      <c r="K6" s="382"/>
      <c r="L6" s="383"/>
      <c r="M6" s="387"/>
      <c r="N6" s="388"/>
      <c r="O6" s="389"/>
    </row>
    <row r="7" spans="1:15" ht="20.25" customHeight="1" thickBot="1">
      <c r="A7" s="375"/>
      <c r="B7" s="376"/>
      <c r="C7" s="377"/>
      <c r="D7" s="95" t="s">
        <v>133</v>
      </c>
      <c r="E7" s="95" t="s">
        <v>107</v>
      </c>
      <c r="F7" s="95" t="s">
        <v>130</v>
      </c>
      <c r="G7" s="95" t="s">
        <v>133</v>
      </c>
      <c r="H7" s="95" t="s">
        <v>107</v>
      </c>
      <c r="I7" s="95" t="s">
        <v>130</v>
      </c>
      <c r="J7" s="95" t="s">
        <v>133</v>
      </c>
      <c r="K7" s="95" t="s">
        <v>107</v>
      </c>
      <c r="L7" s="95" t="s">
        <v>130</v>
      </c>
      <c r="M7" s="95" t="s">
        <v>133</v>
      </c>
      <c r="N7" s="95" t="s">
        <v>107</v>
      </c>
      <c r="O7" s="95" t="s">
        <v>130</v>
      </c>
    </row>
    <row r="8" spans="1:15" ht="13.5" customHeight="1" thickBot="1">
      <c r="A8" s="366">
        <v>1</v>
      </c>
      <c r="B8" s="367"/>
      <c r="C8" s="368"/>
      <c r="D8" s="245">
        <v>2</v>
      </c>
      <c r="E8" s="123">
        <v>3</v>
      </c>
      <c r="F8" s="246">
        <v>4</v>
      </c>
      <c r="G8" s="245">
        <v>5</v>
      </c>
      <c r="H8" s="123">
        <v>6</v>
      </c>
      <c r="I8" s="246">
        <v>7</v>
      </c>
      <c r="J8" s="245">
        <v>8</v>
      </c>
      <c r="K8" s="123">
        <v>9</v>
      </c>
      <c r="L8" s="246">
        <v>10</v>
      </c>
      <c r="M8" s="245">
        <v>11</v>
      </c>
      <c r="N8" s="123">
        <v>12</v>
      </c>
      <c r="O8" s="68">
        <v>13</v>
      </c>
    </row>
    <row r="9" spans="1:15" ht="12.75">
      <c r="A9" s="247"/>
      <c r="B9" s="410" t="s">
        <v>8</v>
      </c>
      <c r="C9" s="411"/>
      <c r="D9" s="35">
        <v>2261000</v>
      </c>
      <c r="E9" s="35">
        <v>2261000</v>
      </c>
      <c r="F9" s="35">
        <v>2197125</v>
      </c>
      <c r="G9" s="35"/>
      <c r="H9" s="35"/>
      <c r="I9" s="35"/>
      <c r="J9" s="35"/>
      <c r="K9" s="51"/>
      <c r="L9" s="248"/>
      <c r="M9" s="249">
        <f>SUM(D9,G9,J9)</f>
        <v>2261000</v>
      </c>
      <c r="N9" s="249">
        <f aca="true" t="shared" si="0" ref="N9:O12">SUM(E9,H9,K9)</f>
        <v>2261000</v>
      </c>
      <c r="O9" s="250">
        <f t="shared" si="0"/>
        <v>2197125</v>
      </c>
    </row>
    <row r="10" spans="1:15" ht="12.75">
      <c r="A10" s="251"/>
      <c r="B10" s="412" t="s">
        <v>9</v>
      </c>
      <c r="C10" s="413"/>
      <c r="D10" s="39">
        <f>1304098-3450</f>
        <v>1300648</v>
      </c>
      <c r="E10" s="39">
        <f>1304098-3450</f>
        <v>1300648</v>
      </c>
      <c r="F10" s="39">
        <v>1389654</v>
      </c>
      <c r="G10" s="39"/>
      <c r="H10" s="39"/>
      <c r="I10" s="39"/>
      <c r="J10" s="39"/>
      <c r="K10" s="39"/>
      <c r="L10" s="252"/>
      <c r="M10" s="253">
        <f>SUM(D10,G10,J10)</f>
        <v>1300648</v>
      </c>
      <c r="N10" s="254">
        <f>SUM(E10,H10,K10)</f>
        <v>1300648</v>
      </c>
      <c r="O10" s="255">
        <f t="shared" si="0"/>
        <v>1389654</v>
      </c>
    </row>
    <row r="11" spans="1:15" ht="12.75">
      <c r="A11" s="256"/>
      <c r="B11" s="413" t="s">
        <v>11</v>
      </c>
      <c r="C11" s="422"/>
      <c r="D11" s="39">
        <v>124000</v>
      </c>
      <c r="E11" s="39">
        <v>124000</v>
      </c>
      <c r="F11" s="39">
        <v>118270</v>
      </c>
      <c r="G11" s="39"/>
      <c r="H11" s="39"/>
      <c r="I11" s="39"/>
      <c r="J11" s="39"/>
      <c r="K11" s="39"/>
      <c r="L11" s="252"/>
      <c r="M11" s="253">
        <f>SUM(D11,G11,J11)</f>
        <v>124000</v>
      </c>
      <c r="N11" s="254">
        <f>SUM(E11,H11,K11)</f>
        <v>124000</v>
      </c>
      <c r="O11" s="255">
        <f t="shared" si="0"/>
        <v>118270</v>
      </c>
    </row>
    <row r="12" spans="1:15" ht="13.5" thickBot="1">
      <c r="A12" s="256"/>
      <c r="B12" s="413" t="s">
        <v>18</v>
      </c>
      <c r="C12" s="417"/>
      <c r="D12" s="39">
        <v>1045000</v>
      </c>
      <c r="E12" s="39">
        <v>1045000</v>
      </c>
      <c r="F12" s="39">
        <v>1207964</v>
      </c>
      <c r="G12" s="39"/>
      <c r="H12" s="39"/>
      <c r="I12" s="39"/>
      <c r="J12" s="39"/>
      <c r="K12" s="39"/>
      <c r="L12" s="252"/>
      <c r="M12" s="253">
        <f>SUM(D12,G12,J12)</f>
        <v>1045000</v>
      </c>
      <c r="N12" s="254">
        <f>SUM(E12,H12,K12)</f>
        <v>1045000</v>
      </c>
      <c r="O12" s="257">
        <f t="shared" si="0"/>
        <v>1207964</v>
      </c>
    </row>
    <row r="13" spans="1:15" s="258" customFormat="1" ht="13.5" thickBot="1">
      <c r="A13" s="142" t="s">
        <v>2</v>
      </c>
      <c r="B13" s="414" t="s">
        <v>10</v>
      </c>
      <c r="C13" s="415"/>
      <c r="D13" s="40">
        <f aca="true" t="shared" si="1" ref="D13:O13">SUM(D9:D12)</f>
        <v>4730648</v>
      </c>
      <c r="E13" s="40">
        <f t="shared" si="1"/>
        <v>4730648</v>
      </c>
      <c r="F13" s="40">
        <f t="shared" si="1"/>
        <v>4913013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0">
        <f t="shared" si="1"/>
        <v>0</v>
      </c>
      <c r="K13" s="40">
        <f t="shared" si="1"/>
        <v>0</v>
      </c>
      <c r="L13" s="40">
        <f t="shared" si="1"/>
        <v>0</v>
      </c>
      <c r="M13" s="40">
        <f t="shared" si="1"/>
        <v>4730648</v>
      </c>
      <c r="N13" s="40">
        <f t="shared" si="1"/>
        <v>4730648</v>
      </c>
      <c r="O13" s="40">
        <f t="shared" si="1"/>
        <v>4913013</v>
      </c>
    </row>
    <row r="14" spans="1:15" s="258" customFormat="1" ht="12.75">
      <c r="A14" s="172"/>
      <c r="B14" s="423" t="s">
        <v>56</v>
      </c>
      <c r="C14" s="424"/>
      <c r="D14" s="259">
        <v>1000</v>
      </c>
      <c r="E14" s="259">
        <v>1000</v>
      </c>
      <c r="F14" s="259">
        <v>2120</v>
      </c>
      <c r="G14" s="260"/>
      <c r="H14" s="260"/>
      <c r="I14" s="260"/>
      <c r="J14" s="260"/>
      <c r="K14" s="260"/>
      <c r="L14" s="261"/>
      <c r="M14" s="262">
        <f aca="true" t="shared" si="2" ref="M14:O19">SUM(D14,G14,J14)</f>
        <v>1000</v>
      </c>
      <c r="N14" s="263">
        <f t="shared" si="2"/>
        <v>1000</v>
      </c>
      <c r="O14" s="263">
        <f t="shared" si="2"/>
        <v>2120</v>
      </c>
    </row>
    <row r="15" spans="1:15" s="258" customFormat="1" ht="12.75">
      <c r="A15" s="149"/>
      <c r="B15" s="408" t="s">
        <v>57</v>
      </c>
      <c r="C15" s="409"/>
      <c r="D15" s="34">
        <v>1300</v>
      </c>
      <c r="E15" s="34">
        <v>1300</v>
      </c>
      <c r="F15" s="34"/>
      <c r="G15" s="264"/>
      <c r="H15" s="264"/>
      <c r="I15" s="264"/>
      <c r="J15" s="264"/>
      <c r="K15" s="264"/>
      <c r="L15" s="265"/>
      <c r="M15" s="266">
        <f t="shared" si="2"/>
        <v>1300</v>
      </c>
      <c r="N15" s="255">
        <f t="shared" si="2"/>
        <v>1300</v>
      </c>
      <c r="O15" s="255">
        <f t="shared" si="2"/>
        <v>0</v>
      </c>
    </row>
    <row r="16" spans="1:15" s="258" customFormat="1" ht="12.75">
      <c r="A16" s="267"/>
      <c r="B16" s="408" t="s">
        <v>59</v>
      </c>
      <c r="C16" s="409"/>
      <c r="D16" s="35">
        <f>145000+10000</f>
        <v>155000</v>
      </c>
      <c r="E16" s="35">
        <f>145000+10000</f>
        <v>155000</v>
      </c>
      <c r="F16" s="34">
        <v>152955</v>
      </c>
      <c r="G16" s="268"/>
      <c r="H16" s="268"/>
      <c r="I16" s="268"/>
      <c r="J16" s="268"/>
      <c r="K16" s="268"/>
      <c r="L16" s="269"/>
      <c r="M16" s="266">
        <f t="shared" si="2"/>
        <v>155000</v>
      </c>
      <c r="N16" s="255">
        <f t="shared" si="2"/>
        <v>155000</v>
      </c>
      <c r="O16" s="255">
        <f t="shared" si="2"/>
        <v>152955</v>
      </c>
    </row>
    <row r="17" spans="1:15" s="258" customFormat="1" ht="12.75">
      <c r="A17" s="267"/>
      <c r="B17" s="408" t="s">
        <v>58</v>
      </c>
      <c r="C17" s="409"/>
      <c r="D17" s="35">
        <v>10000</v>
      </c>
      <c r="E17" s="35">
        <v>10000</v>
      </c>
      <c r="F17" s="35">
        <v>67093</v>
      </c>
      <c r="G17" s="268"/>
      <c r="H17" s="268"/>
      <c r="I17" s="268">
        <v>4319</v>
      </c>
      <c r="J17" s="268"/>
      <c r="K17" s="268"/>
      <c r="L17" s="269"/>
      <c r="M17" s="266">
        <f t="shared" si="2"/>
        <v>10000</v>
      </c>
      <c r="N17" s="255">
        <f t="shared" si="2"/>
        <v>10000</v>
      </c>
      <c r="O17" s="255">
        <f t="shared" si="2"/>
        <v>71412</v>
      </c>
    </row>
    <row r="18" spans="1:15" s="258" customFormat="1" ht="12.75">
      <c r="A18" s="267"/>
      <c r="B18" s="408" t="s">
        <v>60</v>
      </c>
      <c r="C18" s="409"/>
      <c r="D18" s="35">
        <f>13000+35000+6900</f>
        <v>54900</v>
      </c>
      <c r="E18" s="35">
        <f>13000+35000+6900</f>
        <v>54900</v>
      </c>
      <c r="F18" s="35">
        <v>59236</v>
      </c>
      <c r="G18" s="268"/>
      <c r="H18" s="268"/>
      <c r="I18" s="268"/>
      <c r="J18" s="268"/>
      <c r="K18" s="268"/>
      <c r="L18" s="269"/>
      <c r="M18" s="266">
        <f t="shared" si="2"/>
        <v>54900</v>
      </c>
      <c r="N18" s="255">
        <f t="shared" si="2"/>
        <v>54900</v>
      </c>
      <c r="O18" s="255">
        <f t="shared" si="2"/>
        <v>59236</v>
      </c>
    </row>
    <row r="19" spans="1:15" s="258" customFormat="1" ht="13.5" thickBot="1">
      <c r="A19" s="267"/>
      <c r="B19" s="408" t="s">
        <v>61</v>
      </c>
      <c r="C19" s="409"/>
      <c r="D19" s="35">
        <v>15000</v>
      </c>
      <c r="E19" s="35">
        <v>15000</v>
      </c>
      <c r="F19" s="35">
        <v>117</v>
      </c>
      <c r="G19" s="268"/>
      <c r="H19" s="268"/>
      <c r="I19" s="268"/>
      <c r="J19" s="268"/>
      <c r="K19" s="268"/>
      <c r="L19" s="269"/>
      <c r="M19" s="270">
        <f t="shared" si="2"/>
        <v>15000</v>
      </c>
      <c r="N19" s="271">
        <f t="shared" si="2"/>
        <v>15000</v>
      </c>
      <c r="O19" s="271">
        <f t="shared" si="2"/>
        <v>117</v>
      </c>
    </row>
    <row r="20" spans="1:15" s="23" customFormat="1" ht="25.5" customHeight="1" thickBot="1">
      <c r="A20" s="272" t="s">
        <v>3</v>
      </c>
      <c r="B20" s="420" t="s">
        <v>62</v>
      </c>
      <c r="C20" s="418"/>
      <c r="D20" s="215">
        <f aca="true" t="shared" si="3" ref="D20:O20">SUM(D14:D19)</f>
        <v>237200</v>
      </c>
      <c r="E20" s="215">
        <f t="shared" si="3"/>
        <v>237200</v>
      </c>
      <c r="F20" s="215">
        <f t="shared" si="3"/>
        <v>281521</v>
      </c>
      <c r="G20" s="215">
        <f t="shared" si="3"/>
        <v>0</v>
      </c>
      <c r="H20" s="215">
        <f t="shared" si="3"/>
        <v>0</v>
      </c>
      <c r="I20" s="215">
        <f t="shared" si="3"/>
        <v>4319</v>
      </c>
      <c r="J20" s="215">
        <f t="shared" si="3"/>
        <v>0</v>
      </c>
      <c r="K20" s="215">
        <f t="shared" si="3"/>
        <v>0</v>
      </c>
      <c r="L20" s="215">
        <f t="shared" si="3"/>
        <v>0</v>
      </c>
      <c r="M20" s="112">
        <f t="shared" si="3"/>
        <v>237200</v>
      </c>
      <c r="N20" s="215">
        <f t="shared" si="3"/>
        <v>237200</v>
      </c>
      <c r="O20" s="215">
        <f t="shared" si="3"/>
        <v>285840</v>
      </c>
    </row>
    <row r="21" spans="1:15" s="23" customFormat="1" ht="29.25" customHeight="1" thickBot="1">
      <c r="A21" s="272" t="s">
        <v>6</v>
      </c>
      <c r="B21" s="418" t="s">
        <v>63</v>
      </c>
      <c r="C21" s="419"/>
      <c r="D21" s="273">
        <f aca="true" t="shared" si="4" ref="D21:O21">SUM(D13,D20)</f>
        <v>4967848</v>
      </c>
      <c r="E21" s="273">
        <f t="shared" si="4"/>
        <v>4967848</v>
      </c>
      <c r="F21" s="273">
        <f t="shared" si="4"/>
        <v>5194534</v>
      </c>
      <c r="G21" s="273">
        <f t="shared" si="4"/>
        <v>0</v>
      </c>
      <c r="H21" s="273">
        <f t="shared" si="4"/>
        <v>0</v>
      </c>
      <c r="I21" s="273">
        <f t="shared" si="4"/>
        <v>4319</v>
      </c>
      <c r="J21" s="273">
        <f t="shared" si="4"/>
        <v>0</v>
      </c>
      <c r="K21" s="273">
        <f t="shared" si="4"/>
        <v>0</v>
      </c>
      <c r="L21" s="273">
        <f t="shared" si="4"/>
        <v>0</v>
      </c>
      <c r="M21" s="274">
        <f t="shared" si="4"/>
        <v>4967848</v>
      </c>
      <c r="N21" s="273">
        <f t="shared" si="4"/>
        <v>4967848</v>
      </c>
      <c r="O21" s="273">
        <f t="shared" si="4"/>
        <v>5198853</v>
      </c>
    </row>
    <row r="22" spans="1:9" ht="12.75">
      <c r="A22" s="275"/>
      <c r="B22" s="276"/>
      <c r="C22" s="276"/>
      <c r="D22" s="277"/>
      <c r="E22" s="277"/>
      <c r="F22" s="277"/>
      <c r="G22" s="278"/>
      <c r="H22" s="278"/>
      <c r="I22" s="278"/>
    </row>
  </sheetData>
  <sheetProtection/>
  <mergeCells count="23">
    <mergeCell ref="B21:C21"/>
    <mergeCell ref="B19:C19"/>
    <mergeCell ref="B15:C15"/>
    <mergeCell ref="B20:C20"/>
    <mergeCell ref="G5:I6"/>
    <mergeCell ref="G1:O1"/>
    <mergeCell ref="B11:C11"/>
    <mergeCell ref="B14:C14"/>
    <mergeCell ref="A1:C1"/>
    <mergeCell ref="A5:C7"/>
    <mergeCell ref="D5:F6"/>
    <mergeCell ref="B13:C13"/>
    <mergeCell ref="J4:O4"/>
    <mergeCell ref="A2:O2"/>
    <mergeCell ref="B12:C12"/>
    <mergeCell ref="J5:L6"/>
    <mergeCell ref="M5:O6"/>
    <mergeCell ref="B18:C18"/>
    <mergeCell ref="B9:C9"/>
    <mergeCell ref="B10:C10"/>
    <mergeCell ref="B17:C17"/>
    <mergeCell ref="B16:C16"/>
    <mergeCell ref="A8:C8"/>
  </mergeCells>
  <printOptions/>
  <pageMargins left="0.8267716535433072" right="0.35433070866141736" top="0.35433070866141736" bottom="0.3937007874015748" header="0.15748031496062992" footer="0.275590551181102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20"/>
  <sheetViews>
    <sheetView zoomScalePageLayoutView="0" workbookViewId="0" topLeftCell="D1">
      <selection activeCell="X11" sqref="X11"/>
    </sheetView>
  </sheetViews>
  <sheetFormatPr defaultColWidth="9.00390625" defaultRowHeight="12.75"/>
  <cols>
    <col min="1" max="1" width="3.625" style="279" customWidth="1"/>
    <col min="2" max="2" width="3.25390625" style="15" customWidth="1"/>
    <col min="3" max="3" width="19.375" style="15" customWidth="1"/>
    <col min="4" max="6" width="9.75390625" style="71" customWidth="1"/>
    <col min="7" max="14" width="9.75390625" style="15" customWidth="1"/>
    <col min="15" max="15" width="9.75390625" style="71" customWidth="1"/>
    <col min="16" max="16" width="9.125" style="71" customWidth="1"/>
    <col min="17" max="16384" width="9.125" style="15" customWidth="1"/>
  </cols>
  <sheetData>
    <row r="1" spans="1:15" ht="25.5" customHeight="1">
      <c r="A1" s="425"/>
      <c r="B1" s="425"/>
      <c r="C1" s="425"/>
      <c r="D1" s="240"/>
      <c r="E1" s="240"/>
      <c r="F1" s="240"/>
      <c r="G1" s="421" t="s">
        <v>25</v>
      </c>
      <c r="H1" s="421"/>
      <c r="I1" s="421"/>
      <c r="J1" s="421"/>
      <c r="K1" s="421"/>
      <c r="L1" s="421"/>
      <c r="M1" s="421"/>
      <c r="N1" s="421"/>
      <c r="O1" s="421"/>
    </row>
    <row r="2" spans="1:15" ht="33" customHeight="1">
      <c r="A2" s="365" t="s">
        <v>64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spans="1:9" ht="25.5" customHeight="1">
      <c r="A3" s="240"/>
      <c r="B3" s="240"/>
      <c r="C3" s="240"/>
      <c r="D3" s="241"/>
      <c r="E3" s="241"/>
      <c r="F3" s="241"/>
      <c r="G3" s="240"/>
      <c r="H3" s="240"/>
      <c r="I3" s="240"/>
    </row>
    <row r="4" spans="1:15" ht="17.25" customHeight="1" thickBot="1">
      <c r="A4" s="240"/>
      <c r="B4" s="240"/>
      <c r="C4" s="240"/>
      <c r="D4" s="241"/>
      <c r="E4" s="241"/>
      <c r="F4" s="241"/>
      <c r="G4" s="240"/>
      <c r="H4" s="240"/>
      <c r="I4" s="240"/>
      <c r="J4" s="416" t="s">
        <v>0</v>
      </c>
      <c r="K4" s="416"/>
      <c r="L4" s="416"/>
      <c r="M4" s="416"/>
      <c r="N4" s="416"/>
      <c r="O4" s="416"/>
    </row>
    <row r="5" spans="1:15" ht="26.25" customHeight="1">
      <c r="A5" s="369" t="s">
        <v>1</v>
      </c>
      <c r="B5" s="370"/>
      <c r="C5" s="371"/>
      <c r="D5" s="378" t="s">
        <v>20</v>
      </c>
      <c r="E5" s="379"/>
      <c r="F5" s="380"/>
      <c r="G5" s="378" t="s">
        <v>181</v>
      </c>
      <c r="H5" s="379"/>
      <c r="I5" s="380"/>
      <c r="J5" s="378" t="s">
        <v>182</v>
      </c>
      <c r="K5" s="379"/>
      <c r="L5" s="380"/>
      <c r="M5" s="384" t="s">
        <v>21</v>
      </c>
      <c r="N5" s="385"/>
      <c r="O5" s="386"/>
    </row>
    <row r="6" spans="1:15" ht="64.5" customHeight="1" thickBot="1">
      <c r="A6" s="372"/>
      <c r="B6" s="373"/>
      <c r="C6" s="374"/>
      <c r="D6" s="381"/>
      <c r="E6" s="382"/>
      <c r="F6" s="383"/>
      <c r="G6" s="381"/>
      <c r="H6" s="382"/>
      <c r="I6" s="383"/>
      <c r="J6" s="381"/>
      <c r="K6" s="382"/>
      <c r="L6" s="383"/>
      <c r="M6" s="387"/>
      <c r="N6" s="388"/>
      <c r="O6" s="389"/>
    </row>
    <row r="7" spans="1:15" ht="20.25" customHeight="1" thickBot="1">
      <c r="A7" s="375"/>
      <c r="B7" s="376"/>
      <c r="C7" s="377"/>
      <c r="D7" s="95" t="s">
        <v>133</v>
      </c>
      <c r="E7" s="95" t="s">
        <v>107</v>
      </c>
      <c r="F7" s="95" t="s">
        <v>130</v>
      </c>
      <c r="G7" s="95" t="s">
        <v>133</v>
      </c>
      <c r="H7" s="95" t="s">
        <v>107</v>
      </c>
      <c r="I7" s="95" t="s">
        <v>130</v>
      </c>
      <c r="J7" s="95" t="s">
        <v>133</v>
      </c>
      <c r="K7" s="95" t="s">
        <v>107</v>
      </c>
      <c r="L7" s="95" t="s">
        <v>130</v>
      </c>
      <c r="M7" s="95" t="s">
        <v>133</v>
      </c>
      <c r="N7" s="95" t="s">
        <v>107</v>
      </c>
      <c r="O7" s="95" t="s">
        <v>130</v>
      </c>
    </row>
    <row r="8" spans="1:15" ht="13.5" customHeight="1" thickBot="1">
      <c r="A8" s="366">
        <v>1</v>
      </c>
      <c r="B8" s="367"/>
      <c r="C8" s="368"/>
      <c r="D8" s="245">
        <v>2</v>
      </c>
      <c r="E8" s="123">
        <v>3</v>
      </c>
      <c r="F8" s="246">
        <v>4</v>
      </c>
      <c r="G8" s="245">
        <v>5</v>
      </c>
      <c r="H8" s="123">
        <v>6</v>
      </c>
      <c r="I8" s="246">
        <v>7</v>
      </c>
      <c r="J8" s="245">
        <v>8</v>
      </c>
      <c r="K8" s="123">
        <v>9</v>
      </c>
      <c r="L8" s="246">
        <v>10</v>
      </c>
      <c r="M8" s="245">
        <v>11</v>
      </c>
      <c r="N8" s="123">
        <v>12</v>
      </c>
      <c r="O8" s="68">
        <v>13</v>
      </c>
    </row>
    <row r="9" spans="1:15" ht="27.75" customHeight="1">
      <c r="A9" s="36"/>
      <c r="B9" s="427" t="s">
        <v>7</v>
      </c>
      <c r="C9" s="428"/>
      <c r="D9" s="35">
        <v>10</v>
      </c>
      <c r="E9" s="35">
        <v>10</v>
      </c>
      <c r="F9" s="35">
        <v>21</v>
      </c>
      <c r="G9" s="35"/>
      <c r="H9" s="35"/>
      <c r="I9" s="35">
        <v>150</v>
      </c>
      <c r="J9" s="35"/>
      <c r="K9" s="35"/>
      <c r="L9" s="35"/>
      <c r="M9" s="35">
        <f aca="true" t="shared" si="0" ref="M9:O10">SUM(D9,G9,J9)</f>
        <v>10</v>
      </c>
      <c r="N9" s="35">
        <f t="shared" si="0"/>
        <v>10</v>
      </c>
      <c r="O9" s="35">
        <f t="shared" si="0"/>
        <v>171</v>
      </c>
    </row>
    <row r="10" spans="1:15" ht="12.75">
      <c r="A10" s="37"/>
      <c r="B10" s="431" t="s">
        <v>65</v>
      </c>
      <c r="C10" s="432"/>
      <c r="D10" s="34">
        <f>52645+100</f>
        <v>52745</v>
      </c>
      <c r="E10" s="34">
        <f>52645+100</f>
        <v>52745</v>
      </c>
      <c r="F10" s="34">
        <f>20+31964</f>
        <v>31984</v>
      </c>
      <c r="G10" s="34">
        <v>104194</v>
      </c>
      <c r="H10" s="34">
        <v>104194</v>
      </c>
      <c r="I10" s="34">
        <v>126700</v>
      </c>
      <c r="J10" s="34"/>
      <c r="K10" s="35"/>
      <c r="L10" s="35">
        <v>27</v>
      </c>
      <c r="M10" s="35">
        <f t="shared" si="0"/>
        <v>156939</v>
      </c>
      <c r="N10" s="35">
        <f t="shared" si="0"/>
        <v>156939</v>
      </c>
      <c r="O10" s="35">
        <f t="shared" si="0"/>
        <v>158711</v>
      </c>
    </row>
    <row r="11" spans="1:15" ht="24" customHeight="1">
      <c r="A11" s="38"/>
      <c r="B11" s="408" t="s">
        <v>66</v>
      </c>
      <c r="C11" s="426"/>
      <c r="D11" s="34">
        <v>19316</v>
      </c>
      <c r="E11" s="34">
        <v>19316</v>
      </c>
      <c r="F11" s="34">
        <f>24096+389</f>
        <v>24485</v>
      </c>
      <c r="G11" s="34">
        <v>201506</v>
      </c>
      <c r="H11" s="34">
        <f>240876+14313+18702</f>
        <v>273891</v>
      </c>
      <c r="I11" s="34">
        <v>289436</v>
      </c>
      <c r="J11" s="34"/>
      <c r="K11" s="35"/>
      <c r="L11" s="35"/>
      <c r="M11" s="35">
        <f aca="true" t="shared" si="1" ref="M11:M18">SUM(D11,G11,J11)</f>
        <v>220822</v>
      </c>
      <c r="N11" s="35">
        <f aca="true" t="shared" si="2" ref="N11:N18">SUM(E11,H11,K11)</f>
        <v>293207</v>
      </c>
      <c r="O11" s="35">
        <f aca="true" t="shared" si="3" ref="O11:O18">SUM(F11,I11,L11)</f>
        <v>313921</v>
      </c>
    </row>
    <row r="12" spans="1:15" ht="12.75">
      <c r="A12" s="38"/>
      <c r="B12" s="408" t="s">
        <v>67</v>
      </c>
      <c r="C12" s="426"/>
      <c r="D12" s="34">
        <f>3543655+300000</f>
        <v>3843655</v>
      </c>
      <c r="E12" s="34">
        <f>3543655+300000</f>
        <v>3843655</v>
      </c>
      <c r="F12" s="34">
        <f>4063613+8557+4004</f>
        <v>4076174</v>
      </c>
      <c r="G12" s="34">
        <v>189</v>
      </c>
      <c r="H12" s="34">
        <v>189</v>
      </c>
      <c r="I12" s="34">
        <v>878</v>
      </c>
      <c r="J12" s="34"/>
      <c r="K12" s="35"/>
      <c r="L12" s="35">
        <v>142</v>
      </c>
      <c r="M12" s="35">
        <f t="shared" si="1"/>
        <v>3843844</v>
      </c>
      <c r="N12" s="35">
        <f t="shared" si="2"/>
        <v>3843844</v>
      </c>
      <c r="O12" s="35">
        <f t="shared" si="3"/>
        <v>4077194</v>
      </c>
    </row>
    <row r="13" spans="1:15" ht="12.75">
      <c r="A13" s="38"/>
      <c r="B13" s="408" t="s">
        <v>68</v>
      </c>
      <c r="C13" s="426"/>
      <c r="D13" s="34">
        <v>40669</v>
      </c>
      <c r="E13" s="34">
        <v>40669</v>
      </c>
      <c r="F13" s="34">
        <v>48315</v>
      </c>
      <c r="G13" s="34">
        <v>0</v>
      </c>
      <c r="H13" s="34">
        <v>0</v>
      </c>
      <c r="I13" s="34"/>
      <c r="J13" s="34">
        <v>53281</v>
      </c>
      <c r="K13" s="34">
        <f>53281+281</f>
        <v>53562</v>
      </c>
      <c r="L13" s="35">
        <v>69463</v>
      </c>
      <c r="M13" s="35">
        <f t="shared" si="1"/>
        <v>93950</v>
      </c>
      <c r="N13" s="35">
        <f t="shared" si="2"/>
        <v>94231</v>
      </c>
      <c r="O13" s="35">
        <f t="shared" si="3"/>
        <v>117778</v>
      </c>
    </row>
    <row r="14" spans="1:15" ht="23.25" customHeight="1">
      <c r="A14" s="38"/>
      <c r="B14" s="408" t="s">
        <v>69</v>
      </c>
      <c r="C14" s="409"/>
      <c r="D14" s="34">
        <f>973735+10981+81000</f>
        <v>1065716</v>
      </c>
      <c r="E14" s="34">
        <f>973735+10981+81000</f>
        <v>1065716</v>
      </c>
      <c r="F14" s="39">
        <v>965267</v>
      </c>
      <c r="G14" s="34">
        <v>53883</v>
      </c>
      <c r="H14" s="34">
        <f>64513+3865+5049</f>
        <v>73427</v>
      </c>
      <c r="I14" s="34">
        <v>58876</v>
      </c>
      <c r="J14" s="34">
        <v>25825</v>
      </c>
      <c r="K14" s="34">
        <f>25825+76</f>
        <v>25901</v>
      </c>
      <c r="L14" s="35">
        <f>2165+13843</f>
        <v>16008</v>
      </c>
      <c r="M14" s="35">
        <f t="shared" si="1"/>
        <v>1145424</v>
      </c>
      <c r="N14" s="35">
        <f t="shared" si="2"/>
        <v>1165044</v>
      </c>
      <c r="O14" s="35">
        <f t="shared" si="3"/>
        <v>1040151</v>
      </c>
    </row>
    <row r="15" spans="1:15" ht="23.25" customHeight="1">
      <c r="A15" s="38"/>
      <c r="B15" s="427" t="s">
        <v>72</v>
      </c>
      <c r="C15" s="428"/>
      <c r="D15" s="34"/>
      <c r="E15" s="34"/>
      <c r="F15" s="34"/>
      <c r="G15" s="34">
        <v>1000</v>
      </c>
      <c r="H15" s="34">
        <v>1000</v>
      </c>
      <c r="I15" s="34">
        <v>76</v>
      </c>
      <c r="J15" s="34"/>
      <c r="K15" s="35"/>
      <c r="L15" s="35"/>
      <c r="M15" s="35">
        <f t="shared" si="1"/>
        <v>1000</v>
      </c>
      <c r="N15" s="35">
        <f t="shared" si="2"/>
        <v>1000</v>
      </c>
      <c r="O15" s="35">
        <f t="shared" si="3"/>
        <v>76</v>
      </c>
    </row>
    <row r="16" spans="1:15" ht="12.75">
      <c r="A16" s="38"/>
      <c r="B16" s="408" t="s">
        <v>73</v>
      </c>
      <c r="C16" s="426"/>
      <c r="D16" s="34">
        <v>20000</v>
      </c>
      <c r="E16" s="34">
        <v>20000</v>
      </c>
      <c r="F16" s="34">
        <v>33267</v>
      </c>
      <c r="G16" s="34">
        <v>800</v>
      </c>
      <c r="H16" s="34">
        <v>800</v>
      </c>
      <c r="I16" s="34">
        <v>99</v>
      </c>
      <c r="J16" s="34"/>
      <c r="K16" s="35"/>
      <c r="L16" s="35">
        <v>1</v>
      </c>
      <c r="M16" s="35">
        <f t="shared" si="1"/>
        <v>20800</v>
      </c>
      <c r="N16" s="35">
        <f t="shared" si="2"/>
        <v>20800</v>
      </c>
      <c r="O16" s="35">
        <f t="shared" si="3"/>
        <v>33367</v>
      </c>
    </row>
    <row r="17" spans="1:15" ht="24.75" customHeight="1">
      <c r="A17" s="38"/>
      <c r="B17" s="408" t="s">
        <v>74</v>
      </c>
      <c r="C17" s="409"/>
      <c r="D17" s="39"/>
      <c r="E17" s="39"/>
      <c r="F17" s="39">
        <v>73</v>
      </c>
      <c r="G17" s="34">
        <v>0</v>
      </c>
      <c r="H17" s="34">
        <v>0</v>
      </c>
      <c r="I17" s="39">
        <v>95</v>
      </c>
      <c r="J17" s="39"/>
      <c r="K17" s="51"/>
      <c r="L17" s="51"/>
      <c r="M17" s="35">
        <f t="shared" si="1"/>
        <v>0</v>
      </c>
      <c r="N17" s="35">
        <f t="shared" si="2"/>
        <v>0</v>
      </c>
      <c r="O17" s="35">
        <f t="shared" si="3"/>
        <v>168</v>
      </c>
    </row>
    <row r="18" spans="1:15" ht="13.5" thickBot="1">
      <c r="A18" s="38"/>
      <c r="B18" s="408" t="s">
        <v>34</v>
      </c>
      <c r="C18" s="426"/>
      <c r="D18" s="39">
        <v>5000</v>
      </c>
      <c r="E18" s="39">
        <f>2000+3000+681775</f>
        <v>686775</v>
      </c>
      <c r="F18" s="39">
        <f>681775+8078+2690+304+189+2986+71390+7053+1-8557-4004</f>
        <v>761905</v>
      </c>
      <c r="G18" s="34">
        <v>105478</v>
      </c>
      <c r="H18" s="34">
        <v>105478</v>
      </c>
      <c r="I18" s="39">
        <f>86760+237153</f>
        <v>323913</v>
      </c>
      <c r="J18" s="39"/>
      <c r="K18" s="56"/>
      <c r="L18" s="56">
        <f>290+844+65489</f>
        <v>66623</v>
      </c>
      <c r="M18" s="35">
        <f t="shared" si="1"/>
        <v>110478</v>
      </c>
      <c r="N18" s="35">
        <f t="shared" si="2"/>
        <v>792253</v>
      </c>
      <c r="O18" s="51">
        <f t="shared" si="3"/>
        <v>1152441</v>
      </c>
    </row>
    <row r="19" spans="1:15" s="70" customFormat="1" ht="27.75" customHeight="1" thickBot="1">
      <c r="A19" s="69" t="s">
        <v>29</v>
      </c>
      <c r="B19" s="429" t="s">
        <v>36</v>
      </c>
      <c r="C19" s="430"/>
      <c r="D19" s="40">
        <f aca="true" t="shared" si="4" ref="D19:N19">SUM(D9:D18)</f>
        <v>5047111</v>
      </c>
      <c r="E19" s="40">
        <f t="shared" si="4"/>
        <v>5728886</v>
      </c>
      <c r="F19" s="40">
        <f>SUM(F9:F18)</f>
        <v>5941491</v>
      </c>
      <c r="G19" s="40">
        <f t="shared" si="4"/>
        <v>467050</v>
      </c>
      <c r="H19" s="40">
        <f t="shared" si="4"/>
        <v>558979</v>
      </c>
      <c r="I19" s="40">
        <f>SUM(I9:I18)</f>
        <v>800223</v>
      </c>
      <c r="J19" s="40">
        <f t="shared" si="4"/>
        <v>79106</v>
      </c>
      <c r="K19" s="55">
        <f t="shared" si="4"/>
        <v>79463</v>
      </c>
      <c r="L19" s="40">
        <f>SUM(L9:L18)</f>
        <v>152264</v>
      </c>
      <c r="M19" s="40">
        <f t="shared" si="4"/>
        <v>5593267</v>
      </c>
      <c r="N19" s="40">
        <f t="shared" si="4"/>
        <v>6367328</v>
      </c>
      <c r="O19" s="16">
        <f>SUM(O9:O18)</f>
        <v>6893978</v>
      </c>
    </row>
    <row r="20" spans="2:14" ht="12.75">
      <c r="B20" s="71"/>
      <c r="C20" s="71"/>
      <c r="G20" s="71"/>
      <c r="H20" s="71"/>
      <c r="I20" s="71"/>
      <c r="J20" s="71"/>
      <c r="K20" s="71"/>
      <c r="L20" s="71"/>
      <c r="M20" s="71"/>
      <c r="N20" s="71"/>
    </row>
  </sheetData>
  <sheetProtection/>
  <mergeCells count="21">
    <mergeCell ref="B16:C16"/>
    <mergeCell ref="B13:C13"/>
    <mergeCell ref="B18:C18"/>
    <mergeCell ref="A2:O2"/>
    <mergeCell ref="B15:C15"/>
    <mergeCell ref="B14:C14"/>
    <mergeCell ref="B17:C17"/>
    <mergeCell ref="B19:C19"/>
    <mergeCell ref="B9:C9"/>
    <mergeCell ref="B10:C10"/>
    <mergeCell ref="B11:C11"/>
    <mergeCell ref="B12:C12"/>
    <mergeCell ref="G1:O1"/>
    <mergeCell ref="J4:O4"/>
    <mergeCell ref="A1:C1"/>
    <mergeCell ref="A5:C7"/>
    <mergeCell ref="A8:C8"/>
    <mergeCell ref="D5:F6"/>
    <mergeCell ref="G5:I6"/>
    <mergeCell ref="M5:O6"/>
    <mergeCell ref="J5:L6"/>
  </mergeCells>
  <printOptions/>
  <pageMargins left="0.5511811023622047" right="0.35433070866141736" top="0.4330708661417323" bottom="0.3937007874015748" header="0.15748031496062992" footer="0.275590551181102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20"/>
  <sheetViews>
    <sheetView zoomScalePageLayoutView="0" workbookViewId="0" topLeftCell="A7">
      <selection activeCell="G4" sqref="G4:L6"/>
    </sheetView>
  </sheetViews>
  <sheetFormatPr defaultColWidth="9.00390625" defaultRowHeight="12.75"/>
  <cols>
    <col min="1" max="1" width="3.125" style="2" customWidth="1"/>
    <col min="2" max="2" width="3.00390625" style="2" customWidth="1"/>
    <col min="3" max="3" width="21.00390625" style="2" customWidth="1"/>
    <col min="4" max="4" width="9.375" style="2" bestFit="1" customWidth="1"/>
    <col min="5" max="5" width="8.875" style="2" customWidth="1"/>
    <col min="6" max="6" width="8.875" style="2" bestFit="1" customWidth="1"/>
    <col min="7" max="7" width="10.375" style="2" customWidth="1"/>
    <col min="8" max="8" width="10.00390625" style="2" customWidth="1"/>
    <col min="9" max="9" width="8.875" style="2" customWidth="1"/>
    <col min="10" max="10" width="9.00390625" style="2" bestFit="1" customWidth="1"/>
    <col min="11" max="12" width="8.875" style="2" customWidth="1"/>
    <col min="13" max="13" width="11.125" style="2" bestFit="1" customWidth="1"/>
    <col min="14" max="15" width="8.875" style="2" customWidth="1"/>
    <col min="16" max="16384" width="9.125" style="2" customWidth="1"/>
  </cols>
  <sheetData>
    <row r="1" spans="10:15" ht="12.75">
      <c r="J1" s="444" t="s">
        <v>26</v>
      </c>
      <c r="K1" s="444"/>
      <c r="L1" s="444"/>
      <c r="M1" s="444"/>
      <c r="N1" s="444"/>
      <c r="O1" s="444"/>
    </row>
    <row r="2" spans="1:15" ht="29.25" customHeight="1">
      <c r="A2" s="443" t="s">
        <v>75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445" t="s">
        <v>0</v>
      </c>
      <c r="K3" s="445"/>
      <c r="L3" s="445"/>
      <c r="M3" s="445"/>
      <c r="N3" s="445"/>
      <c r="O3" s="445"/>
    </row>
    <row r="4" spans="1:15" ht="11.25" customHeight="1">
      <c r="A4" s="449" t="s">
        <v>1</v>
      </c>
      <c r="B4" s="450"/>
      <c r="C4" s="451"/>
      <c r="D4" s="458" t="s">
        <v>20</v>
      </c>
      <c r="E4" s="459"/>
      <c r="F4" s="460"/>
      <c r="G4" s="378" t="s">
        <v>181</v>
      </c>
      <c r="H4" s="379"/>
      <c r="I4" s="380"/>
      <c r="J4" s="378" t="s">
        <v>182</v>
      </c>
      <c r="K4" s="379"/>
      <c r="L4" s="380"/>
      <c r="M4" s="433" t="s">
        <v>21</v>
      </c>
      <c r="N4" s="434"/>
      <c r="O4" s="435"/>
    </row>
    <row r="5" spans="1:15" ht="47.25" customHeight="1" thickBot="1">
      <c r="A5" s="452"/>
      <c r="B5" s="453"/>
      <c r="C5" s="454"/>
      <c r="D5" s="461"/>
      <c r="E5" s="462"/>
      <c r="F5" s="463"/>
      <c r="G5" s="381"/>
      <c r="H5" s="382"/>
      <c r="I5" s="383"/>
      <c r="J5" s="381"/>
      <c r="K5" s="382"/>
      <c r="L5" s="383"/>
      <c r="M5" s="436"/>
      <c r="N5" s="437"/>
      <c r="O5" s="438"/>
    </row>
    <row r="6" spans="1:15" ht="16.5" customHeight="1" thickBot="1">
      <c r="A6" s="455"/>
      <c r="B6" s="456"/>
      <c r="C6" s="457"/>
      <c r="D6" s="30" t="s">
        <v>133</v>
      </c>
      <c r="E6" s="30" t="s">
        <v>107</v>
      </c>
      <c r="F6" s="30" t="s">
        <v>130</v>
      </c>
      <c r="G6" s="30" t="s">
        <v>133</v>
      </c>
      <c r="H6" s="30" t="s">
        <v>107</v>
      </c>
      <c r="I6" s="30" t="s">
        <v>130</v>
      </c>
      <c r="J6" s="30" t="s">
        <v>133</v>
      </c>
      <c r="K6" s="30" t="s">
        <v>107</v>
      </c>
      <c r="L6" s="30" t="s">
        <v>130</v>
      </c>
      <c r="M6" s="30" t="s">
        <v>133</v>
      </c>
      <c r="N6" s="30" t="s">
        <v>107</v>
      </c>
      <c r="O6" s="30" t="s">
        <v>130</v>
      </c>
    </row>
    <row r="7" spans="1:15" ht="13.5" customHeight="1" thickBot="1">
      <c r="A7" s="446">
        <v>1</v>
      </c>
      <c r="B7" s="447"/>
      <c r="C7" s="448"/>
      <c r="D7" s="64">
        <v>2</v>
      </c>
      <c r="E7" s="29">
        <v>3</v>
      </c>
      <c r="F7" s="62">
        <v>4</v>
      </c>
      <c r="G7" s="64">
        <v>5</v>
      </c>
      <c r="H7" s="29">
        <v>6</v>
      </c>
      <c r="I7" s="62">
        <v>7</v>
      </c>
      <c r="J7" s="64">
        <v>8</v>
      </c>
      <c r="K7" s="29">
        <v>9</v>
      </c>
      <c r="L7" s="62">
        <v>10</v>
      </c>
      <c r="M7" s="64">
        <v>11</v>
      </c>
      <c r="N7" s="29">
        <v>12</v>
      </c>
      <c r="O7" s="68">
        <v>13</v>
      </c>
    </row>
    <row r="8" spans="1:15" s="10" customFormat="1" ht="36" customHeight="1">
      <c r="A8" s="73"/>
      <c r="B8" s="439" t="s">
        <v>122</v>
      </c>
      <c r="C8" s="440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72"/>
    </row>
    <row r="9" spans="1:15" s="10" customFormat="1" ht="39.75" customHeight="1">
      <c r="A9" s="74"/>
      <c r="B9" s="74"/>
      <c r="C9" s="75" t="s">
        <v>134</v>
      </c>
      <c r="D9" s="235">
        <v>0</v>
      </c>
      <c r="E9" s="235">
        <v>313</v>
      </c>
      <c r="F9" s="235">
        <v>313</v>
      </c>
      <c r="G9" s="218"/>
      <c r="H9" s="218"/>
      <c r="I9" s="218"/>
      <c r="J9" s="218"/>
      <c r="K9" s="218"/>
      <c r="L9" s="218"/>
      <c r="M9" s="218">
        <f>SUM(D9,G9,J9)</f>
        <v>0</v>
      </c>
      <c r="N9" s="218">
        <f>SUM(E9,H9,K9)</f>
        <v>313</v>
      </c>
      <c r="O9" s="218">
        <f>SUM(F9,I9,L9)</f>
        <v>313</v>
      </c>
    </row>
    <row r="10" spans="1:15" s="10" customFormat="1" ht="35.25" customHeight="1">
      <c r="A10" s="32"/>
      <c r="B10" s="441" t="s">
        <v>76</v>
      </c>
      <c r="C10" s="442"/>
      <c r="D10" s="136"/>
      <c r="E10" s="136"/>
      <c r="F10" s="136"/>
      <c r="G10" s="219"/>
      <c r="H10" s="219"/>
      <c r="I10" s="219"/>
      <c r="J10" s="219"/>
      <c r="K10" s="219"/>
      <c r="L10" s="220"/>
      <c r="M10" s="221">
        <f aca="true" t="shared" si="0" ref="M10:M19">SUM(D10,G10,J10)</f>
        <v>0</v>
      </c>
      <c r="N10" s="221"/>
      <c r="O10" s="221"/>
    </row>
    <row r="11" spans="1:15" s="10" customFormat="1" ht="29.25" customHeight="1">
      <c r="A11" s="32"/>
      <c r="B11" s="74"/>
      <c r="C11" s="75" t="s">
        <v>135</v>
      </c>
      <c r="D11" s="235">
        <v>53753</v>
      </c>
      <c r="E11" s="235">
        <v>53753</v>
      </c>
      <c r="F11" s="235">
        <v>0</v>
      </c>
      <c r="G11" s="222"/>
      <c r="H11" s="222"/>
      <c r="I11" s="222"/>
      <c r="J11" s="222"/>
      <c r="K11" s="222"/>
      <c r="L11" s="223"/>
      <c r="M11" s="224">
        <f t="shared" si="0"/>
        <v>53753</v>
      </c>
      <c r="N11" s="224">
        <f aca="true" t="shared" si="1" ref="N11:O19">SUM(E11,H11,K11)</f>
        <v>53753</v>
      </c>
      <c r="O11" s="224">
        <f t="shared" si="1"/>
        <v>0</v>
      </c>
    </row>
    <row r="12" spans="1:15" s="10" customFormat="1" ht="24">
      <c r="A12" s="32"/>
      <c r="B12" s="32"/>
      <c r="C12" s="76" t="s">
        <v>136</v>
      </c>
      <c r="D12" s="102">
        <v>510000</v>
      </c>
      <c r="E12" s="102">
        <f>510000-270977</f>
        <v>239023</v>
      </c>
      <c r="F12" s="102">
        <v>0</v>
      </c>
      <c r="G12" s="114"/>
      <c r="H12" s="114"/>
      <c r="I12" s="114"/>
      <c r="J12" s="114"/>
      <c r="K12" s="114"/>
      <c r="L12" s="225"/>
      <c r="M12" s="226">
        <f t="shared" si="0"/>
        <v>510000</v>
      </c>
      <c r="N12" s="226">
        <f t="shared" si="1"/>
        <v>239023</v>
      </c>
      <c r="O12" s="226">
        <f t="shared" si="1"/>
        <v>0</v>
      </c>
    </row>
    <row r="13" spans="1:15" s="10" customFormat="1" ht="36">
      <c r="A13" s="32"/>
      <c r="B13" s="32"/>
      <c r="C13" s="76" t="s">
        <v>137</v>
      </c>
      <c r="D13" s="102">
        <v>798000</v>
      </c>
      <c r="E13" s="102">
        <v>798000</v>
      </c>
      <c r="F13" s="102">
        <v>798000</v>
      </c>
      <c r="G13" s="114"/>
      <c r="H13" s="114"/>
      <c r="I13" s="114"/>
      <c r="J13" s="114"/>
      <c r="K13" s="114"/>
      <c r="L13" s="225"/>
      <c r="M13" s="226">
        <f t="shared" si="0"/>
        <v>798000</v>
      </c>
      <c r="N13" s="226">
        <f t="shared" si="1"/>
        <v>798000</v>
      </c>
      <c r="O13" s="226">
        <f t="shared" si="1"/>
        <v>798000</v>
      </c>
    </row>
    <row r="14" spans="1:15" ht="37.5" customHeight="1">
      <c r="A14" s="82"/>
      <c r="B14" s="441" t="s">
        <v>33</v>
      </c>
      <c r="C14" s="442"/>
      <c r="D14" s="236"/>
      <c r="E14" s="236"/>
      <c r="F14" s="236"/>
      <c r="G14" s="59"/>
      <c r="H14" s="59"/>
      <c r="I14" s="59"/>
      <c r="J14" s="59"/>
      <c r="K14" s="59"/>
      <c r="L14" s="227"/>
      <c r="M14" s="221">
        <f t="shared" si="0"/>
        <v>0</v>
      </c>
      <c r="N14" s="221">
        <f t="shared" si="1"/>
        <v>0</v>
      </c>
      <c r="O14" s="221">
        <f t="shared" si="1"/>
        <v>0</v>
      </c>
    </row>
    <row r="15" spans="1:15" ht="30" customHeight="1">
      <c r="A15" s="80"/>
      <c r="B15" s="80"/>
      <c r="C15" s="81" t="s">
        <v>138</v>
      </c>
      <c r="D15" s="237">
        <v>230000</v>
      </c>
      <c r="E15" s="237">
        <f>230000-99366</f>
        <v>130634</v>
      </c>
      <c r="F15" s="237">
        <v>49129</v>
      </c>
      <c r="G15" s="13"/>
      <c r="H15" s="13"/>
      <c r="I15" s="13"/>
      <c r="J15" s="33"/>
      <c r="K15" s="33"/>
      <c r="L15" s="228"/>
      <c r="M15" s="224">
        <f t="shared" si="0"/>
        <v>230000</v>
      </c>
      <c r="N15" s="224">
        <f t="shared" si="1"/>
        <v>130634</v>
      </c>
      <c r="O15" s="224">
        <f t="shared" si="1"/>
        <v>49129</v>
      </c>
    </row>
    <row r="16" spans="1:15" ht="18.75" customHeight="1">
      <c r="A16" s="25"/>
      <c r="B16" s="25"/>
      <c r="C16" s="77" t="s">
        <v>139</v>
      </c>
      <c r="D16" s="238">
        <v>2000</v>
      </c>
      <c r="E16" s="238">
        <v>2000</v>
      </c>
      <c r="F16" s="238">
        <v>0</v>
      </c>
      <c r="G16" s="229"/>
      <c r="H16" s="229"/>
      <c r="I16" s="229"/>
      <c r="J16" s="28"/>
      <c r="K16" s="28"/>
      <c r="L16" s="230"/>
      <c r="M16" s="226">
        <f t="shared" si="0"/>
        <v>2000</v>
      </c>
      <c r="N16" s="226">
        <f t="shared" si="1"/>
        <v>2000</v>
      </c>
      <c r="O16" s="226">
        <f t="shared" si="1"/>
        <v>0</v>
      </c>
    </row>
    <row r="17" spans="1:15" ht="24">
      <c r="A17" s="25"/>
      <c r="B17" s="79"/>
      <c r="C17" s="77" t="s">
        <v>140</v>
      </c>
      <c r="D17" s="238">
        <v>1200000</v>
      </c>
      <c r="E17" s="238">
        <f>1200000-119316-42602</f>
        <v>1038082</v>
      </c>
      <c r="F17" s="238">
        <f>1157221-119139</f>
        <v>1038082</v>
      </c>
      <c r="G17" s="229"/>
      <c r="H17" s="229"/>
      <c r="I17" s="229"/>
      <c r="J17" s="28"/>
      <c r="K17" s="28"/>
      <c r="L17" s="230"/>
      <c r="M17" s="226">
        <f t="shared" si="0"/>
        <v>1200000</v>
      </c>
      <c r="N17" s="226">
        <f t="shared" si="1"/>
        <v>1038082</v>
      </c>
      <c r="O17" s="226">
        <f t="shared" si="1"/>
        <v>1038082</v>
      </c>
    </row>
    <row r="18" spans="1:15" ht="25.5" customHeight="1">
      <c r="A18" s="82"/>
      <c r="B18" s="441" t="s">
        <v>77</v>
      </c>
      <c r="C18" s="442"/>
      <c r="D18" s="239"/>
      <c r="E18" s="239"/>
      <c r="F18" s="239"/>
      <c r="G18" s="231"/>
      <c r="H18" s="231"/>
      <c r="I18" s="231"/>
      <c r="J18" s="59"/>
      <c r="K18" s="59"/>
      <c r="L18" s="227"/>
      <c r="M18" s="221">
        <f t="shared" si="0"/>
        <v>0</v>
      </c>
      <c r="N18" s="221">
        <f t="shared" si="1"/>
        <v>0</v>
      </c>
      <c r="O18" s="221">
        <f t="shared" si="1"/>
        <v>0</v>
      </c>
    </row>
    <row r="19" spans="1:15" ht="41.25" customHeight="1" thickBot="1">
      <c r="A19" s="80"/>
      <c r="B19" s="80"/>
      <c r="C19" s="83" t="s">
        <v>141</v>
      </c>
      <c r="D19" s="232">
        <v>350000</v>
      </c>
      <c r="E19" s="232">
        <f>350000-301735</f>
        <v>48265</v>
      </c>
      <c r="F19" s="232">
        <v>48265</v>
      </c>
      <c r="G19" s="13"/>
      <c r="H19" s="13"/>
      <c r="I19" s="13"/>
      <c r="J19" s="33"/>
      <c r="K19" s="33"/>
      <c r="L19" s="233"/>
      <c r="M19" s="234">
        <f t="shared" si="0"/>
        <v>350000</v>
      </c>
      <c r="N19" s="234">
        <f t="shared" si="1"/>
        <v>48265</v>
      </c>
      <c r="O19" s="234">
        <f t="shared" si="1"/>
        <v>48265</v>
      </c>
    </row>
    <row r="20" spans="1:15" ht="38.25" customHeight="1" thickBot="1">
      <c r="A20" s="26" t="s">
        <v>42</v>
      </c>
      <c r="B20" s="26"/>
      <c r="C20" s="78" t="s">
        <v>78</v>
      </c>
      <c r="D20" s="215">
        <f>SUM(D9:D19)</f>
        <v>3143753</v>
      </c>
      <c r="E20" s="215">
        <f>SUM(E9:E19)</f>
        <v>2310070</v>
      </c>
      <c r="F20" s="215">
        <f>SUM(F9:F19)</f>
        <v>1933789</v>
      </c>
      <c r="G20" s="12">
        <f>SUM(G15:G15)</f>
        <v>0</v>
      </c>
      <c r="H20" s="12"/>
      <c r="I20" s="12"/>
      <c r="J20" s="12">
        <f>SUM(J15:J15)</f>
        <v>0</v>
      </c>
      <c r="K20" s="12"/>
      <c r="L20" s="12"/>
      <c r="M20" s="12">
        <f>SUM(M9:M19)</f>
        <v>3143753</v>
      </c>
      <c r="N20" s="12">
        <f>SUM(N9:N19)</f>
        <v>2310070</v>
      </c>
      <c r="O20" s="12">
        <f>SUM(O9:O19)</f>
        <v>1933789</v>
      </c>
    </row>
  </sheetData>
  <sheetProtection/>
  <mergeCells count="13">
    <mergeCell ref="B18:C18"/>
    <mergeCell ref="A2:O2"/>
    <mergeCell ref="J1:O1"/>
    <mergeCell ref="J3:O3"/>
    <mergeCell ref="A7:C7"/>
    <mergeCell ref="A4:C6"/>
    <mergeCell ref="D4:F5"/>
    <mergeCell ref="G4:I5"/>
    <mergeCell ref="J4:L5"/>
    <mergeCell ref="M4:O5"/>
    <mergeCell ref="B8:C8"/>
    <mergeCell ref="B10:C10"/>
    <mergeCell ref="B14:C14"/>
  </mergeCells>
  <printOptions/>
  <pageMargins left="0.8267716535433072" right="0.35433070866141736" top="0.2362204724409449" bottom="0.3937007874015748" header="0.15748031496062992" footer="0.275590551181102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28"/>
  <sheetViews>
    <sheetView zoomScalePageLayoutView="0" workbookViewId="0" topLeftCell="A1">
      <selection activeCell="A4" sqref="A4:O6"/>
    </sheetView>
  </sheetViews>
  <sheetFormatPr defaultColWidth="9.00390625" defaultRowHeight="12.75"/>
  <cols>
    <col min="1" max="1" width="3.00390625" style="2" customWidth="1"/>
    <col min="2" max="2" width="1.37890625" style="2" customWidth="1"/>
    <col min="3" max="3" width="25.875" style="2" customWidth="1"/>
    <col min="4" max="4" width="9.00390625" style="2" bestFit="1" customWidth="1"/>
    <col min="5" max="5" width="8.875" style="2" bestFit="1" customWidth="1"/>
    <col min="6" max="6" width="9.125" style="2" bestFit="1" customWidth="1"/>
    <col min="7" max="7" width="9.00390625" style="2" bestFit="1" customWidth="1"/>
    <col min="8" max="9" width="8.875" style="2" customWidth="1"/>
    <col min="10" max="10" width="9.00390625" style="2" bestFit="1" customWidth="1"/>
    <col min="11" max="11" width="8.625" style="2" customWidth="1"/>
    <col min="12" max="12" width="8.875" style="2" customWidth="1"/>
    <col min="13" max="13" width="9.00390625" style="2" bestFit="1" customWidth="1"/>
    <col min="14" max="15" width="8.875" style="2" customWidth="1"/>
    <col min="16" max="16384" width="9.125" style="2" customWidth="1"/>
  </cols>
  <sheetData>
    <row r="1" spans="10:15" ht="12.75">
      <c r="J1" s="444" t="s">
        <v>27</v>
      </c>
      <c r="K1" s="444"/>
      <c r="L1" s="444"/>
      <c r="M1" s="444"/>
      <c r="N1" s="444"/>
      <c r="O1" s="444"/>
    </row>
    <row r="3" spans="1:15" ht="19.5" customHeight="1">
      <c r="A3" s="443" t="s">
        <v>70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</row>
    <row r="4" spans="1:15" ht="19.5" customHeight="1">
      <c r="A4" s="443" t="s">
        <v>22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</row>
    <row r="5" spans="3:14" ht="19.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3:15" ht="19.5" customHeight="1" thickBot="1">
      <c r="C6" s="9"/>
      <c r="D6" s="9"/>
      <c r="E6" s="9"/>
      <c r="F6" s="9"/>
      <c r="G6" s="9"/>
      <c r="H6" s="9"/>
      <c r="I6" s="9"/>
      <c r="J6" s="470" t="s">
        <v>0</v>
      </c>
      <c r="K6" s="470"/>
      <c r="L6" s="470"/>
      <c r="M6" s="470"/>
      <c r="N6" s="470"/>
      <c r="O6" s="470"/>
    </row>
    <row r="7" spans="1:15" ht="26.25" customHeight="1">
      <c r="A7" s="449" t="s">
        <v>1</v>
      </c>
      <c r="B7" s="450"/>
      <c r="C7" s="451"/>
      <c r="D7" s="458" t="s">
        <v>20</v>
      </c>
      <c r="E7" s="459"/>
      <c r="F7" s="460"/>
      <c r="G7" s="378" t="s">
        <v>181</v>
      </c>
      <c r="H7" s="379"/>
      <c r="I7" s="380"/>
      <c r="J7" s="378" t="s">
        <v>182</v>
      </c>
      <c r="K7" s="379"/>
      <c r="L7" s="380"/>
      <c r="M7" s="433" t="s">
        <v>21</v>
      </c>
      <c r="N7" s="434"/>
      <c r="O7" s="435"/>
    </row>
    <row r="8" spans="1:15" ht="64.5" customHeight="1" thickBot="1">
      <c r="A8" s="452"/>
      <c r="B8" s="453"/>
      <c r="C8" s="454"/>
      <c r="D8" s="461"/>
      <c r="E8" s="462"/>
      <c r="F8" s="463"/>
      <c r="G8" s="381"/>
      <c r="H8" s="382"/>
      <c r="I8" s="383"/>
      <c r="J8" s="381"/>
      <c r="K8" s="382"/>
      <c r="L8" s="383"/>
      <c r="M8" s="436"/>
      <c r="N8" s="437"/>
      <c r="O8" s="438"/>
    </row>
    <row r="9" spans="1:15" ht="20.25" customHeight="1" thickBot="1">
      <c r="A9" s="455"/>
      <c r="B9" s="456"/>
      <c r="C9" s="457"/>
      <c r="D9" s="30" t="s">
        <v>133</v>
      </c>
      <c r="E9" s="30" t="s">
        <v>107</v>
      </c>
      <c r="F9" s="30" t="s">
        <v>130</v>
      </c>
      <c r="G9" s="30" t="s">
        <v>133</v>
      </c>
      <c r="H9" s="30" t="s">
        <v>107</v>
      </c>
      <c r="I9" s="30" t="s">
        <v>130</v>
      </c>
      <c r="J9" s="30" t="s">
        <v>133</v>
      </c>
      <c r="K9" s="30" t="s">
        <v>107</v>
      </c>
      <c r="L9" s="30" t="s">
        <v>130</v>
      </c>
      <c r="M9" s="30" t="s">
        <v>133</v>
      </c>
      <c r="N9" s="30" t="s">
        <v>107</v>
      </c>
      <c r="O9" s="30" t="s">
        <v>130</v>
      </c>
    </row>
    <row r="10" spans="1:15" ht="13.5" customHeight="1" thickBot="1">
      <c r="A10" s="446">
        <v>1</v>
      </c>
      <c r="B10" s="447"/>
      <c r="C10" s="448"/>
      <c r="D10" s="64">
        <v>2</v>
      </c>
      <c r="E10" s="29">
        <v>3</v>
      </c>
      <c r="F10" s="62">
        <v>4</v>
      </c>
      <c r="G10" s="64">
        <v>5</v>
      </c>
      <c r="H10" s="29">
        <v>6</v>
      </c>
      <c r="I10" s="62">
        <v>7</v>
      </c>
      <c r="J10" s="64">
        <v>8</v>
      </c>
      <c r="K10" s="29">
        <v>9</v>
      </c>
      <c r="L10" s="62">
        <v>10</v>
      </c>
      <c r="M10" s="64">
        <v>11</v>
      </c>
      <c r="N10" s="29">
        <v>12</v>
      </c>
      <c r="O10" s="68">
        <v>13</v>
      </c>
    </row>
    <row r="11" spans="1:15" ht="19.5" customHeight="1">
      <c r="A11" s="41"/>
      <c r="B11" s="474" t="s">
        <v>12</v>
      </c>
      <c r="C11" s="475"/>
      <c r="D11" s="42"/>
      <c r="E11" s="42"/>
      <c r="F11" s="42"/>
      <c r="G11" s="43"/>
      <c r="H11" s="43"/>
      <c r="I11" s="43"/>
      <c r="J11" s="44"/>
      <c r="K11" s="45"/>
      <c r="L11" s="45"/>
      <c r="M11" s="45"/>
      <c r="N11" s="45"/>
      <c r="O11" s="89"/>
    </row>
    <row r="12" spans="1:15" ht="17.25" customHeight="1">
      <c r="A12" s="46"/>
      <c r="B12" s="476" t="s">
        <v>13</v>
      </c>
      <c r="C12" s="477"/>
      <c r="D12" s="13"/>
      <c r="E12" s="13"/>
      <c r="F12" s="13"/>
      <c r="G12" s="33"/>
      <c r="H12" s="33"/>
      <c r="I12" s="33"/>
      <c r="J12" s="47"/>
      <c r="K12" s="47"/>
      <c r="L12" s="47"/>
      <c r="M12" s="47"/>
      <c r="N12" s="47"/>
      <c r="O12" s="90"/>
    </row>
    <row r="13" spans="1:15" ht="19.5" customHeight="1">
      <c r="A13" s="478"/>
      <c r="B13" s="85"/>
      <c r="C13" s="86" t="s">
        <v>143</v>
      </c>
      <c r="D13" s="464">
        <v>5000000</v>
      </c>
      <c r="E13" s="464">
        <v>5000000</v>
      </c>
      <c r="F13" s="468">
        <f>623000+200000+80000+1900000+200000+1950000</f>
        <v>4953000</v>
      </c>
      <c r="G13" s="468"/>
      <c r="H13" s="480"/>
      <c r="I13" s="65"/>
      <c r="J13" s="466"/>
      <c r="K13" s="480"/>
      <c r="L13" s="67"/>
      <c r="M13" s="464">
        <f>SUM(D13,G13,J13)</f>
        <v>5000000</v>
      </c>
      <c r="N13" s="464">
        <f>SUM(E13,H13,K13)</f>
        <v>5000000</v>
      </c>
      <c r="O13" s="464">
        <f>SUM(F13,I13,L13)</f>
        <v>4953000</v>
      </c>
    </row>
    <row r="14" spans="1:15" ht="29.25" customHeight="1">
      <c r="A14" s="479"/>
      <c r="B14" s="84"/>
      <c r="C14" s="87" t="s">
        <v>142</v>
      </c>
      <c r="D14" s="465"/>
      <c r="E14" s="465"/>
      <c r="F14" s="469"/>
      <c r="G14" s="469"/>
      <c r="H14" s="467"/>
      <c r="I14" s="66"/>
      <c r="J14" s="467"/>
      <c r="K14" s="467"/>
      <c r="L14" s="66"/>
      <c r="M14" s="465"/>
      <c r="N14" s="465"/>
      <c r="O14" s="465"/>
    </row>
    <row r="15" spans="1:15" ht="19.5" customHeight="1">
      <c r="A15" s="46"/>
      <c r="B15" s="88"/>
      <c r="C15" s="24" t="s">
        <v>144</v>
      </c>
      <c r="D15" s="28">
        <v>1000000</v>
      </c>
      <c r="E15" s="28">
        <f>1000000+34944</f>
        <v>1034944</v>
      </c>
      <c r="F15" s="63">
        <f>5464183-4953000</f>
        <v>511183</v>
      </c>
      <c r="G15" s="63"/>
      <c r="H15" s="28"/>
      <c r="I15" s="28"/>
      <c r="J15" s="47"/>
      <c r="K15" s="47"/>
      <c r="L15" s="60"/>
      <c r="M15" s="50">
        <f aca="true" t="shared" si="0" ref="M15:O16">SUM(D15,G15,J15)</f>
        <v>1000000</v>
      </c>
      <c r="N15" s="50">
        <f t="shared" si="0"/>
        <v>1034944</v>
      </c>
      <c r="O15" s="50">
        <f t="shared" si="0"/>
        <v>511183</v>
      </c>
    </row>
    <row r="16" spans="1:15" ht="24" customHeight="1">
      <c r="A16" s="46"/>
      <c r="B16" s="88"/>
      <c r="C16" s="91" t="s">
        <v>145</v>
      </c>
      <c r="D16" s="33">
        <v>150000</v>
      </c>
      <c r="E16" s="33">
        <v>150000</v>
      </c>
      <c r="F16" s="33">
        <f>5732161-4953000-511183</f>
        <v>267978</v>
      </c>
      <c r="G16" s="33"/>
      <c r="H16" s="33"/>
      <c r="I16" s="33"/>
      <c r="J16" s="47"/>
      <c r="K16" s="47"/>
      <c r="L16" s="60"/>
      <c r="M16" s="50">
        <f t="shared" si="0"/>
        <v>150000</v>
      </c>
      <c r="N16" s="50">
        <f t="shared" si="0"/>
        <v>150000</v>
      </c>
      <c r="O16" s="50">
        <f t="shared" si="0"/>
        <v>267978</v>
      </c>
    </row>
    <row r="17" spans="1:15" ht="19.5" customHeight="1">
      <c r="A17" s="46"/>
      <c r="B17" s="476" t="s">
        <v>71</v>
      </c>
      <c r="C17" s="477"/>
      <c r="D17" s="33"/>
      <c r="E17" s="33"/>
      <c r="F17" s="33"/>
      <c r="G17" s="33"/>
      <c r="H17" s="33">
        <v>19</v>
      </c>
      <c r="I17" s="33">
        <v>26</v>
      </c>
      <c r="J17" s="47"/>
      <c r="K17" s="47"/>
      <c r="L17" s="47"/>
      <c r="M17" s="47"/>
      <c r="N17" s="50">
        <f>SUM(E17,H17,K17)</f>
        <v>19</v>
      </c>
      <c r="O17" s="50">
        <f>SUM(F17,I17,L17)</f>
        <v>26</v>
      </c>
    </row>
    <row r="18" spans="1:15" ht="19.5" customHeight="1">
      <c r="A18" s="58"/>
      <c r="B18" s="473" t="s">
        <v>183</v>
      </c>
      <c r="C18" s="473"/>
      <c r="D18" s="59"/>
      <c r="E18" s="59"/>
      <c r="F18" s="59">
        <v>169</v>
      </c>
      <c r="G18" s="59"/>
      <c r="H18" s="59"/>
      <c r="I18" s="59"/>
      <c r="J18" s="60"/>
      <c r="K18" s="60"/>
      <c r="L18" s="60"/>
      <c r="M18" s="60"/>
      <c r="N18" s="60"/>
      <c r="O18" s="60">
        <v>169</v>
      </c>
    </row>
    <row r="19" spans="1:15" ht="29.25" customHeight="1" thickBot="1">
      <c r="A19" s="49"/>
      <c r="B19" s="441" t="s">
        <v>124</v>
      </c>
      <c r="C19" s="442"/>
      <c r="D19" s="59">
        <v>0</v>
      </c>
      <c r="E19" s="59">
        <v>1200000</v>
      </c>
      <c r="F19" s="59">
        <v>1200000</v>
      </c>
      <c r="G19" s="59"/>
      <c r="H19" s="59"/>
      <c r="I19" s="59"/>
      <c r="J19" s="59"/>
      <c r="K19" s="59"/>
      <c r="L19" s="231"/>
      <c r="M19" s="60">
        <f>SUM(D19,G19,J19)</f>
        <v>0</v>
      </c>
      <c r="N19" s="60">
        <f>SUM(E19,H19,K19)</f>
        <v>1200000</v>
      </c>
      <c r="O19" s="60">
        <f>SUM(F19,I19,L19)</f>
        <v>1200000</v>
      </c>
    </row>
    <row r="20" spans="1:15" ht="27" customHeight="1" thickBot="1">
      <c r="A20" s="362" t="s">
        <v>93</v>
      </c>
      <c r="B20" s="471" t="s">
        <v>23</v>
      </c>
      <c r="C20" s="472"/>
      <c r="D20" s="363">
        <f aca="true" t="shared" si="1" ref="D20:K20">SUM(D13:D19)</f>
        <v>6150000</v>
      </c>
      <c r="E20" s="363">
        <f t="shared" si="1"/>
        <v>7384944</v>
      </c>
      <c r="F20" s="363">
        <f t="shared" si="1"/>
        <v>6932330</v>
      </c>
      <c r="G20" s="363">
        <f t="shared" si="1"/>
        <v>0</v>
      </c>
      <c r="H20" s="363">
        <f t="shared" si="1"/>
        <v>19</v>
      </c>
      <c r="I20" s="363">
        <f t="shared" si="1"/>
        <v>26</v>
      </c>
      <c r="J20" s="363">
        <f t="shared" si="1"/>
        <v>0</v>
      </c>
      <c r="K20" s="363">
        <f t="shared" si="1"/>
        <v>0</v>
      </c>
      <c r="L20" s="363"/>
      <c r="M20" s="12">
        <f>SUM(M13:M19)</f>
        <v>6150000</v>
      </c>
      <c r="N20" s="12">
        <f>SUM(N13:N19)</f>
        <v>7384963</v>
      </c>
      <c r="O20" s="12">
        <f>SUM(O13:O19)</f>
        <v>6932356</v>
      </c>
    </row>
    <row r="21" spans="3:9" ht="12.75">
      <c r="C21" s="10"/>
      <c r="D21" s="10"/>
      <c r="E21" s="10"/>
      <c r="F21" s="27"/>
      <c r="G21" s="10"/>
      <c r="H21" s="10"/>
      <c r="I21" s="10"/>
    </row>
    <row r="22" ht="12.75">
      <c r="F22" s="3"/>
    </row>
    <row r="26" ht="12.75">
      <c r="F26" s="3"/>
    </row>
    <row r="28" ht="12.75">
      <c r="F28" s="3"/>
    </row>
  </sheetData>
  <sheetProtection/>
  <mergeCells count="27">
    <mergeCell ref="G7:I8"/>
    <mergeCell ref="A13:A14"/>
    <mergeCell ref="J7:L8"/>
    <mergeCell ref="K13:K14"/>
    <mergeCell ref="E13:E14"/>
    <mergeCell ref="H13:H14"/>
    <mergeCell ref="F13:F14"/>
    <mergeCell ref="J6:O6"/>
    <mergeCell ref="B20:C20"/>
    <mergeCell ref="B18:C18"/>
    <mergeCell ref="B11:C11"/>
    <mergeCell ref="B12:C12"/>
    <mergeCell ref="D13:D14"/>
    <mergeCell ref="B17:C17"/>
    <mergeCell ref="B19:C19"/>
    <mergeCell ref="A7:C9"/>
    <mergeCell ref="D7:F8"/>
    <mergeCell ref="J1:O1"/>
    <mergeCell ref="N13:N14"/>
    <mergeCell ref="J13:J14"/>
    <mergeCell ref="G13:G14"/>
    <mergeCell ref="M13:M14"/>
    <mergeCell ref="A10:C10"/>
    <mergeCell ref="M7:O8"/>
    <mergeCell ref="O13:O14"/>
    <mergeCell ref="A3:O3"/>
    <mergeCell ref="A4:O4"/>
  </mergeCells>
  <printOptions/>
  <pageMargins left="0.8661417322834646" right="0.2755905511811024" top="0.2362204724409449" bottom="0.3937007874015748" header="0.15748031496062992" footer="0.275590551181102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Q19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2" width="2.875" style="6" customWidth="1"/>
    <col min="3" max="3" width="20.125" style="0" customWidth="1"/>
    <col min="4" max="4" width="9.00390625" style="0" bestFit="1" customWidth="1"/>
    <col min="5" max="5" width="6.75390625" style="0" bestFit="1" customWidth="1"/>
    <col min="6" max="6" width="8.875" style="0" bestFit="1" customWidth="1"/>
    <col min="7" max="7" width="9.00390625" style="0" bestFit="1" customWidth="1"/>
    <col min="8" max="8" width="6.75390625" style="0" bestFit="1" customWidth="1"/>
    <col min="9" max="9" width="8.875" style="0" bestFit="1" customWidth="1"/>
    <col min="10" max="10" width="9.00390625" style="0" bestFit="1" customWidth="1"/>
    <col min="11" max="11" width="6.75390625" style="0" bestFit="1" customWidth="1"/>
    <col min="12" max="12" width="8.875" style="0" bestFit="1" customWidth="1"/>
    <col min="13" max="13" width="9.00390625" style="0" bestFit="1" customWidth="1"/>
    <col min="14" max="14" width="8.75390625" style="7" customWidth="1"/>
    <col min="15" max="15" width="9.625" style="0" customWidth="1"/>
    <col min="16" max="16" width="13.875" style="0" customWidth="1"/>
    <col min="17" max="17" width="13.00390625" style="0" customWidth="1"/>
  </cols>
  <sheetData>
    <row r="1" spans="13:15" ht="12.75">
      <c r="M1" s="484" t="s">
        <v>123</v>
      </c>
      <c r="N1" s="484"/>
      <c r="O1" s="484"/>
    </row>
    <row r="2" spans="1:17" ht="13.5" customHeight="1">
      <c r="A2" s="17"/>
      <c r="B2" s="17"/>
      <c r="C2" s="17"/>
      <c r="D2" s="17"/>
      <c r="E2" s="17"/>
      <c r="F2" s="17"/>
      <c r="G2" s="17"/>
      <c r="H2" s="17"/>
      <c r="I2" s="17"/>
      <c r="J2" s="481"/>
      <c r="K2" s="481"/>
      <c r="L2" s="481"/>
      <c r="M2" s="481"/>
      <c r="N2" s="481"/>
      <c r="O2" s="18"/>
      <c r="P2" s="18"/>
      <c r="Q2" s="18"/>
    </row>
    <row r="3" spans="1:17" ht="33" customHeight="1">
      <c r="A3" s="485" t="s">
        <v>79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20"/>
      <c r="Q3" s="20"/>
    </row>
    <row r="4" spans="1:17" ht="17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86" t="s">
        <v>0</v>
      </c>
      <c r="N4" s="486"/>
      <c r="O4" s="486"/>
      <c r="P4" s="19"/>
      <c r="Q4" s="19"/>
    </row>
    <row r="5" spans="1:15" ht="26.25" customHeight="1">
      <c r="A5" s="449" t="s">
        <v>1</v>
      </c>
      <c r="B5" s="450"/>
      <c r="C5" s="451"/>
      <c r="D5" s="458" t="s">
        <v>20</v>
      </c>
      <c r="E5" s="459"/>
      <c r="F5" s="460"/>
      <c r="G5" s="378" t="s">
        <v>181</v>
      </c>
      <c r="H5" s="379"/>
      <c r="I5" s="380"/>
      <c r="J5" s="378" t="s">
        <v>182</v>
      </c>
      <c r="K5" s="379"/>
      <c r="L5" s="380"/>
      <c r="M5" s="433" t="s">
        <v>21</v>
      </c>
      <c r="N5" s="434"/>
      <c r="O5" s="435"/>
    </row>
    <row r="6" spans="1:15" ht="64.5" customHeight="1" thickBot="1">
      <c r="A6" s="452"/>
      <c r="B6" s="453"/>
      <c r="C6" s="454"/>
      <c r="D6" s="461"/>
      <c r="E6" s="462"/>
      <c r="F6" s="463"/>
      <c r="G6" s="381"/>
      <c r="H6" s="382"/>
      <c r="I6" s="383"/>
      <c r="J6" s="381"/>
      <c r="K6" s="382"/>
      <c r="L6" s="383"/>
      <c r="M6" s="436"/>
      <c r="N6" s="437"/>
      <c r="O6" s="438"/>
    </row>
    <row r="7" spans="1:15" ht="20.25" customHeight="1" thickBot="1">
      <c r="A7" s="455"/>
      <c r="B7" s="456"/>
      <c r="C7" s="457"/>
      <c r="D7" s="30" t="s">
        <v>133</v>
      </c>
      <c r="E7" s="30" t="s">
        <v>107</v>
      </c>
      <c r="F7" s="30" t="s">
        <v>130</v>
      </c>
      <c r="G7" s="30" t="s">
        <v>133</v>
      </c>
      <c r="H7" s="30" t="s">
        <v>107</v>
      </c>
      <c r="I7" s="30" t="s">
        <v>130</v>
      </c>
      <c r="J7" s="30" t="s">
        <v>133</v>
      </c>
      <c r="K7" s="30" t="s">
        <v>107</v>
      </c>
      <c r="L7" s="30" t="s">
        <v>130</v>
      </c>
      <c r="M7" s="30" t="s">
        <v>133</v>
      </c>
      <c r="N7" s="30" t="s">
        <v>107</v>
      </c>
      <c r="O7" s="30" t="s">
        <v>130</v>
      </c>
    </row>
    <row r="8" spans="1:15" ht="13.5" customHeight="1" thickBot="1">
      <c r="A8" s="446">
        <v>1</v>
      </c>
      <c r="B8" s="447"/>
      <c r="C8" s="448"/>
      <c r="D8" s="64">
        <v>2</v>
      </c>
      <c r="E8" s="29">
        <v>3</v>
      </c>
      <c r="F8" s="62">
        <v>4</v>
      </c>
      <c r="G8" s="64">
        <v>5</v>
      </c>
      <c r="H8" s="29">
        <v>6</v>
      </c>
      <c r="I8" s="62">
        <v>7</v>
      </c>
      <c r="J8" s="64">
        <v>8</v>
      </c>
      <c r="K8" s="29">
        <v>9</v>
      </c>
      <c r="L8" s="62">
        <v>10</v>
      </c>
      <c r="M8" s="64">
        <v>11</v>
      </c>
      <c r="N8" s="29">
        <v>12</v>
      </c>
      <c r="O8" s="68">
        <v>13</v>
      </c>
    </row>
    <row r="9" spans="1:15" s="2" customFormat="1" ht="39" customHeight="1" thickBot="1">
      <c r="A9" s="48"/>
      <c r="B9" s="483" t="s">
        <v>15</v>
      </c>
      <c r="C9" s="483"/>
      <c r="D9" s="116">
        <v>22491</v>
      </c>
      <c r="E9" s="116">
        <v>22491</v>
      </c>
      <c r="F9" s="92">
        <f>17795+4840</f>
        <v>22635</v>
      </c>
      <c r="G9" s="12"/>
      <c r="H9" s="12"/>
      <c r="I9" s="12"/>
      <c r="J9" s="12"/>
      <c r="K9" s="12"/>
      <c r="L9" s="12"/>
      <c r="M9" s="52">
        <f aca="true" t="shared" si="0" ref="M9:O16">SUM(D9,G9,J9)</f>
        <v>22491</v>
      </c>
      <c r="N9" s="52">
        <f t="shared" si="0"/>
        <v>22491</v>
      </c>
      <c r="O9" s="52">
        <f t="shared" si="0"/>
        <v>22635</v>
      </c>
    </row>
    <row r="10" spans="1:15" s="2" customFormat="1" ht="40.5" customHeight="1" thickBot="1">
      <c r="A10" s="48"/>
      <c r="B10" s="483" t="s">
        <v>16</v>
      </c>
      <c r="C10" s="483"/>
      <c r="D10" s="116">
        <f>2636+367+367</f>
        <v>3370</v>
      </c>
      <c r="E10" s="116">
        <f>2636+367+367</f>
        <v>3370</v>
      </c>
      <c r="F10" s="92">
        <f>2706+193</f>
        <v>2899</v>
      </c>
      <c r="G10" s="12"/>
      <c r="H10" s="12"/>
      <c r="I10" s="12"/>
      <c r="J10" s="12"/>
      <c r="K10" s="12"/>
      <c r="L10" s="12"/>
      <c r="M10" s="52">
        <f t="shared" si="0"/>
        <v>3370</v>
      </c>
      <c r="N10" s="52">
        <f t="shared" si="0"/>
        <v>3370</v>
      </c>
      <c r="O10" s="52">
        <f t="shared" si="0"/>
        <v>2899</v>
      </c>
    </row>
    <row r="11" spans="1:15" s="2" customFormat="1" ht="49.5" customHeight="1" thickBot="1">
      <c r="A11" s="48"/>
      <c r="B11" s="483" t="s">
        <v>17</v>
      </c>
      <c r="C11" s="483"/>
      <c r="D11" s="116">
        <v>1405</v>
      </c>
      <c r="E11" s="116">
        <v>1405</v>
      </c>
      <c r="F11" s="92">
        <v>3266</v>
      </c>
      <c r="G11" s="12"/>
      <c r="H11" s="12"/>
      <c r="I11" s="12"/>
      <c r="J11" s="12"/>
      <c r="K11" s="12"/>
      <c r="L11" s="12"/>
      <c r="M11" s="52">
        <f t="shared" si="0"/>
        <v>1405</v>
      </c>
      <c r="N11" s="52">
        <f t="shared" si="0"/>
        <v>1405</v>
      </c>
      <c r="O11" s="52">
        <f t="shared" si="0"/>
        <v>3266</v>
      </c>
    </row>
    <row r="12" spans="1:15" s="2" customFormat="1" ht="54" customHeight="1" thickBot="1">
      <c r="A12" s="49" t="s">
        <v>2</v>
      </c>
      <c r="B12" s="482" t="s">
        <v>80</v>
      </c>
      <c r="C12" s="482"/>
      <c r="D12" s="12">
        <f>SUM(D9:D11)</f>
        <v>27266</v>
      </c>
      <c r="E12" s="12">
        <f>SUM(E9:E11)</f>
        <v>27266</v>
      </c>
      <c r="F12" s="12">
        <f>SUM(F9:F11)</f>
        <v>28800</v>
      </c>
      <c r="G12" s="12">
        <f>SUM(G9:G11)</f>
        <v>0</v>
      </c>
      <c r="H12" s="12"/>
      <c r="I12" s="12"/>
      <c r="J12" s="12">
        <f>SUM(J9:J11)</f>
        <v>0</v>
      </c>
      <c r="K12" s="12"/>
      <c r="L12" s="12"/>
      <c r="M12" s="12">
        <f t="shared" si="0"/>
        <v>27266</v>
      </c>
      <c r="N12" s="12">
        <f t="shared" si="0"/>
        <v>27266</v>
      </c>
      <c r="O12" s="364">
        <f t="shared" si="0"/>
        <v>28800</v>
      </c>
    </row>
    <row r="13" spans="1:15" s="2" customFormat="1" ht="47.25" customHeight="1" thickBot="1">
      <c r="A13" s="21"/>
      <c r="B13" s="483" t="s">
        <v>81</v>
      </c>
      <c r="C13" s="483"/>
      <c r="D13" s="116">
        <v>85000</v>
      </c>
      <c r="E13" s="117">
        <f>85000-36000</f>
        <v>49000</v>
      </c>
      <c r="F13" s="117">
        <v>0</v>
      </c>
      <c r="G13" s="116"/>
      <c r="H13" s="116"/>
      <c r="I13" s="116"/>
      <c r="J13" s="116"/>
      <c r="K13" s="116"/>
      <c r="L13" s="116"/>
      <c r="M13" s="52">
        <f t="shared" si="0"/>
        <v>85000</v>
      </c>
      <c r="N13" s="52">
        <f t="shared" si="0"/>
        <v>49000</v>
      </c>
      <c r="O13" s="61">
        <v>0</v>
      </c>
    </row>
    <row r="14" spans="1:15" s="2" customFormat="1" ht="29.25" customHeight="1" thickBot="1">
      <c r="A14" s="21"/>
      <c r="B14" s="483" t="s">
        <v>114</v>
      </c>
      <c r="C14" s="483"/>
      <c r="D14" s="116"/>
      <c r="E14" s="116"/>
      <c r="F14" s="116"/>
      <c r="G14" s="116"/>
      <c r="H14" s="116"/>
      <c r="I14" s="116"/>
      <c r="J14" s="116"/>
      <c r="K14" s="116">
        <v>800</v>
      </c>
      <c r="L14" s="116"/>
      <c r="M14" s="52">
        <f t="shared" si="0"/>
        <v>0</v>
      </c>
      <c r="N14" s="52">
        <f t="shared" si="0"/>
        <v>800</v>
      </c>
      <c r="O14" s="61"/>
    </row>
    <row r="15" spans="1:15" s="1" customFormat="1" ht="40.5" customHeight="1" thickBot="1">
      <c r="A15" s="21" t="s">
        <v>3</v>
      </c>
      <c r="B15" s="482" t="s">
        <v>14</v>
      </c>
      <c r="C15" s="482"/>
      <c r="D15" s="12">
        <f>SUM(D13:D13)</f>
        <v>85000</v>
      </c>
      <c r="E15" s="12">
        <f>SUM(E13:E14)</f>
        <v>49000</v>
      </c>
      <c r="F15" s="12">
        <f>SUM(F13:F14)</f>
        <v>0</v>
      </c>
      <c r="G15" s="12">
        <f>SUM(G13:G13)</f>
        <v>0</v>
      </c>
      <c r="H15" s="12"/>
      <c r="I15" s="12"/>
      <c r="J15" s="12">
        <f>SUM(J13:J14)</f>
        <v>0</v>
      </c>
      <c r="K15" s="12">
        <f>SUM(K13:K14)</f>
        <v>800</v>
      </c>
      <c r="L15" s="12"/>
      <c r="M15" s="12">
        <f t="shared" si="0"/>
        <v>85000</v>
      </c>
      <c r="N15" s="12">
        <f t="shared" si="0"/>
        <v>49800</v>
      </c>
      <c r="O15" s="93">
        <v>0</v>
      </c>
    </row>
    <row r="16" spans="1:15" s="22" customFormat="1" ht="40.5" customHeight="1" thickBot="1">
      <c r="A16" s="14" t="s">
        <v>96</v>
      </c>
      <c r="B16" s="482" t="s">
        <v>82</v>
      </c>
      <c r="C16" s="482"/>
      <c r="D16" s="12">
        <f>SUM(D15,D12)</f>
        <v>112266</v>
      </c>
      <c r="E16" s="12">
        <f>SUM(E15,E12)</f>
        <v>76266</v>
      </c>
      <c r="F16" s="12">
        <f>SUM(F15,F12)</f>
        <v>28800</v>
      </c>
      <c r="G16" s="12">
        <f>SUM(G15,G12)</f>
        <v>0</v>
      </c>
      <c r="H16" s="12"/>
      <c r="I16" s="12"/>
      <c r="J16" s="12">
        <f>SUM(J15,J12)</f>
        <v>0</v>
      </c>
      <c r="K16" s="12">
        <f>SUM(K15,K12)</f>
        <v>800</v>
      </c>
      <c r="L16" s="12"/>
      <c r="M16" s="12">
        <f t="shared" si="0"/>
        <v>112266</v>
      </c>
      <c r="N16" s="12">
        <f t="shared" si="0"/>
        <v>77066</v>
      </c>
      <c r="O16" s="12">
        <f t="shared" si="0"/>
        <v>28800</v>
      </c>
    </row>
    <row r="19" ht="12.75">
      <c r="N19" s="5"/>
    </row>
  </sheetData>
  <sheetProtection/>
  <mergeCells count="18">
    <mergeCell ref="A3:O3"/>
    <mergeCell ref="M4:O4"/>
    <mergeCell ref="A8:C8"/>
    <mergeCell ref="B13:C13"/>
    <mergeCell ref="B9:C9"/>
    <mergeCell ref="B10:C10"/>
    <mergeCell ref="B11:C11"/>
    <mergeCell ref="B12:C12"/>
    <mergeCell ref="J2:N2"/>
    <mergeCell ref="A5:C7"/>
    <mergeCell ref="B16:C16"/>
    <mergeCell ref="B15:C15"/>
    <mergeCell ref="B14:C14"/>
    <mergeCell ref="M1:O1"/>
    <mergeCell ref="D5:F6"/>
    <mergeCell ref="G5:I6"/>
    <mergeCell ref="J5:L6"/>
    <mergeCell ref="M5:O6"/>
  </mergeCells>
  <printOptions/>
  <pageMargins left="0.8267716535433072" right="0.1968503937007874" top="0.2362204724409449" bottom="0.3937007874015748" header="0.15748031496062992" footer="0.27559055118110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2015-05-11T09:33:20Z</cp:lastPrinted>
  <dcterms:created xsi:type="dcterms:W3CDTF">2011-02-03T10:02:06Z</dcterms:created>
  <dcterms:modified xsi:type="dcterms:W3CDTF">2015-05-21T11:32:27Z</dcterms:modified>
  <cp:category/>
  <cp:version/>
  <cp:contentType/>
  <cp:contentStatus/>
</cp:coreProperties>
</file>