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estület\Testület\Rendeletek\Költségvetés 2019\"/>
    </mc:Choice>
  </mc:AlternateContent>
  <xr:revisionPtr revIDLastSave="0" documentId="13_ncr:1_{10645046-E071-4501-BDDA-6B95B56C9578}" xr6:coauthVersionLast="40" xr6:coauthVersionMax="40" xr10:uidLastSave="{00000000-0000-0000-0000-000000000000}"/>
  <bookViews>
    <workbookView xWindow="-120" yWindow="-120" windowWidth="29040" windowHeight="15840" tabRatio="597" xr2:uid="{00000000-000D-0000-FFFF-FFFF00000000}"/>
  </bookViews>
  <sheets>
    <sheet name="1. m. bevételek" sheetId="209" r:id="rId1"/>
    <sheet name="2. m. kiadások" sheetId="210" r:id="rId2"/>
    <sheet name="2.a KÖH" sheetId="217" r:id="rId3"/>
    <sheet name="3. m. létszám" sheetId="224" r:id="rId4"/>
    <sheet name="4. melléklet" sheetId="212" r:id="rId5"/>
    <sheet name="5.a melléklet-hitelek" sheetId="214" r:id="rId6"/>
    <sheet name="5.b melléklet-kezességv." sheetId="219" r:id="rId7"/>
    <sheet name="5.c melléklet-szerződések-KÖH" sheetId="225" r:id="rId8"/>
    <sheet name="5.c melléklet-szerződések-Önk" sheetId="227" r:id="rId9"/>
    <sheet name="6. melléklet" sheetId="220" r:id="rId10"/>
    <sheet name="7. melléklet" sheetId="221" r:id="rId11"/>
    <sheet name="8. melléklet" sheetId="222" r:id="rId12"/>
    <sheet name="8.a melléklet" sheetId="223" r:id="rId13"/>
    <sheet name="9. melléklet" sheetId="228" r:id="rId14"/>
    <sheet name="10. melléklet EU-s" sheetId="213" r:id="rId15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KÖH'!$7:$7</definedName>
    <definedName name="_xlnm.Print_Titles" localSheetId="8">'5.c melléklet-szerződések-Önk'!$1:$8</definedName>
    <definedName name="_xlnm.Print_Area" localSheetId="0">'1. m. bevételek'!$A$1:$G$206</definedName>
    <definedName name="_xlnm.Print_Area" localSheetId="1">'2. m. kiadások'!$A$1:$G$358</definedName>
    <definedName name="_xlnm.Print_Area" localSheetId="2">'2.a KÖH'!$A$2:$J$11</definedName>
    <definedName name="_xlnm.Print_Area" localSheetId="4">'4. melléklet'!$A$1:$I$32</definedName>
    <definedName name="_xlnm.Print_Area" localSheetId="6">'5.b melléklet-kezességv.'!$A$1:$K$13</definedName>
    <definedName name="_xlnm.Print_Area" localSheetId="7">'5.c melléklet-szerződések-KÖH'!$A$1:$E$86</definedName>
    <definedName name="_xlnm.Print_Area" localSheetId="8">'5.c melléklet-szerződések-Önk'!$A$1:$E$161</definedName>
    <definedName name="_xlnm.Print_Area" localSheetId="9">'6. melléklet'!#REF!</definedName>
    <definedName name="_xlnm.Print_Area" localSheetId="11">'8. melléklet'!$A$1:$O$39</definedName>
  </definedNames>
  <calcPr calcId="181029"/>
</workbook>
</file>

<file path=xl/calcChain.xml><?xml version="1.0" encoding="utf-8"?>
<calcChain xmlns="http://schemas.openxmlformats.org/spreadsheetml/2006/main">
  <c r="E140" i="209" l="1"/>
  <c r="F140" i="209"/>
  <c r="G140" i="209"/>
  <c r="D140" i="209"/>
  <c r="E130" i="209"/>
  <c r="F130" i="209"/>
  <c r="G130" i="209"/>
  <c r="D130" i="209"/>
  <c r="E37" i="209" l="1"/>
  <c r="F37" i="209"/>
  <c r="G37" i="209"/>
  <c r="D37" i="209"/>
  <c r="D12" i="212" s="1"/>
  <c r="G15" i="228" l="1"/>
  <c r="E335" i="210" l="1"/>
  <c r="F335" i="210"/>
  <c r="G335" i="210"/>
  <c r="D335" i="210"/>
  <c r="E206" i="210"/>
  <c r="F206" i="210"/>
  <c r="G206" i="210"/>
  <c r="D160" i="227" l="1"/>
  <c r="D159" i="227"/>
  <c r="D155" i="227"/>
  <c r="D152" i="227"/>
  <c r="D147" i="227"/>
  <c r="D145" i="227"/>
  <c r="D143" i="227"/>
  <c r="D142" i="227"/>
  <c r="D140" i="227"/>
  <c r="E139" i="227"/>
  <c r="D139" i="227"/>
  <c r="D136" i="227"/>
  <c r="D135" i="227"/>
  <c r="D134" i="227"/>
  <c r="D133" i="227"/>
  <c r="D130" i="227"/>
  <c r="D129" i="227"/>
  <c r="D127" i="227"/>
  <c r="D123" i="227"/>
  <c r="E120" i="227"/>
  <c r="D119" i="227"/>
  <c r="D117" i="227"/>
  <c r="D116" i="227"/>
  <c r="D114" i="227"/>
  <c r="D113" i="227"/>
  <c r="D111" i="227"/>
  <c r="D107" i="227"/>
  <c r="D106" i="227"/>
  <c r="D105" i="227"/>
  <c r="D103" i="227"/>
  <c r="D101" i="227"/>
  <c r="D97" i="227"/>
  <c r="E96" i="227"/>
  <c r="D96" i="227"/>
  <c r="D94" i="227"/>
  <c r="D92" i="227"/>
  <c r="D83" i="227"/>
  <c r="E82" i="227"/>
  <c r="D81" i="227"/>
  <c r="D79" i="227"/>
  <c r="D77" i="227"/>
  <c r="D76" i="227"/>
  <c r="D75" i="227"/>
  <c r="D74" i="227"/>
  <c r="D71" i="227"/>
  <c r="D70" i="227"/>
  <c r="D69" i="227"/>
  <c r="D67" i="227"/>
  <c r="D66" i="227"/>
  <c r="D65" i="227"/>
  <c r="D64" i="227"/>
  <c r="D60" i="227"/>
  <c r="D59" i="227"/>
  <c r="D58" i="227"/>
  <c r="D57" i="227"/>
  <c r="E53" i="227"/>
  <c r="E52" i="227"/>
  <c r="D52" i="227"/>
  <c r="D48" i="227"/>
  <c r="D45" i="227"/>
  <c r="D43" i="227"/>
  <c r="D42" i="227"/>
  <c r="D41" i="227"/>
  <c r="D32" i="227"/>
  <c r="D28" i="227"/>
  <c r="D25" i="227"/>
  <c r="D24" i="227"/>
  <c r="D23" i="227"/>
  <c r="D22" i="227"/>
  <c r="D21" i="227"/>
  <c r="D20" i="227"/>
  <c r="D19" i="227"/>
  <c r="D16" i="227"/>
  <c r="D15" i="227"/>
  <c r="D14" i="227"/>
  <c r="D161" i="227" l="1"/>
  <c r="E161" i="227"/>
  <c r="E238" i="210"/>
  <c r="F238" i="210"/>
  <c r="G238" i="210"/>
  <c r="D238" i="210"/>
  <c r="E34" i="210" l="1"/>
  <c r="F34" i="210"/>
  <c r="G34" i="210"/>
  <c r="D34" i="210"/>
  <c r="E31" i="210"/>
  <c r="F31" i="210"/>
  <c r="G31" i="210"/>
  <c r="D31" i="210"/>
  <c r="G15" i="210"/>
  <c r="F15" i="210"/>
  <c r="E15" i="210"/>
  <c r="D15" i="210"/>
  <c r="E20" i="210"/>
  <c r="F20" i="210"/>
  <c r="G20" i="210"/>
  <c r="D20" i="210"/>
  <c r="D78" i="210" l="1"/>
  <c r="H29" i="212" l="1"/>
  <c r="H19" i="212"/>
  <c r="E25" i="209" l="1"/>
  <c r="F25" i="209"/>
  <c r="G25" i="209"/>
  <c r="D25" i="209"/>
  <c r="E20" i="209"/>
  <c r="F20" i="209"/>
  <c r="G20" i="209"/>
  <c r="D20" i="209"/>
  <c r="D73" i="225" l="1"/>
  <c r="E67" i="225"/>
  <c r="E86" i="225" s="1"/>
  <c r="D67" i="225"/>
  <c r="D64" i="225"/>
  <c r="D63" i="225"/>
  <c r="D61" i="225"/>
  <c r="D56" i="225"/>
  <c r="D44" i="225"/>
  <c r="D29" i="225"/>
  <c r="D22" i="225"/>
  <c r="D86" i="225" l="1"/>
  <c r="D203" i="210"/>
  <c r="D206" i="210" s="1"/>
  <c r="E43" i="210"/>
  <c r="F43" i="210"/>
  <c r="G43" i="210"/>
  <c r="D43" i="210"/>
  <c r="E46" i="210"/>
  <c r="F46" i="210"/>
  <c r="G46" i="210"/>
  <c r="D46" i="210"/>
  <c r="E18" i="224" l="1"/>
  <c r="D18" i="224"/>
  <c r="C18" i="224"/>
  <c r="B18" i="224"/>
  <c r="F16" i="224"/>
  <c r="F15" i="224"/>
  <c r="F14" i="224"/>
  <c r="F12" i="224"/>
  <c r="F11" i="224"/>
  <c r="F10" i="224"/>
  <c r="F9" i="224"/>
  <c r="F18" i="224" l="1"/>
  <c r="P10" i="223" l="1"/>
  <c r="O10" i="223"/>
  <c r="N10" i="223"/>
  <c r="M10" i="223"/>
  <c r="L10" i="223"/>
  <c r="J10" i="223"/>
  <c r="I10" i="223"/>
  <c r="H10" i="223"/>
  <c r="G10" i="223"/>
  <c r="F10" i="223"/>
  <c r="E10" i="223"/>
  <c r="K9" i="223"/>
  <c r="Q9" i="223" s="1"/>
  <c r="K8" i="223"/>
  <c r="Q8" i="223" s="1"/>
  <c r="K7" i="223"/>
  <c r="Q7" i="223" s="1"/>
  <c r="K6" i="223"/>
  <c r="O35" i="222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M28" i="222"/>
  <c r="L28" i="222"/>
  <c r="K28" i="222"/>
  <c r="K34" i="222" s="1"/>
  <c r="K36" i="222" s="1"/>
  <c r="J28" i="222"/>
  <c r="I28" i="222"/>
  <c r="H28" i="222"/>
  <c r="G28" i="222"/>
  <c r="G34" i="222" s="1"/>
  <c r="G36" i="222" s="1"/>
  <c r="F28" i="222"/>
  <c r="E28" i="222"/>
  <c r="D28" i="222"/>
  <c r="C28" i="222"/>
  <c r="O27" i="222"/>
  <c r="O26" i="222"/>
  <c r="O25" i="222"/>
  <c r="O24" i="222"/>
  <c r="O23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M34" i="222" l="1"/>
  <c r="M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O28" i="222"/>
  <c r="K10" i="223"/>
  <c r="R7" i="223"/>
  <c r="S7" i="223"/>
  <c r="R8" i="223"/>
  <c r="S8" i="223"/>
  <c r="R9" i="223"/>
  <c r="S9" i="223"/>
  <c r="Q6" i="223"/>
  <c r="D17" i="222"/>
  <c r="H20" i="222"/>
  <c r="L20" i="222"/>
  <c r="I20" i="222"/>
  <c r="M37" i="222"/>
  <c r="M20" i="222"/>
  <c r="M38" i="222" s="1"/>
  <c r="F37" i="222"/>
  <c r="F20" i="222"/>
  <c r="F38" i="222" s="1"/>
  <c r="J20" i="222"/>
  <c r="N20" i="222"/>
  <c r="C20" i="222"/>
  <c r="G20" i="222"/>
  <c r="G38" i="222" s="1"/>
  <c r="G37" i="222"/>
  <c r="K20" i="222"/>
  <c r="K38" i="222" s="1"/>
  <c r="K37" i="222"/>
  <c r="E20" i="222"/>
  <c r="O13" i="222"/>
  <c r="O17" i="222" s="1"/>
  <c r="O20" i="222" s="1"/>
  <c r="H38" i="222" l="1"/>
  <c r="L38" i="222"/>
  <c r="N37" i="222"/>
  <c r="N38" i="222"/>
  <c r="J37" i="222"/>
  <c r="C37" i="222"/>
  <c r="L37" i="222"/>
  <c r="E38" i="222"/>
  <c r="E37" i="222"/>
  <c r="O34" i="222"/>
  <c r="O36" i="222" s="1"/>
  <c r="J38" i="222"/>
  <c r="I38" i="222"/>
  <c r="I37" i="222"/>
  <c r="H37" i="222"/>
  <c r="D37" i="222"/>
  <c r="R6" i="223"/>
  <c r="R10" i="223" s="1"/>
  <c r="Q10" i="223"/>
  <c r="S6" i="223"/>
  <c r="S10" i="223" s="1"/>
  <c r="D20" i="222"/>
  <c r="D38" i="222" s="1"/>
  <c r="C39" i="222"/>
  <c r="C38" i="222"/>
  <c r="O37" i="222" l="1"/>
  <c r="O38" i="222"/>
  <c r="D39" i="222"/>
  <c r="E39" i="222" s="1"/>
  <c r="F39" i="222" s="1"/>
  <c r="G39" i="222" s="1"/>
  <c r="H39" i="222" s="1"/>
  <c r="I39" i="222" s="1"/>
  <c r="J39" i="222" s="1"/>
  <c r="K39" i="222" s="1"/>
  <c r="L39" i="222" s="1"/>
  <c r="M39" i="222" s="1"/>
  <c r="N39" i="222" s="1"/>
  <c r="O39" i="222" s="1"/>
  <c r="D46" i="220" l="1"/>
  <c r="C46" i="220"/>
  <c r="B46" i="220"/>
  <c r="D38" i="220"/>
  <c r="C38" i="220"/>
  <c r="B38" i="220"/>
  <c r="D25" i="220"/>
  <c r="C25" i="220"/>
  <c r="B25" i="220"/>
  <c r="D17" i="220"/>
  <c r="C17" i="220"/>
  <c r="B17" i="220"/>
  <c r="B26" i="220" s="1"/>
  <c r="C26" i="220" l="1"/>
  <c r="D26" i="220"/>
  <c r="C47" i="220"/>
  <c r="B47" i="220"/>
  <c r="D47" i="220"/>
  <c r="E166" i="209" l="1"/>
  <c r="F166" i="209"/>
  <c r="G166" i="209"/>
  <c r="D166" i="209"/>
  <c r="E163" i="213" l="1"/>
  <c r="D163" i="213"/>
  <c r="G162" i="213"/>
  <c r="G161" i="213"/>
  <c r="G160" i="213"/>
  <c r="G159" i="213"/>
  <c r="G158" i="213"/>
  <c r="F157" i="213"/>
  <c r="F163" i="213" s="1"/>
  <c r="G156" i="213"/>
  <c r="E152" i="213"/>
  <c r="D152" i="213"/>
  <c r="G151" i="213"/>
  <c r="G150" i="213"/>
  <c r="G149" i="213"/>
  <c r="G148" i="213"/>
  <c r="G147" i="213"/>
  <c r="F146" i="213"/>
  <c r="G146" i="213" s="1"/>
  <c r="E55" i="213"/>
  <c r="F55" i="213"/>
  <c r="D55" i="213"/>
  <c r="G152" i="213" l="1"/>
  <c r="F152" i="213"/>
  <c r="G157" i="213"/>
  <c r="G163" i="213" s="1"/>
  <c r="I24" i="212" l="1"/>
  <c r="I17" i="212"/>
  <c r="I14" i="212"/>
  <c r="D27" i="212"/>
  <c r="D17" i="212"/>
  <c r="D16" i="212"/>
  <c r="D13" i="212"/>
  <c r="G84" i="213" l="1"/>
  <c r="G83" i="213"/>
  <c r="E245" i="210" l="1"/>
  <c r="F245" i="210"/>
  <c r="G245" i="210"/>
  <c r="D245" i="210"/>
  <c r="I15" i="212" s="1"/>
  <c r="E228" i="210"/>
  <c r="F228" i="210"/>
  <c r="G228" i="210"/>
  <c r="E343" i="210"/>
  <c r="F343" i="210"/>
  <c r="G343" i="210"/>
  <c r="E287" i="210"/>
  <c r="F287" i="210"/>
  <c r="G287" i="210"/>
  <c r="D287" i="210"/>
  <c r="E321" i="210"/>
  <c r="F321" i="210"/>
  <c r="G321" i="210"/>
  <c r="D321" i="210"/>
  <c r="I22" i="212" s="1"/>
  <c r="I11" i="217" l="1"/>
  <c r="H11" i="217"/>
  <c r="G11" i="217"/>
  <c r="F11" i="217"/>
  <c r="E11" i="217"/>
  <c r="D11" i="217"/>
  <c r="C11" i="217"/>
  <c r="B11" i="217"/>
  <c r="J10" i="217"/>
  <c r="J9" i="217"/>
  <c r="J11" i="217" l="1"/>
  <c r="D27" i="214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  <c r="E19" i="213"/>
  <c r="F19" i="213"/>
  <c r="D19" i="213"/>
  <c r="G18" i="213"/>
  <c r="G12" i="213"/>
  <c r="E13" i="213"/>
  <c r="F13" i="213"/>
  <c r="D13" i="213"/>
  <c r="G77" i="213"/>
  <c r="E141" i="213" l="1"/>
  <c r="D141" i="213"/>
  <c r="G140" i="213"/>
  <c r="G139" i="213"/>
  <c r="G138" i="213"/>
  <c r="G137" i="213"/>
  <c r="G136" i="213"/>
  <c r="F135" i="213"/>
  <c r="F141" i="213" s="1"/>
  <c r="G134" i="213"/>
  <c r="F130" i="213"/>
  <c r="E130" i="213"/>
  <c r="D130" i="213"/>
  <c r="G129" i="213"/>
  <c r="G128" i="213"/>
  <c r="G127" i="213"/>
  <c r="G126" i="213"/>
  <c r="F122" i="213"/>
  <c r="E122" i="213"/>
  <c r="D122" i="213"/>
  <c r="G121" i="213"/>
  <c r="G120" i="213"/>
  <c r="G119" i="213"/>
  <c r="G118" i="213"/>
  <c r="F114" i="213"/>
  <c r="E114" i="213"/>
  <c r="D114" i="213"/>
  <c r="G113" i="213"/>
  <c r="G114" i="213" s="1"/>
  <c r="F109" i="213"/>
  <c r="E109" i="213"/>
  <c r="D109" i="213"/>
  <c r="G108" i="213"/>
  <c r="G107" i="213"/>
  <c r="G106" i="213"/>
  <c r="G105" i="213"/>
  <c r="F101" i="213"/>
  <c r="E101" i="213"/>
  <c r="D101" i="213"/>
  <c r="G100" i="213"/>
  <c r="G99" i="213"/>
  <c r="G98" i="213"/>
  <c r="G97" i="213"/>
  <c r="F93" i="213"/>
  <c r="E93" i="213"/>
  <c r="D93" i="213"/>
  <c r="G92" i="213"/>
  <c r="G91" i="213"/>
  <c r="G90" i="213"/>
  <c r="G89" i="213"/>
  <c r="F85" i="213"/>
  <c r="D85" i="213"/>
  <c r="E85" i="213"/>
  <c r="F79" i="213"/>
  <c r="D79" i="213"/>
  <c r="E78" i="213"/>
  <c r="G78" i="213" s="1"/>
  <c r="G53" i="213"/>
  <c r="G55" i="213" s="1"/>
  <c r="F49" i="213"/>
  <c r="E49" i="213"/>
  <c r="D49" i="213"/>
  <c r="G48" i="213"/>
  <c r="G49" i="213" s="1"/>
  <c r="F44" i="213"/>
  <c r="E44" i="213"/>
  <c r="D44" i="213"/>
  <c r="G43" i="213"/>
  <c r="G44" i="213" s="1"/>
  <c r="F39" i="213"/>
  <c r="E39" i="213"/>
  <c r="D39" i="213"/>
  <c r="G38" i="213"/>
  <c r="G39" i="213" s="1"/>
  <c r="F34" i="213"/>
  <c r="E34" i="213"/>
  <c r="D34" i="213"/>
  <c r="G33" i="213"/>
  <c r="G34" i="213" s="1"/>
  <c r="F29" i="213"/>
  <c r="E29" i="213"/>
  <c r="D29" i="213"/>
  <c r="G28" i="213"/>
  <c r="G29" i="213" s="1"/>
  <c r="F24" i="213"/>
  <c r="F69" i="213" s="1"/>
  <c r="E24" i="213"/>
  <c r="D24" i="213"/>
  <c r="G23" i="213"/>
  <c r="G24" i="213" s="1"/>
  <c r="G17" i="213"/>
  <c r="G19" i="213" s="1"/>
  <c r="G11" i="213"/>
  <c r="G13" i="213" s="1"/>
  <c r="D69" i="213" l="1"/>
  <c r="E69" i="213"/>
  <c r="F167" i="213"/>
  <c r="D167" i="213"/>
  <c r="G69" i="213"/>
  <c r="E79" i="213"/>
  <c r="E167" i="213" s="1"/>
  <c r="G85" i="213"/>
  <c r="G101" i="213"/>
  <c r="G109" i="213"/>
  <c r="G93" i="213"/>
  <c r="G79" i="213"/>
  <c r="G130" i="213"/>
  <c r="G122" i="213"/>
  <c r="G135" i="213"/>
  <c r="G141" i="213" s="1"/>
  <c r="G167" i="213" l="1"/>
  <c r="D88" i="209"/>
  <c r="G354" i="210"/>
  <c r="F354" i="210"/>
  <c r="E354" i="210"/>
  <c r="D354" i="210"/>
  <c r="D343" i="210"/>
  <c r="I25" i="212" s="1"/>
  <c r="F345" i="210"/>
  <c r="I23" i="212"/>
  <c r="I16" i="212"/>
  <c r="D228" i="210"/>
  <c r="G197" i="210"/>
  <c r="F197" i="210"/>
  <c r="E197" i="210"/>
  <c r="D197" i="210"/>
  <c r="I13" i="212" s="1"/>
  <c r="G173" i="210"/>
  <c r="F173" i="210"/>
  <c r="E173" i="210"/>
  <c r="D173" i="210"/>
  <c r="I11" i="212" s="1"/>
  <c r="G95" i="210"/>
  <c r="F95" i="210"/>
  <c r="E95" i="210"/>
  <c r="D95" i="210"/>
  <c r="I10" i="212" s="1"/>
  <c r="G78" i="210"/>
  <c r="F78" i="210"/>
  <c r="E78" i="210"/>
  <c r="I9" i="212"/>
  <c r="G59" i="210"/>
  <c r="G60" i="210" s="1"/>
  <c r="F59" i="210"/>
  <c r="F60" i="210" s="1"/>
  <c r="E59" i="210"/>
  <c r="E60" i="210" s="1"/>
  <c r="D59" i="210"/>
  <c r="E47" i="210"/>
  <c r="D47" i="210"/>
  <c r="D35" i="210"/>
  <c r="G35" i="210"/>
  <c r="F35" i="210"/>
  <c r="E35" i="210"/>
  <c r="E21" i="210"/>
  <c r="D21" i="210"/>
  <c r="G202" i="209"/>
  <c r="F202" i="209"/>
  <c r="E202" i="209"/>
  <c r="D202" i="209"/>
  <c r="G195" i="209"/>
  <c r="F195" i="209"/>
  <c r="E195" i="209"/>
  <c r="D195" i="209"/>
  <c r="D26" i="212" s="1"/>
  <c r="G184" i="209"/>
  <c r="F184" i="209"/>
  <c r="E184" i="209"/>
  <c r="D184" i="209"/>
  <c r="D15" i="212" s="1"/>
  <c r="D14" i="212"/>
  <c r="G159" i="209"/>
  <c r="F159" i="209"/>
  <c r="E159" i="209"/>
  <c r="D159" i="209"/>
  <c r="D25" i="212" s="1"/>
  <c r="G150" i="209"/>
  <c r="G152" i="209" s="1"/>
  <c r="F150" i="209"/>
  <c r="F152" i="209" s="1"/>
  <c r="E150" i="209"/>
  <c r="E152" i="209" s="1"/>
  <c r="D150" i="209"/>
  <c r="D24" i="212"/>
  <c r="G110" i="209"/>
  <c r="F110" i="209"/>
  <c r="E110" i="209"/>
  <c r="D110" i="209"/>
  <c r="D21" i="212" s="1"/>
  <c r="D22" i="212"/>
  <c r="G88" i="209"/>
  <c r="G99" i="209" s="1"/>
  <c r="F88" i="209"/>
  <c r="F99" i="209" s="1"/>
  <c r="E88" i="209"/>
  <c r="G77" i="209"/>
  <c r="F77" i="209"/>
  <c r="E77" i="209"/>
  <c r="D77" i="209"/>
  <c r="G72" i="209"/>
  <c r="F72" i="209"/>
  <c r="E72" i="209"/>
  <c r="D72" i="209"/>
  <c r="G68" i="209"/>
  <c r="F68" i="209"/>
  <c r="F79" i="209" s="1"/>
  <c r="E68" i="209"/>
  <c r="D68" i="209"/>
  <c r="G59" i="209"/>
  <c r="F59" i="209"/>
  <c r="E59" i="209"/>
  <c r="D59" i="209"/>
  <c r="G33" i="209"/>
  <c r="G38" i="209" s="1"/>
  <c r="F33" i="209"/>
  <c r="F38" i="209" s="1"/>
  <c r="E33" i="209"/>
  <c r="E38" i="209" s="1"/>
  <c r="D33" i="209"/>
  <c r="D38" i="209" s="1"/>
  <c r="G13" i="209"/>
  <c r="G15" i="209" s="1"/>
  <c r="F13" i="209"/>
  <c r="F15" i="209" s="1"/>
  <c r="E13" i="209"/>
  <c r="E15" i="209" s="1"/>
  <c r="D13" i="209"/>
  <c r="D15" i="209" s="1"/>
  <c r="F27" i="209" l="1"/>
  <c r="G79" i="209"/>
  <c r="G345" i="210"/>
  <c r="D27" i="209"/>
  <c r="D9" i="212"/>
  <c r="D152" i="209"/>
  <c r="D23" i="212"/>
  <c r="D29" i="212" s="1"/>
  <c r="I12" i="212"/>
  <c r="I19" i="212" s="1"/>
  <c r="G247" i="210"/>
  <c r="D60" i="210"/>
  <c r="I21" i="212"/>
  <c r="I29" i="212" s="1"/>
  <c r="D345" i="210"/>
  <c r="G142" i="209"/>
  <c r="E79" i="209"/>
  <c r="E99" i="209"/>
  <c r="F142" i="209"/>
  <c r="D99" i="209"/>
  <c r="D11" i="212" s="1"/>
  <c r="F247" i="210"/>
  <c r="F347" i="210" s="1"/>
  <c r="D79" i="209"/>
  <c r="D10" i="212" s="1"/>
  <c r="E345" i="210"/>
  <c r="G47" i="210"/>
  <c r="G27" i="209"/>
  <c r="F21" i="210"/>
  <c r="G21" i="210"/>
  <c r="F47" i="210"/>
  <c r="E247" i="210"/>
  <c r="E142" i="209"/>
  <c r="D142" i="209"/>
  <c r="D247" i="210"/>
  <c r="E27" i="209"/>
  <c r="D49" i="210"/>
  <c r="E49" i="210"/>
  <c r="D168" i="209"/>
  <c r="E168" i="209"/>
  <c r="F168" i="209"/>
  <c r="G168" i="209"/>
  <c r="G170" i="209" l="1"/>
  <c r="G173" i="209" s="1"/>
  <c r="G206" i="209" s="1"/>
  <c r="G347" i="210"/>
  <c r="D19" i="212"/>
  <c r="D32" i="212" s="1"/>
  <c r="I32" i="212"/>
  <c r="D347" i="210"/>
  <c r="D358" i="210" s="1"/>
  <c r="F170" i="209"/>
  <c r="F173" i="209" s="1"/>
  <c r="F206" i="209" s="1"/>
  <c r="E347" i="210"/>
  <c r="E358" i="210" s="1"/>
  <c r="G49" i="210"/>
  <c r="F49" i="210"/>
  <c r="F358" i="210" s="1"/>
  <c r="E170" i="209"/>
  <c r="E173" i="209" s="1"/>
  <c r="E206" i="209" s="1"/>
  <c r="D170" i="209"/>
  <c r="D173" i="209" s="1"/>
  <c r="D206" i="209" s="1"/>
  <c r="G358" i="210" l="1"/>
  <c r="C29" i="212" l="1"/>
  <c r="G29" i="212"/>
  <c r="B29" i="212"/>
  <c r="G19" i="212"/>
  <c r="B19" i="212"/>
  <c r="C19" i="212" l="1"/>
  <c r="C32" i="212" s="1"/>
  <c r="G32" i="212"/>
  <c r="B32" i="212"/>
  <c r="H32" i="212" l="1"/>
</calcChain>
</file>

<file path=xl/sharedStrings.xml><?xml version="1.0" encoding="utf-8"?>
<sst xmlns="http://schemas.openxmlformats.org/spreadsheetml/2006/main" count="1730" uniqueCount="1124">
  <si>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</si>
  <si>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</si>
  <si>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</si>
  <si>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</si>
  <si>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</si>
  <si>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</si>
  <si>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</si>
  <si>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</si>
  <si>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</si>
  <si>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</si>
  <si>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</si>
  <si>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</si>
  <si>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</si>
  <si>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</si>
  <si>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</si>
  <si>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</si>
  <si>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</si>
  <si>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</si>
  <si>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</si>
  <si>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</si>
  <si>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</si>
  <si>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</si>
  <si>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</si>
  <si>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</si>
  <si>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</si>
  <si>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</si>
  <si>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</si>
  <si>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</si>
  <si>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</si>
  <si>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</si>
  <si>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</si>
  <si>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</si>
  <si>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</si>
  <si>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</si>
  <si>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</si>
  <si>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</si>
  <si>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</si>
  <si>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</si>
  <si>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</si>
  <si>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</si>
  <si>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</si>
  <si>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</si>
  <si>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</si>
  <si>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</si>
  <si>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</si>
  <si>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</si>
  <si>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</si>
  <si>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</si>
  <si>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</si>
  <si>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</si>
  <si>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</si>
  <si>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</si>
  <si>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</si>
  <si>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</si>
  <si>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</si>
  <si>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</si>
  <si>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</si>
  <si>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</si>
  <si>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</si>
  <si>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</si>
  <si>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</si>
  <si>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</si>
  <si>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</si>
  <si>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</si>
  <si>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</si>
  <si>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</si>
  <si>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</si>
  <si>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</si>
  <si>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</si>
  <si>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</si>
  <si>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</si>
  <si>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</si>
  <si>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</si>
  <si>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</si>
  <si>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</si>
  <si>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</si>
  <si>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</si>
  <si>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</si>
  <si>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</si>
  <si>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</si>
  <si>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</si>
  <si>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</si>
  <si>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</si>
  <si>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</si>
  <si>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</si>
  <si>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</si>
  <si>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</si>
  <si>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</si>
  <si>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</si>
  <si>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</si>
  <si>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</si>
  <si>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</si>
  <si>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</si>
  <si>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</si>
  <si>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</si>
  <si>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</si>
  <si>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</si>
  <si>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</si>
  <si>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</si>
  <si>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</si>
  <si>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</si>
  <si>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</si>
  <si>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</si>
  <si>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</si>
  <si>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</si>
  <si>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</si>
  <si>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</si>
  <si>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</si>
  <si>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</si>
  <si>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</si>
  <si>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</si>
  <si>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</si>
  <si>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</si>
  <si>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</si>
  <si>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</si>
  <si>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</si>
  <si>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</si>
  <si>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</si>
  <si>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</si>
  <si>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</si>
  <si>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</si>
  <si>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</si>
  <si>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</si>
  <si>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</si>
  <si>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</si>
  <si>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</si>
  <si>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</si>
  <si>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</si>
  <si>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</si>
  <si>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</si>
  <si>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</si>
  <si>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</si>
  <si>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</si>
  <si>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</si>
  <si>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</si>
  <si>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</si>
  <si>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</si>
  <si>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</si>
  <si>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</si>
  <si>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</si>
  <si>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</si>
  <si>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</si>
  <si>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</si>
  <si>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</si>
  <si>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</si>
  <si>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</si>
  <si>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</si>
  <si>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</si>
  <si>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</si>
  <si>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</si>
  <si>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</si>
  <si>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</si>
  <si>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</si>
  <si>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</si>
  <si>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</si>
  <si>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</si>
  <si>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</si>
  <si>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</si>
  <si>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</si>
  <si>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</si>
  <si>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</si>
  <si>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</si>
  <si>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</si>
  <si>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</si>
  <si>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</si>
  <si>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</si>
  <si>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</si>
  <si>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</si>
  <si>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</si>
  <si>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</si>
  <si>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</si>
  <si>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2. Működési célú költségvetési támogatások és kiegészítő támogatások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</si>
  <si>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</si>
  <si>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</si>
  <si>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</si>
  <si>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</si>
  <si>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</si>
  <si>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</si>
  <si>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</si>
  <si>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</si>
  <si>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</si>
  <si>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</si>
  <si>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</si>
  <si>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</si>
  <si>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</si>
  <si>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</si>
  <si>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</si>
  <si>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</si>
  <si>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</si>
  <si>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</si>
  <si>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</si>
  <si>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</si>
  <si>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</si>
  <si>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</si>
  <si>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</si>
  <si>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</si>
  <si>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</si>
  <si>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</si>
  <si>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</si>
  <si>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</si>
  <si>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</si>
  <si>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</si>
  <si>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</si>
  <si>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</si>
  <si>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</si>
  <si>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</si>
  <si>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</si>
  <si>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</si>
  <si>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</si>
  <si>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</si>
  <si>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</si>
  <si>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</si>
  <si>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</si>
  <si>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</si>
  <si>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</si>
  <si>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</si>
  <si>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</si>
  <si>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</si>
  <si>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</si>
  <si>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</si>
  <si>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</si>
  <si>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</si>
  <si>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</si>
  <si>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</si>
  <si>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</si>
  <si>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</si>
  <si>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</si>
  <si>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</si>
  <si>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</si>
  <si>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</si>
  <si>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2018. mód. ei.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</si>
  <si>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</si>
  <si>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</si>
  <si>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</si>
  <si>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1.3. Földi István Könyvtár (Tinódi Könyvtár)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</si>
  <si>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</si>
  <si>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</si>
  <si>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</si>
  <si>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</si>
  <si>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</si>
  <si>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</si>
  <si>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</si>
  <si>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2019. Eredeti előirányzat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</si>
  <si>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</si>
  <si>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</si>
  <si>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</si>
  <si>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</si>
  <si>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</si>
  <si>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</si>
  <si>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</si>
  <si>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</si>
  <si>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</si>
  <si>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</si>
  <si>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</si>
  <si>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</si>
  <si>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</si>
  <si>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</si>
  <si>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</si>
  <si>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</si>
  <si>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</si>
  <si>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</si>
  <si>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</si>
  <si>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</si>
  <si>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</si>
  <si>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</si>
  <si>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</si>
  <si>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</si>
  <si>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</si>
  <si>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</si>
  <si>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</si>
  <si>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</si>
  <si>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</si>
  <si>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</si>
  <si>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</si>
  <si>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</si>
  <si>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</si>
  <si>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</si>
  <si>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</si>
  <si>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</si>
  <si>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</si>
  <si>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</si>
  <si>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</si>
  <si>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</si>
  <si>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</si>
  <si>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</si>
  <si>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</si>
  <si>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</si>
  <si>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</si>
  <si>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</si>
  <si>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</si>
  <si>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</si>
  <si>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</si>
  <si>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</si>
  <si>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</si>
  <si>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</si>
  <si>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</si>
  <si>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</si>
  <si>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</si>
  <si>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</si>
  <si>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</si>
  <si>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</si>
  <si>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</si>
  <si>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</si>
  <si>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</si>
  <si>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</si>
  <si>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</si>
  <si>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</si>
  <si>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</si>
  <si>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</si>
  <si>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</si>
  <si>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</si>
  <si>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</si>
  <si>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</si>
  <si>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2019. 01.01. nyitóállomány</t>
  </si>
  <si>
    <t>7.</t>
  </si>
  <si>
    <t>OTP célhitel beruházásokra (1-2-18-4600-0174-4)</t>
  </si>
  <si>
    <t>2025.</t>
  </si>
  <si>
    <t>2026-tól</t>
  </si>
  <si>
    <t>2019. évi kiemelt kiadási előirányzata</t>
  </si>
  <si>
    <t>2019. eredeti</t>
  </si>
  <si>
    <t>2019.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</si>
  <si>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</si>
  <si>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</si>
  <si>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</si>
  <si>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</si>
  <si>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</si>
  <si>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</si>
  <si>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</si>
  <si>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</si>
  <si>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</si>
  <si>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</si>
  <si>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</si>
  <si>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</si>
  <si>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</si>
  <si>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</si>
  <si>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</si>
  <si>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</si>
  <si>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</si>
  <si>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</si>
  <si>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</si>
  <si>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</si>
  <si>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</si>
  <si>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</si>
  <si>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</si>
  <si>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</si>
  <si>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</si>
  <si>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Csökkenés 2020-ban</t>
  </si>
  <si>
    <t>2019. évi nyitó</t>
  </si>
  <si>
    <t>2019. évi növekedés</t>
  </si>
  <si>
    <t>Csökkenés 2021-ben</t>
  </si>
  <si>
    <t>Dombóvár Város Önkormányzatának költségvetési mérlege</t>
  </si>
  <si>
    <t>2020. év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</si>
  <si>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</si>
  <si>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</si>
  <si>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</si>
  <si>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</si>
  <si>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</si>
  <si>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</si>
  <si>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</si>
  <si>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</si>
  <si>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</si>
  <si>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</si>
  <si>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</si>
  <si>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</si>
  <si>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</si>
  <si>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</si>
  <si>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</si>
  <si>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</si>
  <si>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</si>
  <si>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</si>
  <si>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</si>
  <si>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</si>
  <si>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</si>
  <si>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</si>
  <si>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</si>
  <si>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</si>
  <si>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</si>
  <si>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</si>
  <si>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</si>
  <si>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</si>
  <si>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</si>
  <si>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</si>
  <si>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</si>
  <si>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</si>
  <si>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</si>
  <si>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</si>
  <si>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</si>
  <si>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</si>
  <si>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</si>
  <si>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</si>
  <si>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</si>
  <si>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</si>
  <si>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</si>
  <si>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</si>
  <si>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</si>
  <si>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</si>
  <si>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</si>
  <si>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</si>
  <si>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</si>
  <si>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</si>
  <si>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</si>
  <si>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</si>
  <si>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</si>
  <si>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</si>
  <si>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</si>
  <si>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</si>
  <si>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</si>
  <si>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</si>
  <si>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</si>
  <si>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</si>
  <si>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</si>
  <si>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</si>
  <si>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</si>
  <si>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</si>
  <si>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</si>
  <si>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</si>
  <si>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</si>
  <si>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</si>
  <si>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</si>
  <si>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</si>
  <si>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</si>
  <si>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</si>
  <si>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</si>
  <si>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</si>
  <si>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</si>
  <si>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</si>
  <si>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</si>
  <si>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</si>
  <si>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</si>
  <si>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</si>
  <si>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</si>
  <si>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</si>
  <si>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</si>
  <si>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</si>
  <si>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</si>
  <si>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</si>
  <si>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</si>
  <si>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</si>
  <si>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</si>
  <si>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</si>
  <si>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</si>
  <si>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</si>
  <si>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</si>
  <si>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</si>
  <si>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</si>
  <si>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</si>
  <si>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</si>
  <si>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</si>
  <si>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</si>
  <si>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</si>
  <si>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</si>
  <si>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</si>
  <si>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</si>
  <si>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</si>
  <si>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</si>
  <si>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</si>
  <si>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</si>
  <si>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</si>
  <si>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</si>
  <si>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</si>
  <si>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</si>
  <si>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</si>
  <si>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</si>
  <si>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</si>
  <si>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</si>
  <si>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</si>
  <si>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</si>
  <si>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</si>
  <si>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</si>
  <si>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</si>
  <si>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</si>
  <si>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</si>
  <si>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</si>
  <si>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</si>
  <si>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</si>
  <si>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Dombóvár Város Önkormányzata 2019. évi előirányzat felhasználási terve</t>
  </si>
  <si>
    <t>Műkö-  dési  bevétel</t>
  </si>
  <si>
    <t>Felhalmozási bevétel</t>
  </si>
  <si>
    <t>Átvett pénz- eszköz</t>
  </si>
  <si>
    <t>Pénzma-   radv. + Alulfin.</t>
  </si>
  <si>
    <t>Állami támogatás + NEAK</t>
  </si>
  <si>
    <t>Önk. tám.</t>
  </si>
  <si>
    <t>Int.fin.</t>
  </si>
  <si>
    <t>Integrált Önkormányzati Szolg. Szerv.</t>
  </si>
  <si>
    <t>Tinódi Könyvtár</t>
  </si>
  <si>
    <t>Intézmények finanszírozása 2019. évben</t>
  </si>
  <si>
    <t>2.1. Tinódi Ház Nkft. működésére</t>
  </si>
  <si>
    <t>Tulajdonjog, illetve haszonélvezeti jog alapján a kedvezmény 974 adózót, a mentesség 2.303 adózót érintett az előző évben.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</si>
  <si>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</si>
  <si>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</si>
  <si>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</si>
  <si>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</si>
  <si>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</si>
  <si>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</si>
  <si>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</si>
  <si>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</si>
  <si>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</si>
  <si>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</si>
  <si>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</si>
  <si>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</si>
  <si>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 xml:space="preserve">    Bölcsőde</t>
  </si>
  <si>
    <t xml:space="preserve">    Óvoda</t>
  </si>
  <si>
    <t xml:space="preserve">    Dombóvár</t>
  </si>
  <si>
    <t xml:space="preserve">    Szakcs</t>
  </si>
  <si>
    <t>létszámkerete 2019. évben</t>
  </si>
  <si>
    <t>Több évre kihatással járó kötelezettségvállalások 2018-2019.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</si>
  <si>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</si>
  <si>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</si>
  <si>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</si>
  <si>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</si>
  <si>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2019.</t>
  </si>
  <si>
    <t>Összeg (Ft/év)  2018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</si>
  <si>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</si>
  <si>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</si>
  <si>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</si>
  <si>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</si>
  <si>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</si>
  <si>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</si>
  <si>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</si>
  <si>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</si>
  <si>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</si>
  <si>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</si>
  <si>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</si>
  <si>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</si>
  <si>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</si>
  <si>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</si>
  <si>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</si>
  <si>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</si>
  <si>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</si>
  <si>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</si>
  <si>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</si>
  <si>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</si>
  <si>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</si>
  <si>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</si>
  <si>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</si>
  <si>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</si>
  <si>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1 773 903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</si>
  <si>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</si>
  <si>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</si>
  <si>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</si>
  <si>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</si>
  <si>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2018.12.31. (szerződés módosítás folyamatban)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</si>
  <si>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</si>
  <si>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</si>
  <si>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</si>
  <si>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</si>
  <si>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</si>
  <si>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</si>
  <si>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</si>
  <si>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</si>
  <si>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</si>
  <si>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2 949 947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</si>
  <si>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</si>
  <si>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</si>
  <si>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</si>
  <si>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</si>
  <si>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</si>
  <si>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</si>
  <si>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</si>
  <si>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</si>
  <si>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</si>
  <si>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</si>
  <si>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felelősségbiztosítás-LHL-651 (Szakcs)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</si>
  <si>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</si>
  <si>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</si>
  <si>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</si>
  <si>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</si>
  <si>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</si>
  <si>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</si>
  <si>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</si>
  <si>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</si>
  <si>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</si>
  <si>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</si>
  <si>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</si>
  <si>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</si>
  <si>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</si>
  <si>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</si>
  <si>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</si>
  <si>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</si>
  <si>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</si>
  <si>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</si>
  <si>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</si>
  <si>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</si>
  <si>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</si>
  <si>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</si>
  <si>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</si>
  <si>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</si>
  <si>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vezetékes telefonok, és internet - Szakcs</t>
  </si>
  <si>
    <t>mobiltelefon előfizetése-Szakcs (30/501-3166)</t>
  </si>
  <si>
    <t>Márton Zoltán ev.</t>
  </si>
  <si>
    <t>PH épületek fűtési rendszerek üzemeltetése, karbantartása</t>
  </si>
  <si>
    <t>folyamatban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</si>
  <si>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</si>
  <si>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</si>
  <si>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</si>
  <si>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</si>
  <si>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</si>
  <si>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</si>
  <si>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</si>
  <si>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</si>
  <si>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</si>
  <si>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</si>
  <si>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</si>
  <si>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</si>
  <si>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</si>
  <si>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</si>
  <si>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</si>
  <si>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</si>
  <si>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</si>
  <si>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</si>
  <si>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</si>
  <si>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</si>
  <si>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</si>
  <si>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</si>
  <si>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</si>
  <si>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</si>
  <si>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</si>
  <si>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</si>
  <si>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</si>
  <si>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</si>
  <si>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</si>
  <si>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</si>
  <si>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</si>
  <si>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</si>
  <si>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</si>
  <si>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</si>
  <si>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</si>
  <si>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</si>
  <si>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</si>
  <si>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</si>
  <si>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UNION Vienna Insurance Group Biztosító Zrt.</t>
  </si>
  <si>
    <t>gépjármű-felelősség biztosítás + casco - BIT-249</t>
  </si>
  <si>
    <t>VARITEL Irodatechnika</t>
  </si>
  <si>
    <t>fénymásoló (KONICA Minolta BizHub 283)bérleti díja</t>
  </si>
  <si>
    <t>2018.12.31. szerződés módosítás folyamatban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</si>
  <si>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</si>
  <si>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</si>
  <si>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</si>
  <si>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</si>
  <si>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</si>
  <si>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Veolia Zrt. (Dombóvárhő)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</si>
  <si>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</si>
  <si>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</si>
  <si>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</si>
  <si>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</si>
  <si>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</si>
  <si>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</si>
  <si>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</si>
  <si>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Több évre kihatással járó kötelezettségvállalások 2018-2019. évi kifizetései (Dombóvár Város Önkormányzata)</t>
  </si>
  <si>
    <t>Összeg (Ft/év)  2018.</t>
  </si>
  <si>
    <t>5T Építészeti és Városfejlesztési Kft.</t>
  </si>
  <si>
    <t>Településrendezési tervek módosítása</t>
  </si>
  <si>
    <t>AEGON Magyarország Zrt</t>
  </si>
  <si>
    <t>Vagyonbiztosítás</t>
  </si>
  <si>
    <t>2 489 916</t>
  </si>
  <si>
    <t>2018.12.31. (évente új szerződés)</t>
  </si>
  <si>
    <t>klasszikus élet- és személybiztosítás (Szabó Loránd)</t>
  </si>
  <si>
    <t>840 135</t>
  </si>
  <si>
    <t>1 417 027</t>
  </si>
  <si>
    <t>ARKER-INVEST Kft</t>
  </si>
  <si>
    <t>Dombóvár városkártya-jogdíj</t>
  </si>
  <si>
    <t>ATEV Fehérjefeldolgozó Rt.</t>
  </si>
  <si>
    <t>állati hulladék szállítása</t>
  </si>
  <si>
    <t>AQUALOR Kft</t>
  </si>
  <si>
    <t>ivóvíz-szennyvízhálózat tervezési munkái-Kéknefelejcs u.</t>
  </si>
  <si>
    <t>ivóvíz-szennyvízhálózat tervezési munkái-Bezerédj u.</t>
  </si>
  <si>
    <t>Balaskó János e.v.</t>
  </si>
  <si>
    <t>városi fúvószenekar felkészítése</t>
  </si>
  <si>
    <t>2018.12.31 (évente új szerződés)</t>
  </si>
  <si>
    <t>BALUX Építő és Szolgáltató Ipari Bt.</t>
  </si>
  <si>
    <t>Platán tér 1-3-5. csapadékvíz rendezési munkái</t>
  </si>
  <si>
    <t>Bartal és Rabb Kft</t>
  </si>
  <si>
    <t>Korona Szálló állagmegóvási terve</t>
  </si>
  <si>
    <t>BIOKOM Nonprofit Kft.</t>
  </si>
  <si>
    <t>32 m3-es konténer bérlete-Lucza hegyi hulladékudvar</t>
  </si>
  <si>
    <t>15 m3-es konténer bérlete-Lucza hegyi hulladékudvar (padkaszemét gyűjtéséhez)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</si>
  <si>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</si>
  <si>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</si>
  <si>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</si>
  <si>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</si>
  <si>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</si>
  <si>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</si>
  <si>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</si>
  <si>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</si>
  <si>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</si>
  <si>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</si>
  <si>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közszolgáltatási feladatok ellátása-települési hulladék gyűjtése, kezelése, Kaposszekcsői hulladéklerakóra való beszállítása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</si>
  <si>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</si>
  <si>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</si>
  <si>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</si>
  <si>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</si>
  <si>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</si>
  <si>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</si>
  <si>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</si>
  <si>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</si>
  <si>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</si>
  <si>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</si>
  <si>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tájékoztatási és nyilvánosságbiztosítási feladatok-TOP-4.3.1-15-TL1-2016-00003</t>
  </si>
  <si>
    <t>tájékoztatási és nyilvánosságbiztosítási feladatok-TOP-5.2.1-15-TL1-2016-00001</t>
  </si>
  <si>
    <t>marketing és kommunikációs feladatok-TOP-5.2.1-15-TL1-2016-00001</t>
  </si>
  <si>
    <t>tájékoztatási és nyilvánosságbiztosítási feladatok-TOP-5.2.1-15-TL1-2016-00002</t>
  </si>
  <si>
    <t>marketing és kommunikációs feladatok-TOP-5.2.1-15-TL1-2016-00002</t>
  </si>
  <si>
    <t>marketing és kommunikációs feladatok-TOP-5.2.1-15-TL1-2016-00003</t>
  </si>
  <si>
    <t>tájékoztatási és nyilvánosságbiztosítási feladatok-TOP-5.2.1-15-TL1-2016-00003</t>
  </si>
  <si>
    <t>Dombóvár 1043/4 sz. Társasház</t>
  </si>
  <si>
    <t>Pannónia u. 56. rendelő közös ktg.-fel.ellátási szerz. alap.</t>
  </si>
  <si>
    <t>közös költség-Pannónia u. 54, Pannónia u. 56. (bérlakások)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</si>
  <si>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</si>
  <si>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</si>
  <si>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</si>
  <si>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</si>
  <si>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</si>
  <si>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</si>
  <si>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civil szervezetek támogatása</t>
  </si>
  <si>
    <t>HACS Egyesület által kiírásra kerülő "A" típusú - kisléptékű infrastruktúrafejlesztés és tárgyi eszköz beszerzés- elnevezésű felhívsra benyújtandó pályázat elkészítéséhez külső szakértő igénybe vételének támogatása</t>
  </si>
  <si>
    <t>Dombóvári Illyés Gyula Gimnáziumért Alapítvány</t>
  </si>
  <si>
    <t>Gimnáziumi Tehetséggondozó Program</t>
  </si>
  <si>
    <t>Dombóvári Szent Lukács Kórház</t>
  </si>
  <si>
    <t>Dombóvári Város- és Lakásgazd. Nkft.</t>
  </si>
  <si>
    <t>közfeladatok ellátása</t>
  </si>
  <si>
    <t>Rákóczi u. járdafelújításhoz kapcsolódó anyagköltség</t>
  </si>
  <si>
    <t>Dombóvári Vízmű Kft.</t>
  </si>
  <si>
    <t>viziközmű-fejlesztéssel kapcs. műszaki tanácsadói feladatok</t>
  </si>
  <si>
    <t>távhővagyon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</si>
  <si>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</si>
  <si>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</si>
  <si>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</si>
  <si>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</si>
  <si>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</si>
  <si>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</si>
  <si>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</si>
  <si>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</si>
  <si>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</si>
  <si>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2016-2030. évi gördülő fejlesztési terv operatív évében szereplő igények végrehajtása-2017. év</t>
  </si>
  <si>
    <t>Szennyvízátemelőkhöz 4 db Grundfos szivattyú beszerzése</t>
  </si>
  <si>
    <t>ECOLINE Zrt.</t>
  </si>
  <si>
    <t>Szakvélemény készítése a dombóvári szennyvíztisztító telep vagyonfelosztásáról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</si>
  <si>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</si>
  <si>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</si>
  <si>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</si>
  <si>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</si>
  <si>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</si>
  <si>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</si>
  <si>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</si>
  <si>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</si>
  <si>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</si>
  <si>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</si>
  <si>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</si>
  <si>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</si>
  <si>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</si>
  <si>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Festett-Jel Kft</t>
  </si>
  <si>
    <t>úthálózat és burkolt közterületeken útburkolati jelek felújító festése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</si>
  <si>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</si>
  <si>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</si>
  <si>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</si>
  <si>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rehabilitációs környezettervező szakértői feladatok-TOP-3.2.1-15-TL1-2016-00026 épületenergetikai korszerűsítés a dombóvári Illyés Gyula Gimnázium épületén</t>
  </si>
  <si>
    <t>kivitelezéshez igazodóan</t>
  </si>
  <si>
    <t>Garden Force Kft.</t>
  </si>
  <si>
    <t>Szigeterdő közösségi tér kertépészeti engedélyezési és kiviteli tervezési munkái</t>
  </si>
  <si>
    <t>engedélyezési terv: 2018.12.29 , kiviteli terv: enged. Terv elfogadásától számított 60 nap</t>
  </si>
  <si>
    <t>Gond-X Kft.</t>
  </si>
  <si>
    <t>Szigeterdei lakótorony 24 órás távfelügyelete, Termál u. 5. nyaraló</t>
  </si>
  <si>
    <t>Junior Étterem 24 órás távfelügyelete,  műszaki kész. és karb. Riasztóhoz</t>
  </si>
  <si>
    <t>beépített tűzátjelző rendszer távfelügyelete-Park u. 2. Fogyatékkal Élők Otthona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</si>
  <si>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</si>
  <si>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</si>
  <si>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</si>
  <si>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</si>
  <si>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</si>
  <si>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</si>
  <si>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kerékpár bérlés-Gunaras</t>
  </si>
  <si>
    <t>Halmai József e.v.</t>
  </si>
  <si>
    <t>rágcsáló, kártevő és rovarírtás</t>
  </si>
  <si>
    <t>Horváth Jánosné</t>
  </si>
  <si>
    <t>ingatlanvásárlás-Kótház u. 2/A. I. emelet 7. lakás-TOP-4.3.1-15-TL1-2016-00003</t>
  </si>
  <si>
    <t>Horváthné Kiss Zsuzsanna</t>
  </si>
  <si>
    <t>ingatlanvásárlás-Szigetsor u. 11/B. (1932/4. hrsz.)</t>
  </si>
  <si>
    <t>Hübner Mátyás e.v.</t>
  </si>
  <si>
    <t>településképi rendelet és Településképi Arculati Kézikönyv elkészítése</t>
  </si>
  <si>
    <t>Intergált Önkormányzati Szolgáltató Szervezet</t>
  </si>
  <si>
    <t>veszélyes hulladék elszállítása-orvosi rendelők</t>
  </si>
  <si>
    <t>INVESTMENT Mérnöki és Fővállalkozó Kft.</t>
  </si>
  <si>
    <t>Pannónia utca kerékpársáv felújítása</t>
  </si>
  <si>
    <t>3 784 600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</si>
  <si>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</si>
  <si>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</si>
  <si>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</si>
  <si>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</si>
  <si>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</si>
  <si>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</si>
  <si>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146 488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</si>
  <si>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</si>
  <si>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</si>
  <si>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</si>
  <si>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</si>
  <si>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</si>
  <si>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</si>
  <si>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</si>
  <si>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</si>
  <si>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volt Népkonyha épülete mögött 3 db lakóépület bontása-TOP-4.3.1-15-TLI-2016-00004 Kakasdomb-Erzsébet u.</t>
  </si>
  <si>
    <t>1 219 200</t>
  </si>
  <si>
    <t>Erzsébet u. 16. épület bontása-TOP-4.3.1-15-TL1-2016-00004</t>
  </si>
  <si>
    <t>Ady E. utcát és Árnyas utcát összekötő köz részbeni járdafelújítása</t>
  </si>
  <si>
    <t>Közép-Dunántúli Vizügy.Ig.Balatoni Kir.</t>
  </si>
  <si>
    <t>mederhasználat díja Balatonfenyves tábor</t>
  </si>
  <si>
    <t>Magnólia Art Kertépítő Kft.</t>
  </si>
  <si>
    <t>Tinódi Ház környezete kertépészeti tendertervének elkészítése</t>
  </si>
  <si>
    <t>katasztrófavédelmi hatóság véleményétől számított 60 nap</t>
  </si>
  <si>
    <t>Magyar Európa Park Szövetség Egyesület</t>
  </si>
  <si>
    <t>Pénztárgép spec. informatikai szolg.-Tourinform Iroda</t>
  </si>
  <si>
    <t>uszoda tűzjelző</t>
  </si>
  <si>
    <t>kamerarendszer üzem.-Víztorony</t>
  </si>
  <si>
    <t>Márkus Mérnöki Iroda Kft</t>
  </si>
  <si>
    <t>Műszaki ellenőri feladatok: Erzsébet u. 16. udvari szárnyépület bontása-TOP-4.3.1-15-TL1-2016-00004 DARK</t>
  </si>
  <si>
    <t>203 200</t>
  </si>
  <si>
    <t>Műszaki ellenőri feladatok-épületenergetikai korszerűsítés az Illyés Gyula Gimnázium épületén, TOP-3.2.1-15-TL1-2016-00025</t>
  </si>
  <si>
    <t>1 524 000</t>
  </si>
  <si>
    <t>Műszaki ellenőri feladatok-Pataki Ferenc u. víz-szennyvíz gerincvezeték hálózat kiépítése</t>
  </si>
  <si>
    <t>939 800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</si>
  <si>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</si>
  <si>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</si>
  <si>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</si>
  <si>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</si>
  <si>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</si>
  <si>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</si>
  <si>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</si>
  <si>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</si>
  <si>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</si>
  <si>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</si>
  <si>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</si>
  <si>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MSB Fejlesztési Tanácsadó Zrt.</t>
  </si>
  <si>
    <t>HEEFT tanulmány elkészítése-EFOP-1.5.3-16 projekt</t>
  </si>
  <si>
    <t>Multi Alarm Zrt.</t>
  </si>
  <si>
    <t>Kamera rendszer kiépítse, bővítése (6db + 10db kamera)+karbantartás</t>
  </si>
  <si>
    <t>városi térfigyelő rendszer központjának fejléesztése, áthelyezése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</si>
  <si>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</si>
  <si>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</si>
  <si>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</si>
  <si>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</si>
  <si>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</si>
  <si>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</si>
  <si>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</si>
  <si>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</si>
  <si>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</si>
  <si>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</si>
  <si>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Pallos-Bau Kft.</t>
  </si>
  <si>
    <t>Farkas Attila uszodainfrastrukturális fejlesztése-I. ütem kiviteli tervei</t>
  </si>
  <si>
    <t>Qilaq Solution Kft.</t>
  </si>
  <si>
    <t>új honlap kialakítása az INDA11 programhoz kapcsolódóan</t>
  </si>
  <si>
    <t>Reality - Property Kft.</t>
  </si>
  <si>
    <t>Rehadombó KFt.</t>
  </si>
  <si>
    <t>projektműködést támogató eszközök és szakmai megvalósításhozkapcsolódó anyagok-EFOP-1.5.3-16-2017-00063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</si>
  <si>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</si>
  <si>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</si>
  <si>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</si>
  <si>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</si>
  <si>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Presidium Közhasznú Egyesület</t>
  </si>
  <si>
    <t>ajándéktárgy értékesítés bizományosi szerződés alapján</t>
  </si>
  <si>
    <t>25 740</t>
  </si>
  <si>
    <t>S-BERRY GROUP Kft.</t>
  </si>
  <si>
    <t>városi rendezvények szervezési feladatai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</si>
  <si>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</si>
  <si>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</si>
  <si>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</si>
  <si>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</si>
  <si>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karácsonyi díszvilágítás felszerelése, leszerelése--2017-2018.</t>
  </si>
  <si>
    <t>Szedibau Építőiprai, Kereskedelmi és Szolgáltató Kft.</t>
  </si>
  <si>
    <t>út- és parkoló burkolat felújítási munkái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</si>
  <si>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</si>
  <si>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</si>
  <si>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</si>
  <si>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</si>
  <si>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</si>
  <si>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</si>
  <si>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</si>
  <si>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</si>
  <si>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</si>
  <si>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</si>
  <si>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Tálos Róbert e.v.</t>
  </si>
  <si>
    <t>szilveszteri tüzijáték</t>
  </si>
  <si>
    <t>Társasház Kaposszekcső, Liget ltp. 5.</t>
  </si>
  <si>
    <t>közös költség-Liget ltp. 5. A, B, C lépcsőházak (bérlakások)</t>
  </si>
  <si>
    <t>Tinódi Ház Nonprofit Kft.</t>
  </si>
  <si>
    <t>rendezvényszervezés és lebonyolítás-Negyedik Láng, téltemető túra, rügyfakasztó kerékpáros családi barangolás Szőlőhegyen</t>
  </si>
  <si>
    <t>TMK-BAU Építő, Kereskedelmi és Szolgáltató Kft.</t>
  </si>
  <si>
    <t>önkormányzat tulajdonában lévő lakásállomány javítási, karbantartási munkái</t>
  </si>
  <si>
    <t>Topa és Társa Építési Kft.</t>
  </si>
  <si>
    <t>pótmunka-épületenergetikai korszerűsítés a Dombóvári Illyés Gyula Gimnázium épületén-TOP-3.2.1-15-TL1-2016-00025</t>
  </si>
  <si>
    <t>6 290 137</t>
  </si>
  <si>
    <t>épületenergetikai korszerűsítés a Dombóvári Illyés Gyula Gimnázium épületén-TOP-3.2.1-15-TL1-2016-00025</t>
  </si>
  <si>
    <t>29 793 789</t>
  </si>
  <si>
    <t>119 175 161</t>
  </si>
  <si>
    <t>Gunaras, Fürdő u. térkő burkolatos járda és kerékpárút építése, Tó u. kerékpárnyom felfestése, aszfaltburkolat helyreállítása</t>
  </si>
  <si>
    <t>8 883 607</t>
  </si>
  <si>
    <t>20 db közkifolyó megszüntetésének helyreállítási munkái</t>
  </si>
  <si>
    <t>Lehel sor páratlan (keleti) oldalán az árok járdalapos kiépítése</t>
  </si>
  <si>
    <t>munkaterület átadásától számított 30 nap</t>
  </si>
  <si>
    <t>köztemetés</t>
  </si>
  <si>
    <t>Anubis-Ré Temetkezési Szolgáltató Kft.</t>
  </si>
  <si>
    <t>U Light ESCO Kft.</t>
  </si>
  <si>
    <t>közvilágítási elemek karbantartása-"aktív"</t>
  </si>
  <si>
    <t>közvilágítás bővítési munkák: Mikszáth K. u., Kórház u., Péczeli u., Buzánszky u., Berzsenyi u.</t>
  </si>
  <si>
    <t>7 556 665</t>
  </si>
  <si>
    <t>laptop, nyomtató, office-EFOP-1.5.3-16-2017-00063</t>
  </si>
  <si>
    <t>Wagner Ernő e.v</t>
  </si>
  <si>
    <t>energetikai tanúsítványok készítése</t>
  </si>
  <si>
    <t>ZNET Telekom Zrt.</t>
  </si>
  <si>
    <t>AirBusiness 10/10 internet-Víztorony</t>
  </si>
  <si>
    <t>kamerarendszer kiépítés, karbantartása, üzem.-Víztorony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</si>
  <si>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</si>
  <si>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</si>
  <si>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</si>
  <si>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</si>
  <si>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</si>
  <si>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</si>
  <si>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</si>
  <si>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</si>
  <si>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</si>
  <si>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</si>
  <si>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</si>
  <si>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</si>
  <si>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</si>
  <si>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</si>
  <si>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</si>
  <si>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</si>
  <si>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</si>
  <si>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</si>
  <si>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</si>
  <si>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</si>
  <si>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</si>
  <si>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</si>
  <si>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</si>
  <si>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</si>
  <si>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</si>
  <si>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</si>
  <si>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</si>
  <si>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</si>
  <si>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</si>
  <si>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</si>
  <si>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</si>
  <si>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</si>
  <si>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</si>
  <si>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</si>
  <si>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</si>
  <si>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</si>
  <si>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</si>
  <si>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</si>
  <si>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</si>
  <si>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</si>
  <si>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</si>
  <si>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</si>
  <si>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</si>
  <si>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</si>
  <si>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</si>
  <si>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</si>
  <si>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</si>
  <si>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</si>
  <si>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</si>
  <si>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</si>
  <si>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</si>
  <si>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</si>
  <si>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</si>
  <si>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</si>
  <si>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</si>
  <si>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</si>
  <si>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</si>
  <si>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</si>
  <si>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</si>
  <si>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</si>
  <si>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</si>
  <si>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</si>
  <si>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</si>
  <si>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</si>
  <si>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</si>
  <si>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</si>
  <si>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</si>
  <si>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</si>
  <si>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</si>
  <si>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</si>
  <si>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</si>
  <si>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</si>
  <si>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</si>
  <si>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</si>
  <si>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</si>
  <si>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</si>
  <si>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</si>
  <si>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</si>
  <si>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</si>
  <si>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</si>
  <si>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</si>
  <si>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</si>
  <si>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</si>
  <si>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</si>
  <si>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</si>
  <si>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</si>
  <si>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</si>
  <si>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</si>
  <si>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</si>
  <si>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</si>
  <si>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</si>
  <si>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</si>
  <si>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</si>
  <si>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</si>
  <si>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</si>
  <si>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</si>
  <si>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</si>
  <si>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</si>
  <si>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</si>
  <si>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</si>
  <si>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</si>
  <si>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</si>
  <si>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</si>
  <si>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</si>
  <si>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</si>
  <si>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</si>
  <si>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</si>
  <si>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</si>
  <si>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</si>
  <si>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</si>
  <si>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</si>
  <si>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</si>
  <si>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</si>
  <si>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</si>
  <si>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</si>
  <si>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</si>
  <si>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</si>
  <si>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</si>
  <si>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</si>
  <si>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</si>
  <si>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</si>
  <si>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</si>
  <si>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</si>
  <si>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</si>
  <si>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</si>
  <si>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</si>
  <si>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</si>
  <si>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</si>
  <si>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</si>
  <si>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</si>
  <si>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</si>
  <si>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</si>
  <si>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</si>
  <si>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</si>
  <si>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</si>
  <si>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</si>
  <si>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</si>
  <si>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</si>
  <si>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</si>
  <si>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</si>
  <si>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</si>
  <si>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</si>
  <si>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</si>
  <si>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</si>
  <si>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9. Kisértékű tárgyi eszközök beszerzése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</si>
  <si>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</si>
  <si>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</si>
  <si>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</si>
  <si>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</si>
  <si>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</si>
  <si>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</si>
  <si>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</si>
  <si>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15. Farkas Attila Uszoda új épületrészében fűtés kialakítása és egy plusz ajtó beépítésa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</si>
  <si>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</si>
  <si>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</si>
  <si>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</si>
  <si>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</si>
  <si>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</si>
  <si>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</si>
  <si>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</si>
  <si>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</si>
  <si>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</si>
  <si>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energetikai képzési anyag kidolgozása és képzés tartása-TOP-3.2.1-15-TL1-2016-00025 épületnergetikai korszerűsítés a Dombóvári Illyés Gyula Gimnázium épületén</t>
  </si>
  <si>
    <t>támogatás (közművelődési szerződés)</t>
  </si>
  <si>
    <t>2017-19. év</t>
  </si>
  <si>
    <t>30. Csapadékvíz átemelő gépészeti és szivattyú felújítása II. ütem</t>
  </si>
  <si>
    <t>4.2. Dombóvári Városgazdálkodási Nkft-től lakbér, bérleti díj</t>
  </si>
  <si>
    <t xml:space="preserve">Engedélyezett létszám 2019. évre 83  fő </t>
  </si>
  <si>
    <t>- Dombóvár 76 fő ( 5 fő rehabos)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</si>
  <si>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</si>
  <si>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</si>
  <si>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</si>
  <si>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</si>
  <si>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25. Újdombóvári körfogalom átszervezése, parkoló kialakítása árok lefedéssel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</si>
  <si>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</si>
  <si>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</si>
  <si>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</si>
  <si>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</si>
  <si>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</si>
  <si>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</si>
  <si>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</si>
  <si>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</si>
  <si>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</si>
  <si>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</si>
  <si>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</si>
  <si>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</si>
  <si>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</si>
  <si>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</si>
  <si>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</si>
  <si>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</si>
  <si>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</si>
  <si>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</si>
  <si>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</si>
  <si>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</si>
  <si>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</si>
  <si>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</si>
  <si>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</si>
  <si>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</si>
  <si>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</si>
  <si>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</si>
  <si>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</si>
  <si>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</si>
  <si>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</si>
  <si>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2.a. melléklet a 9/2019. (II. 28.) önkormányzati rendelethez</t>
  </si>
  <si>
    <t>3. melléklet a 9/2019. (II. 28.) önkormányzati rendelethez</t>
  </si>
  <si>
    <t>4. melléklet a 9/2019. (II. 28.) önkormányzati rendelethez</t>
  </si>
  <si>
    <t>5.a melléklet a 9/2019. (II. 28.) önkormányzati rendelethez</t>
  </si>
  <si>
    <t>5.b melléklet a 9/2019. (II. 28.) önkormányzati rendelethez</t>
  </si>
  <si>
    <t>5.c melléklet a 9/2019. (II. 28.)  önkormányzati rendelethez</t>
  </si>
  <si>
    <t>6. melléklet a 9/2019. (II. 28.) önkormányzati rendelethez</t>
  </si>
  <si>
    <t>7. melléklet a 9/2019. (II. 28.) önkormányzati rendelethez</t>
  </si>
  <si>
    <t>8. melléklet a 9/2019. (II. 28.) önkormányzati rendelethez</t>
  </si>
  <si>
    <t xml:space="preserve"> 8/a melléklet a 9/2019. (II. 28.) önkormányzati rendelethez</t>
  </si>
  <si>
    <t>9. melléklet a 9/2019. (II. 28.) önkormányzati rendelethez</t>
  </si>
  <si>
    <t>10. melléklet a 9/2019. 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</si>
</sst>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3" fillId="0" borderId="0" applyBorder="0"/>
    <xf numFmtId="0" fontId="3" fillId="0" borderId="0" applyBorder="0"/>
  </cellStyleXfs>
  <cellXfs count="711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33" fillId="0" borderId="0" xfId="53" applyFont="1" applyFill="1" applyBorder="1" applyAlignment="1">
      <alignment horizontal="right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8" fillId="0" borderId="0" xfId="61" applyFont="1" applyFill="1" applyBorder="1" applyAlignment="1">
      <alignment horizontal="center"/>
    </xf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26" fillId="0" borderId="36" xfId="53" applyFont="1" applyFill="1" applyBorder="1" applyAlignment="1">
      <alignment horizontal="center" vertical="center" wrapText="1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0" fontId="28" fillId="0" borderId="10" xfId="53" applyFont="1" applyFill="1" applyBorder="1" applyAlignment="1">
      <alignment horizontal="center" vertical="center" wrapText="1"/>
    </xf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0" fontId="49" fillId="0" borderId="0" xfId="51" applyFont="1"/>
    <xf numFmtId="3" fontId="44" fillId="0" borderId="0" xfId="51" applyNumberFormat="1" applyFont="1"/>
    <xf numFmtId="0" fontId="28" fillId="0" borderId="0" xfId="61" applyFont="1" applyFill="1" applyBorder="1" applyAlignment="1">
      <alignment horizontal="right"/>
    </xf>
    <xf numFmtId="0" fontId="27" fillId="0" borderId="0" xfId="6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right"/>
    </xf>
    <xf numFmtId="0" fontId="2" fillId="0" borderId="11" xfId="51" applyBorder="1"/>
    <xf numFmtId="0" fontId="28" fillId="0" borderId="11" xfId="51" applyFont="1" applyBorder="1" applyAlignment="1">
      <alignment horizontal="right"/>
    </xf>
    <xf numFmtId="0" fontId="28" fillId="0" borderId="0" xfId="51" applyFont="1" applyBorder="1" applyAlignment="1">
      <alignment horizontal="right"/>
    </xf>
    <xf numFmtId="3" fontId="28" fillId="0" borderId="0" xfId="61" applyNumberFormat="1" applyFont="1" applyFill="1" applyBorder="1" applyAlignment="1">
      <alignment horizontal="center" vertical="center"/>
    </xf>
    <xf numFmtId="0" fontId="2" fillId="0" borderId="0" xfId="51" applyBorder="1" applyAlignment="1">
      <alignment horizontal="center"/>
    </xf>
    <xf numFmtId="0" fontId="26" fillId="0" borderId="0" xfId="51" applyFont="1" applyBorder="1" applyAlignment="1">
      <alignment horizontal="left"/>
    </xf>
    <xf numFmtId="0" fontId="27" fillId="0" borderId="0" xfId="51" applyFont="1" applyBorder="1" applyAlignment="1">
      <alignment horizontal="left"/>
    </xf>
    <xf numFmtId="49" fontId="28" fillId="0" borderId="0" xfId="61" applyNumberFormat="1" applyFont="1" applyFill="1" applyBorder="1" applyAlignment="1">
      <alignment horizontal="right" vertical="center"/>
    </xf>
    <xf numFmtId="3" fontId="27" fillId="0" borderId="0" xfId="61" applyNumberFormat="1" applyFont="1" applyFill="1" applyBorder="1"/>
    <xf numFmtId="0" fontId="28" fillId="0" borderId="0" xfId="61" applyFont="1" applyFill="1" applyBorder="1" applyAlignment="1">
      <alignment horizontal="right" vertical="center" wrapText="1"/>
    </xf>
    <xf numFmtId="3" fontId="26" fillId="0" borderId="0" xfId="61" applyNumberFormat="1" applyFont="1" applyFill="1" applyBorder="1" applyAlignment="1">
      <alignment horizontal="right" vertical="center" wrapText="1"/>
    </xf>
    <xf numFmtId="3" fontId="29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28" fillId="0" borderId="11" xfId="61" applyFont="1" applyFill="1" applyBorder="1" applyAlignment="1">
      <alignment horizontal="right" vertical="center"/>
    </xf>
    <xf numFmtId="3" fontId="29" fillId="0" borderId="11" xfId="61" applyNumberFormat="1" applyFont="1" applyFill="1" applyBorder="1" applyAlignment="1">
      <alignment horizontal="right" vertical="center" wrapText="1"/>
    </xf>
    <xf numFmtId="0" fontId="32" fillId="0" borderId="0" xfId="53" applyFont="1" applyFill="1" applyBorder="1" applyAlignment="1">
      <alignment horizontal="right"/>
    </xf>
    <xf numFmtId="0" fontId="50" fillId="0" borderId="0" xfId="62" applyFont="1"/>
    <xf numFmtId="0" fontId="50" fillId="0" borderId="0" xfId="62" applyFont="1" applyAlignment="1">
      <alignment wrapText="1"/>
    </xf>
    <xf numFmtId="0" fontId="50" fillId="0" borderId="0" xfId="62" applyFont="1" applyFill="1"/>
    <xf numFmtId="0" fontId="50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50" fillId="0" borderId="10" xfId="62" applyFont="1" applyFill="1" applyBorder="1" applyAlignment="1">
      <alignment vertical="center" wrapText="1"/>
    </xf>
    <xf numFmtId="0" fontId="50" fillId="0" borderId="10" xfId="62" applyFont="1" applyFill="1" applyBorder="1" applyAlignment="1">
      <alignment horizontal="center" vertical="center"/>
    </xf>
    <xf numFmtId="3" fontId="50" fillId="0" borderId="10" xfId="62" applyNumberFormat="1" applyFont="1" applyFill="1" applyBorder="1" applyAlignment="1">
      <alignment horizontal="right" vertical="center"/>
    </xf>
    <xf numFmtId="49" fontId="50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50" fillId="0" borderId="0" xfId="62" applyNumberFormat="1" applyFont="1"/>
    <xf numFmtId="3" fontId="50" fillId="0" borderId="36" xfId="62" applyNumberFormat="1" applyFont="1" applyFill="1" applyBorder="1" applyAlignment="1">
      <alignment horizontal="right" vertical="center"/>
    </xf>
    <xf numFmtId="3" fontId="50" fillId="0" borderId="10" xfId="62" applyNumberFormat="1" applyFont="1" applyFill="1" applyBorder="1" applyAlignment="1">
      <alignment vertical="center"/>
    </xf>
    <xf numFmtId="0" fontId="50" fillId="0" borderId="0" xfId="62" applyFont="1" applyBorder="1"/>
    <xf numFmtId="3" fontId="50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2" fillId="0" borderId="0" xfId="64" applyNumberFormat="1" applyFont="1" applyAlignment="1">
      <alignment horizontal="right"/>
    </xf>
    <xf numFmtId="3" fontId="32" fillId="0" borderId="0" xfId="64" applyNumberFormat="1" applyFont="1"/>
    <xf numFmtId="0" fontId="51" fillId="0" borderId="0" xfId="64" applyFont="1"/>
    <xf numFmtId="0" fontId="52" fillId="0" borderId="10" xfId="64" applyFont="1" applyBorder="1" applyAlignment="1">
      <alignment horizontal="left"/>
    </xf>
    <xf numFmtId="0" fontId="51" fillId="0" borderId="10" xfId="64" applyFont="1" applyBorder="1"/>
    <xf numFmtId="3" fontId="51" fillId="0" borderId="10" xfId="64" applyNumberFormat="1" applyFont="1" applyFill="1" applyBorder="1"/>
    <xf numFmtId="0" fontId="51" fillId="0" borderId="10" xfId="64" applyFont="1" applyBorder="1" applyAlignment="1">
      <alignment wrapText="1"/>
    </xf>
    <xf numFmtId="3" fontId="51" fillId="0" borderId="10" xfId="65" applyNumberFormat="1" applyFont="1" applyFill="1" applyBorder="1"/>
    <xf numFmtId="0" fontId="53" fillId="0" borderId="10" xfId="64" applyFont="1" applyBorder="1"/>
    <xf numFmtId="0" fontId="54" fillId="0" borderId="10" xfId="64" applyFont="1" applyBorder="1"/>
    <xf numFmtId="3" fontId="54" fillId="0" borderId="10" xfId="64" applyNumberFormat="1" applyFont="1" applyFill="1" applyBorder="1"/>
    <xf numFmtId="0" fontId="51" fillId="0" borderId="10" xfId="64" applyFont="1" applyFill="1" applyBorder="1"/>
    <xf numFmtId="0" fontId="54" fillId="0" borderId="10" xfId="64" applyFont="1" applyFill="1" applyBorder="1"/>
    <xf numFmtId="0" fontId="52" fillId="0" borderId="10" xfId="64" applyFont="1" applyFill="1" applyBorder="1"/>
    <xf numFmtId="3" fontId="52" fillId="0" borderId="10" xfId="64" applyNumberFormat="1" applyFont="1" applyFill="1" applyBorder="1"/>
    <xf numFmtId="0" fontId="52" fillId="0" borderId="10" xfId="64" applyFont="1" applyFill="1" applyBorder="1" applyAlignment="1">
      <alignment horizontal="left"/>
    </xf>
    <xf numFmtId="0" fontId="52" fillId="0" borderId="10" xfId="64" applyFont="1" applyBorder="1"/>
    <xf numFmtId="0" fontId="51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50" fillId="0" borderId="0" xfId="65" applyFill="1"/>
    <xf numFmtId="3" fontId="50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50" fillId="0" borderId="0" xfId="65" applyNumberFormat="1" applyFill="1"/>
    <xf numFmtId="0" fontId="50" fillId="0" borderId="10" xfId="65" applyFill="1" applyBorder="1"/>
    <xf numFmtId="3" fontId="50" fillId="0" borderId="10" xfId="65" applyNumberFormat="1" applyFill="1" applyBorder="1" applyAlignment="1">
      <alignment horizontal="center"/>
    </xf>
    <xf numFmtId="0" fontId="50" fillId="0" borderId="10" xfId="65" applyFill="1" applyBorder="1" applyAlignment="1">
      <alignment horizontal="right"/>
    </xf>
    <xf numFmtId="0" fontId="47" fillId="0" borderId="10" xfId="65" applyFont="1" applyFill="1" applyBorder="1"/>
    <xf numFmtId="3" fontId="50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50" fillId="0" borderId="10" xfId="65" applyFont="1" applyFill="1" applyBorder="1" applyAlignment="1">
      <alignment wrapText="1"/>
    </xf>
    <xf numFmtId="0" fontId="50" fillId="0" borderId="10" xfId="65" applyFont="1" applyFill="1" applyBorder="1"/>
    <xf numFmtId="3" fontId="50" fillId="0" borderId="10" xfId="65" applyNumberFormat="1" applyFont="1" applyFill="1" applyBorder="1"/>
    <xf numFmtId="0" fontId="50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50" fillId="0" borderId="10" xfId="60" applyNumberFormat="1" applyFont="1" applyFill="1" applyBorder="1"/>
    <xf numFmtId="164" fontId="50" fillId="0" borderId="10" xfId="60" applyNumberFormat="1" applyFont="1" applyFill="1" applyBorder="1"/>
    <xf numFmtId="165" fontId="50" fillId="0" borderId="0" xfId="65" applyNumberFormat="1" applyFill="1"/>
    <xf numFmtId="0" fontId="50" fillId="0" borderId="0" xfId="65"/>
    <xf numFmtId="3" fontId="50" fillId="0" borderId="0" xfId="65" applyNumberFormat="1"/>
    <xf numFmtId="3" fontId="50" fillId="0" borderId="0" xfId="65" applyNumberFormat="1" applyFont="1"/>
    <xf numFmtId="0" fontId="57" fillId="0" borderId="0" xfId="65" applyFont="1"/>
    <xf numFmtId="0" fontId="56" fillId="0" borderId="0" xfId="65" applyFont="1"/>
    <xf numFmtId="0" fontId="50" fillId="0" borderId="44" xfId="65" applyBorder="1"/>
    <xf numFmtId="0" fontId="50" fillId="0" borderId="45" xfId="65" applyBorder="1"/>
    <xf numFmtId="0" fontId="50" fillId="0" borderId="46" xfId="65" applyBorder="1"/>
    <xf numFmtId="0" fontId="50" fillId="0" borderId="47" xfId="65" applyBorder="1" applyAlignment="1">
      <alignment wrapText="1"/>
    </xf>
    <xf numFmtId="0" fontId="50" fillId="0" borderId="47" xfId="65" applyFont="1" applyBorder="1" applyAlignment="1">
      <alignment horizontal="center" wrapText="1"/>
    </xf>
    <xf numFmtId="0" fontId="50" fillId="0" borderId="47" xfId="65" applyFont="1" applyBorder="1" applyAlignment="1">
      <alignment wrapText="1"/>
    </xf>
    <xf numFmtId="0" fontId="47" fillId="0" borderId="48" xfId="65" applyFont="1" applyBorder="1"/>
    <xf numFmtId="0" fontId="50" fillId="0" borderId="49" xfId="65" applyFill="1" applyBorder="1" applyAlignment="1">
      <alignment wrapText="1"/>
    </xf>
    <xf numFmtId="0" fontId="50" fillId="0" borderId="46" xfId="65" applyFill="1" applyBorder="1" applyAlignment="1">
      <alignment wrapText="1"/>
    </xf>
    <xf numFmtId="0" fontId="50" fillId="0" borderId="47" xfId="65" applyFill="1" applyBorder="1" applyAlignment="1">
      <alignment wrapText="1"/>
    </xf>
    <xf numFmtId="0" fontId="50" fillId="0" borderId="47" xfId="65" applyFill="1" applyBorder="1"/>
    <xf numFmtId="0" fontId="50" fillId="0" borderId="50" xfId="65" applyFont="1" applyFill="1" applyBorder="1"/>
    <xf numFmtId="3" fontId="40" fillId="0" borderId="51" xfId="53" applyNumberFormat="1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50" fillId="0" borderId="36" xfId="65" applyNumberFormat="1" applyFont="1" applyFill="1" applyBorder="1"/>
    <xf numFmtId="3" fontId="50" fillId="0" borderId="19" xfId="65" applyNumberFormat="1" applyFont="1" applyFill="1" applyBorder="1"/>
    <xf numFmtId="3" fontId="50" fillId="0" borderId="13" xfId="65" applyNumberFormat="1" applyFont="1" applyFill="1" applyBorder="1"/>
    <xf numFmtId="3" fontId="50" fillId="0" borderId="52" xfId="65" applyNumberFormat="1" applyFont="1" applyFill="1" applyBorder="1"/>
    <xf numFmtId="0" fontId="59" fillId="0" borderId="53" xfId="65" applyFont="1" applyFill="1" applyBorder="1"/>
    <xf numFmtId="0" fontId="59" fillId="0" borderId="34" xfId="65" applyFont="1" applyFill="1" applyBorder="1"/>
    <xf numFmtId="0" fontId="59" fillId="0" borderId="13" xfId="65" applyFont="1" applyFill="1" applyBorder="1"/>
    <xf numFmtId="3" fontId="50" fillId="0" borderId="57" xfId="65" applyNumberFormat="1" applyFont="1" applyFill="1" applyBorder="1"/>
    <xf numFmtId="3" fontId="50" fillId="0" borderId="58" xfId="65" applyNumberFormat="1" applyFont="1" applyFill="1" applyBorder="1"/>
    <xf numFmtId="3" fontId="50" fillId="0" borderId="59" xfId="65" applyNumberFormat="1" applyFont="1" applyFill="1" applyBorder="1"/>
    <xf numFmtId="3" fontId="50" fillId="0" borderId="56" xfId="65" applyNumberFormat="1" applyFont="1" applyFill="1" applyBorder="1"/>
    <xf numFmtId="3" fontId="50" fillId="0" borderId="60" xfId="65" applyNumberFormat="1" applyFont="1" applyFill="1" applyBorder="1"/>
    <xf numFmtId="3" fontId="50" fillId="0" borderId="64" xfId="65" applyNumberFormat="1" applyFont="1" applyFill="1" applyBorder="1"/>
    <xf numFmtId="3" fontId="50" fillId="0" borderId="65" xfId="65" applyNumberFormat="1" applyFont="1" applyFill="1" applyBorder="1"/>
    <xf numFmtId="3" fontId="50" fillId="0" borderId="63" xfId="65" applyNumberFormat="1" applyFont="1" applyFill="1" applyBorder="1"/>
    <xf numFmtId="0" fontId="60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0" fontId="26" fillId="0" borderId="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62" applyFont="1" applyFill="1" applyBorder="1" applyAlignment="1">
      <alignment horizontal="center" wrapText="1"/>
    </xf>
    <xf numFmtId="3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/>
    <xf numFmtId="166" fontId="61" fillId="0" borderId="0" xfId="62" applyNumberFormat="1" applyFont="1" applyFill="1" applyBorder="1" applyAlignment="1">
      <alignment horizontal="center" vertical="center"/>
    </xf>
    <xf numFmtId="0" fontId="62" fillId="0" borderId="32" xfId="62" applyFont="1" applyFill="1" applyBorder="1" applyAlignment="1">
      <alignment wrapText="1"/>
    </xf>
    <xf numFmtId="49" fontId="62" fillId="0" borderId="32" xfId="62" applyNumberFormat="1" applyFont="1" applyFill="1" applyBorder="1" applyAlignment="1">
      <alignment wrapText="1"/>
    </xf>
    <xf numFmtId="0" fontId="62" fillId="0" borderId="32" xfId="62" applyFont="1" applyFill="1" applyBorder="1" applyAlignment="1">
      <alignment horizontal="center"/>
    </xf>
    <xf numFmtId="41" fontId="62" fillId="0" borderId="10" xfId="62" applyNumberFormat="1" applyFont="1" applyFill="1" applyBorder="1" applyAlignment="1">
      <alignment horizontal="right" wrapText="1"/>
    </xf>
    <xf numFmtId="3" fontId="62" fillId="0" borderId="17" xfId="62" applyNumberFormat="1" applyFont="1" applyFill="1" applyBorder="1"/>
    <xf numFmtId="0" fontId="62" fillId="0" borderId="10" xfId="62" applyFont="1" applyFill="1" applyBorder="1" applyAlignment="1">
      <alignment wrapText="1"/>
    </xf>
    <xf numFmtId="49" fontId="62" fillId="0" borderId="10" xfId="62" applyNumberFormat="1" applyFont="1" applyFill="1" applyBorder="1" applyAlignment="1">
      <alignment wrapText="1"/>
    </xf>
    <xf numFmtId="14" fontId="62" fillId="0" borderId="10" xfId="62" applyNumberFormat="1" applyFont="1" applyFill="1" applyBorder="1" applyAlignment="1">
      <alignment horizontal="center"/>
    </xf>
    <xf numFmtId="3" fontId="62" fillId="0" borderId="20" xfId="62" applyNumberFormat="1" applyFont="1" applyFill="1" applyBorder="1"/>
    <xf numFmtId="0" fontId="62" fillId="0" borderId="10" xfId="0" applyFont="1" applyFill="1" applyBorder="1" applyAlignment="1">
      <alignment wrapText="1"/>
    </xf>
    <xf numFmtId="49" fontId="62" fillId="0" borderId="10" xfId="0" applyNumberFormat="1" applyFont="1" applyFill="1" applyBorder="1" applyAlignment="1">
      <alignment wrapText="1"/>
    </xf>
    <xf numFmtId="14" fontId="62" fillId="0" borderId="1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62" fillId="0" borderId="10" xfId="62" applyFont="1" applyFill="1" applyBorder="1" applyAlignment="1">
      <alignment horizontal="center"/>
    </xf>
    <xf numFmtId="14" fontId="2" fillId="0" borderId="0" xfId="0" applyNumberFormat="1" applyFont="1" applyFill="1"/>
    <xf numFmtId="0" fontId="62" fillId="0" borderId="10" xfId="62" applyFont="1" applyFill="1" applyBorder="1" applyAlignment="1">
      <alignment horizontal="left"/>
    </xf>
    <xf numFmtId="0" fontId="62" fillId="0" borderId="10" xfId="62" applyFont="1" applyFill="1" applyBorder="1" applyAlignment="1">
      <alignment horizontal="left" wrapText="1"/>
    </xf>
    <xf numFmtId="14" fontId="62" fillId="0" borderId="10" xfId="0" applyNumberFormat="1" applyFont="1" applyFill="1" applyBorder="1" applyAlignment="1">
      <alignment horizontal="center"/>
    </xf>
    <xf numFmtId="14" fontId="62" fillId="0" borderId="10" xfId="62" applyNumberFormat="1" applyFont="1" applyFill="1" applyBorder="1" applyAlignment="1">
      <alignment horizontal="center" wrapText="1"/>
    </xf>
    <xf numFmtId="49" fontId="62" fillId="0" borderId="10" xfId="62" applyNumberFormat="1" applyFont="1" applyFill="1" applyBorder="1" applyAlignment="1">
      <alignment horizontal="left" wrapText="1"/>
    </xf>
    <xf numFmtId="41" fontId="62" fillId="0" borderId="10" xfId="62" applyNumberFormat="1" applyFont="1" applyFill="1" applyBorder="1" applyAlignment="1">
      <alignment horizontal="center" wrapText="1"/>
    </xf>
    <xf numFmtId="3" fontId="55" fillId="0" borderId="0" xfId="0" applyNumberFormat="1" applyFont="1" applyFill="1"/>
    <xf numFmtId="41" fontId="62" fillId="24" borderId="10" xfId="62" applyNumberFormat="1" applyFont="1" applyFill="1" applyBorder="1" applyAlignment="1">
      <alignment horizontal="right" wrapText="1"/>
    </xf>
    <xf numFmtId="14" fontId="26" fillId="0" borderId="10" xfId="62" applyNumberFormat="1" applyFont="1" applyFill="1" applyBorder="1" applyAlignment="1">
      <alignment horizontal="center" wrapText="1"/>
    </xf>
    <xf numFmtId="167" fontId="62" fillId="0" borderId="10" xfId="62" applyNumberFormat="1" applyFont="1" applyFill="1" applyBorder="1" applyAlignment="1">
      <alignment horizontal="right" wrapText="1"/>
    </xf>
    <xf numFmtId="41" fontId="62" fillId="0" borderId="43" xfId="62" applyNumberFormat="1" applyFont="1" applyFill="1" applyBorder="1" applyAlignment="1">
      <alignment horizontal="right" wrapText="1"/>
    </xf>
    <xf numFmtId="3" fontId="62" fillId="0" borderId="70" xfId="62" applyNumberFormat="1" applyFont="1" applyFill="1" applyBorder="1"/>
    <xf numFmtId="14" fontId="62" fillId="0" borderId="71" xfId="62" applyNumberFormat="1" applyFont="1" applyFill="1" applyBorder="1" applyAlignment="1">
      <alignment horizontal="center"/>
    </xf>
    <xf numFmtId="14" fontId="62" fillId="24" borderId="71" xfId="62" applyNumberFormat="1" applyFont="1" applyFill="1" applyBorder="1" applyAlignment="1">
      <alignment horizontal="center" wrapText="1"/>
    </xf>
    <xf numFmtId="14" fontId="62" fillId="24" borderId="71" xfId="62" applyNumberFormat="1" applyFont="1" applyFill="1" applyBorder="1" applyAlignment="1">
      <alignment horizontal="center"/>
    </xf>
    <xf numFmtId="41" fontId="62" fillId="24" borderId="43" xfId="62" applyNumberFormat="1" applyFont="1" applyFill="1" applyBorder="1" applyAlignment="1">
      <alignment horizontal="right" wrapText="1"/>
    </xf>
    <xf numFmtId="0" fontId="62" fillId="0" borderId="10" xfId="62" applyFont="1" applyFill="1" applyBorder="1" applyAlignment="1">
      <alignment horizontal="center" wrapText="1"/>
    </xf>
    <xf numFmtId="14" fontId="62" fillId="24" borderId="10" xfId="62" applyNumberFormat="1" applyFont="1" applyFill="1" applyBorder="1" applyAlignment="1">
      <alignment horizontal="center" wrapText="1"/>
    </xf>
    <xf numFmtId="0" fontId="29" fillId="0" borderId="72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41" fontId="29" fillId="0" borderId="41" xfId="62" applyNumberFormat="1" applyFont="1" applyFill="1" applyBorder="1" applyAlignment="1">
      <alignment horizontal="right" wrapText="1"/>
    </xf>
    <xf numFmtId="41" fontId="29" fillId="0" borderId="24" xfId="62" applyNumberFormat="1" applyFont="1" applyFill="1" applyBorder="1" applyAlignment="1">
      <alignment horizontal="right" wrapText="1"/>
    </xf>
    <xf numFmtId="14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0" fontId="62" fillId="0" borderId="20" xfId="0" applyFont="1" applyBorder="1" applyAlignment="1">
      <alignment horizontal="right"/>
    </xf>
    <xf numFmtId="3" fontId="62" fillId="0" borderId="20" xfId="62" applyNumberFormat="1" applyFont="1" applyFill="1" applyBorder="1" applyAlignment="1">
      <alignment horizontal="right"/>
    </xf>
    <xf numFmtId="9" fontId="0" fillId="0" borderId="0" xfId="0" applyNumberFormat="1" applyFill="1"/>
    <xf numFmtId="0" fontId="26" fillId="0" borderId="25" xfId="62" applyFont="1" applyFill="1" applyBorder="1" applyAlignment="1">
      <alignment horizontal="left" vertical="center" wrapText="1"/>
    </xf>
    <xf numFmtId="49" fontId="26" fillId="0" borderId="12" xfId="62" applyNumberFormat="1" applyFont="1" applyFill="1" applyBorder="1" applyAlignment="1">
      <alignment horizontal="left" vertical="center" wrapText="1"/>
    </xf>
    <xf numFmtId="0" fontId="63" fillId="0" borderId="12" xfId="62" applyFont="1" applyFill="1" applyBorder="1" applyAlignment="1">
      <alignment horizontal="center" vertical="center" wrapText="1"/>
    </xf>
    <xf numFmtId="3" fontId="26" fillId="0" borderId="12" xfId="62" applyNumberFormat="1" applyFont="1" applyFill="1" applyBorder="1" applyAlignment="1">
      <alignment horizontal="right" vertical="center" wrapText="1"/>
    </xf>
    <xf numFmtId="3" fontId="26" fillId="0" borderId="26" xfId="62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26" fillId="0" borderId="19" xfId="62" applyFont="1" applyFill="1" applyBorder="1" applyAlignment="1">
      <alignment horizontal="left" vertical="center" wrapText="1"/>
    </xf>
    <xf numFmtId="49" fontId="26" fillId="0" borderId="10" xfId="62" applyNumberFormat="1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center" vertical="center" wrapText="1"/>
    </xf>
    <xf numFmtId="3" fontId="26" fillId="0" borderId="10" xfId="62" applyNumberFormat="1" applyFont="1" applyFill="1" applyBorder="1" applyAlignment="1">
      <alignment horizontal="right" vertical="center" wrapText="1"/>
    </xf>
    <xf numFmtId="3" fontId="26" fillId="0" borderId="20" xfId="62" applyNumberFormat="1" applyFont="1" applyFill="1" applyBorder="1" applyAlignment="1">
      <alignment horizontal="right" vertical="center" wrapText="1"/>
    </xf>
    <xf numFmtId="0" fontId="26" fillId="0" borderId="19" xfId="62" applyFont="1" applyFill="1" applyBorder="1" applyAlignment="1">
      <alignment wrapText="1"/>
    </xf>
    <xf numFmtId="49" fontId="26" fillId="0" borderId="10" xfId="62" applyNumberFormat="1" applyFont="1" applyFill="1" applyBorder="1" applyAlignment="1">
      <alignment wrapText="1"/>
    </xf>
    <xf numFmtId="14" fontId="26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wrapText="1"/>
    </xf>
    <xf numFmtId="3" fontId="26" fillId="0" borderId="35" xfId="62" applyNumberFormat="1" applyFont="1" applyFill="1" applyBorder="1" applyAlignment="1">
      <alignment horizontal="right"/>
    </xf>
    <xf numFmtId="3" fontId="26" fillId="0" borderId="35" xfId="62" applyNumberFormat="1" applyFont="1" applyFill="1" applyBorder="1"/>
    <xf numFmtId="0" fontId="26" fillId="0" borderId="19" xfId="62" applyFont="1" applyFill="1" applyBorder="1" applyAlignment="1"/>
    <xf numFmtId="49" fontId="26" fillId="0" borderId="10" xfId="62" applyNumberFormat="1" applyFont="1" applyFill="1" applyBorder="1" applyAlignment="1"/>
    <xf numFmtId="3" fontId="26" fillId="0" borderId="10" xfId="62" applyNumberFormat="1" applyFont="1" applyFill="1" applyBorder="1" applyAlignment="1">
      <alignment horizontal="right"/>
    </xf>
    <xf numFmtId="3" fontId="26" fillId="0" borderId="20" xfId="62" applyNumberFormat="1" applyFont="1" applyFill="1" applyBorder="1" applyAlignment="1"/>
    <xf numFmtId="49" fontId="26" fillId="0" borderId="10" xfId="0" applyNumberFormat="1" applyFont="1" applyFill="1" applyBorder="1" applyAlignment="1"/>
    <xf numFmtId="3" fontId="2" fillId="0" borderId="0" xfId="0" applyNumberFormat="1" applyFont="1" applyFill="1"/>
    <xf numFmtId="0" fontId="62" fillId="0" borderId="19" xfId="62" applyFont="1" applyFill="1" applyBorder="1" applyAlignment="1"/>
    <xf numFmtId="0" fontId="62" fillId="0" borderId="10" xfId="62" applyFont="1" applyFill="1" applyBorder="1" applyAlignment="1"/>
    <xf numFmtId="3" fontId="62" fillId="0" borderId="10" xfId="62" applyNumberFormat="1" applyFont="1" applyFill="1" applyBorder="1" applyAlignment="1"/>
    <xf numFmtId="3" fontId="62" fillId="0" borderId="20" xfId="62" applyNumberFormat="1" applyFont="1" applyFill="1" applyBorder="1" applyAlignment="1"/>
    <xf numFmtId="0" fontId="62" fillId="0" borderId="10" xfId="0" applyFont="1" applyBorder="1"/>
    <xf numFmtId="0" fontId="62" fillId="24" borderId="19" xfId="62" applyFont="1" applyFill="1" applyBorder="1" applyAlignment="1"/>
    <xf numFmtId="0" fontId="62" fillId="24" borderId="0" xfId="0" applyFont="1" applyFill="1"/>
    <xf numFmtId="0" fontId="2" fillId="24" borderId="0" xfId="0" applyFont="1" applyFill="1"/>
    <xf numFmtId="3" fontId="0" fillId="24" borderId="0" xfId="0" applyNumberFormat="1" applyFill="1"/>
    <xf numFmtId="0" fontId="0" fillId="24" borderId="0" xfId="0" applyFill="1"/>
    <xf numFmtId="0" fontId="62" fillId="0" borderId="19" xfId="62" applyFont="1" applyFill="1" applyBorder="1" applyAlignment="1">
      <alignment horizontal="left"/>
    </xf>
    <xf numFmtId="3" fontId="62" fillId="0" borderId="10" xfId="62" applyNumberFormat="1" applyFont="1" applyFill="1" applyBorder="1" applyAlignment="1">
      <alignment horizontal="right"/>
    </xf>
    <xf numFmtId="0" fontId="62" fillId="0" borderId="43" xfId="62" applyFont="1" applyFill="1" applyBorder="1" applyAlignment="1">
      <alignment horizontal="left"/>
    </xf>
    <xf numFmtId="0" fontId="62" fillId="0" borderId="43" xfId="62" applyFont="1" applyFill="1" applyBorder="1" applyAlignment="1">
      <alignment horizontal="center"/>
    </xf>
    <xf numFmtId="3" fontId="62" fillId="0" borderId="43" xfId="62" applyNumberFormat="1" applyFont="1" applyFill="1" applyBorder="1" applyAlignment="1">
      <alignment horizontal="right"/>
    </xf>
    <xf numFmtId="3" fontId="62" fillId="0" borderId="70" xfId="62" applyNumberFormat="1" applyFont="1" applyFill="1" applyBorder="1" applyAlignment="1"/>
    <xf numFmtId="0" fontId="62" fillId="0" borderId="75" xfId="62" applyFont="1" applyFill="1" applyBorder="1" applyAlignment="1">
      <alignment horizontal="left"/>
    </xf>
    <xf numFmtId="14" fontId="62" fillId="0" borderId="43" xfId="62" applyNumberFormat="1" applyFont="1" applyFill="1" applyBorder="1" applyAlignment="1">
      <alignment horizontal="center" wrapText="1"/>
    </xf>
    <xf numFmtId="3" fontId="26" fillId="0" borderId="43" xfId="62" applyNumberFormat="1" applyFont="1" applyFill="1" applyBorder="1" applyAlignment="1">
      <alignment horizontal="right"/>
    </xf>
    <xf numFmtId="3" fontId="64" fillId="0" borderId="0" xfId="0" applyNumberFormat="1" applyFont="1" applyFill="1"/>
    <xf numFmtId="0" fontId="64" fillId="0" borderId="0" xfId="0" applyFont="1" applyFill="1"/>
    <xf numFmtId="14" fontId="62" fillId="0" borderId="10" xfId="62" applyNumberFormat="1" applyFont="1" applyFill="1" applyBorder="1" applyAlignment="1">
      <alignment horizontal="left"/>
    </xf>
    <xf numFmtId="0" fontId="26" fillId="0" borderId="10" xfId="0" applyFont="1" applyBorder="1"/>
    <xf numFmtId="3" fontId="62" fillId="0" borderId="10" xfId="62" applyNumberFormat="1" applyFont="1" applyFill="1" applyBorder="1" applyAlignment="1">
      <alignment horizontal="right" vertical="center"/>
    </xf>
    <xf numFmtId="3" fontId="62" fillId="0" borderId="20" xfId="62" applyNumberFormat="1" applyFont="1" applyFill="1" applyBorder="1" applyAlignment="1">
      <alignment horizontal="right" vertical="center"/>
    </xf>
    <xf numFmtId="14" fontId="65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vertical="center"/>
    </xf>
    <xf numFmtId="3" fontId="26" fillId="0" borderId="20" xfId="62" applyNumberFormat="1" applyFont="1" applyFill="1" applyBorder="1" applyAlignment="1">
      <alignment horizontal="right" vertical="center"/>
    </xf>
    <xf numFmtId="0" fontId="26" fillId="0" borderId="19" xfId="62" applyFont="1" applyFill="1" applyBorder="1" applyAlignment="1">
      <alignment horizontal="left"/>
    </xf>
    <xf numFmtId="0" fontId="26" fillId="0" borderId="10" xfId="62" applyFont="1" applyFill="1" applyBorder="1" applyAlignment="1">
      <alignment horizontal="left"/>
    </xf>
    <xf numFmtId="14" fontId="0" fillId="0" borderId="0" xfId="0" applyNumberFormat="1" applyFill="1"/>
    <xf numFmtId="3" fontId="0" fillId="0" borderId="0" xfId="0" applyNumberFormat="1"/>
    <xf numFmtId="3" fontId="26" fillId="0" borderId="20" xfId="62" applyNumberFormat="1" applyFont="1" applyFill="1" applyBorder="1" applyAlignment="1">
      <alignment horizontal="right"/>
    </xf>
    <xf numFmtId="0" fontId="26" fillId="0" borderId="10" xfId="62" applyFont="1" applyFill="1" applyBorder="1" applyAlignment="1">
      <alignment horizontal="left" wrapText="1"/>
    </xf>
    <xf numFmtId="3" fontId="45" fillId="0" borderId="0" xfId="0" applyNumberFormat="1" applyFont="1" applyFill="1"/>
    <xf numFmtId="3" fontId="26" fillId="0" borderId="20" xfId="0" applyNumberFormat="1" applyFont="1" applyFill="1" applyBorder="1"/>
    <xf numFmtId="0" fontId="26" fillId="0" borderId="19" xfId="0" applyFont="1" applyFill="1" applyBorder="1" applyAlignment="1"/>
    <xf numFmtId="14" fontId="26" fillId="0" borderId="10" xfId="0" applyNumberFormat="1" applyFont="1" applyFill="1" applyBorder="1" applyAlignment="1">
      <alignment horizontal="center"/>
    </xf>
    <xf numFmtId="0" fontId="26" fillId="24" borderId="19" xfId="62" applyFont="1" applyFill="1" applyBorder="1" applyAlignment="1"/>
    <xf numFmtId="49" fontId="26" fillId="24" borderId="10" xfId="62" applyNumberFormat="1" applyFont="1" applyFill="1" applyBorder="1" applyAlignment="1"/>
    <xf numFmtId="49" fontId="2" fillId="24" borderId="0" xfId="0" applyNumberFormat="1" applyFont="1" applyFill="1"/>
    <xf numFmtId="3" fontId="2" fillId="24" borderId="0" xfId="0" applyNumberFormat="1" applyFont="1" applyFill="1"/>
    <xf numFmtId="49" fontId="26" fillId="24" borderId="10" xfId="62" applyNumberFormat="1" applyFont="1" applyFill="1" applyBorder="1" applyAlignment="1">
      <alignment wrapText="1"/>
    </xf>
    <xf numFmtId="0" fontId="62" fillId="0" borderId="19" xfId="0" applyFont="1" applyFill="1" applyBorder="1" applyAlignment="1"/>
    <xf numFmtId="49" fontId="62" fillId="0" borderId="10" xfId="0" applyNumberFormat="1" applyFont="1" applyFill="1" applyBorder="1" applyAlignment="1"/>
    <xf numFmtId="49" fontId="26" fillId="24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3" fontId="2" fillId="0" borderId="0" xfId="0" applyNumberFormat="1" applyFont="1"/>
    <xf numFmtId="0" fontId="2" fillId="0" borderId="0" xfId="0" applyFont="1"/>
    <xf numFmtId="14" fontId="26" fillId="0" borderId="10" xfId="0" applyNumberFormat="1" applyFont="1" applyFill="1" applyBorder="1" applyAlignment="1">
      <alignment horizontal="center" wrapText="1"/>
    </xf>
    <xf numFmtId="0" fontId="26" fillId="24" borderId="19" xfId="0" applyFont="1" applyFill="1" applyBorder="1" applyAlignment="1"/>
    <xf numFmtId="0" fontId="26" fillId="0" borderId="10" xfId="62" applyFont="1" applyFill="1" applyBorder="1" applyAlignment="1">
      <alignment horizontal="center"/>
    </xf>
    <xf numFmtId="0" fontId="26" fillId="0" borderId="75" xfId="62" applyFont="1" applyFill="1" applyBorder="1" applyAlignment="1"/>
    <xf numFmtId="0" fontId="26" fillId="0" borderId="43" xfId="62" applyFont="1" applyFill="1" applyBorder="1" applyAlignment="1">
      <alignment horizontal="left"/>
    </xf>
    <xf numFmtId="14" fontId="26" fillId="0" borderId="43" xfId="62" applyNumberFormat="1" applyFont="1" applyFill="1" applyBorder="1" applyAlignment="1">
      <alignment horizontal="center"/>
    </xf>
    <xf numFmtId="3" fontId="26" fillId="0" borderId="70" xfId="62" applyNumberFormat="1" applyFont="1" applyFill="1" applyBorder="1" applyAlignme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6" fillId="0" borderId="10" xfId="0" applyFont="1" applyFill="1" applyBorder="1" applyAlignment="1">
      <alignment horizontal="left" wrapText="1"/>
    </xf>
    <xf numFmtId="0" fontId="26" fillId="0" borderId="75" xfId="62" applyFont="1" applyFill="1" applyBorder="1" applyAlignment="1">
      <alignment horizontal="left"/>
    </xf>
    <xf numFmtId="49" fontId="26" fillId="0" borderId="43" xfId="62" applyNumberFormat="1" applyFont="1" applyFill="1" applyBorder="1" applyAlignment="1"/>
    <xf numFmtId="14" fontId="26" fillId="0" borderId="43" xfId="62" applyNumberFormat="1" applyFont="1" applyFill="1" applyBorder="1" applyAlignment="1">
      <alignment horizontal="center" wrapText="1"/>
    </xf>
    <xf numFmtId="3" fontId="29" fillId="0" borderId="68" xfId="62" applyNumberFormat="1" applyFont="1" applyFill="1" applyBorder="1" applyAlignment="1">
      <alignment horizontal="right"/>
    </xf>
    <xf numFmtId="3" fontId="29" fillId="0" borderId="69" xfId="6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0" xfId="0" applyNumberFormat="1" applyFont="1" applyFill="1"/>
    <xf numFmtId="3" fontId="34" fillId="0" borderId="24" xfId="53" applyNumberFormat="1" applyFont="1" applyFill="1" applyBorder="1"/>
    <xf numFmtId="0" fontId="26" fillId="0" borderId="0" xfId="62" applyFont="1" applyFill="1" applyBorder="1" applyAlignment="1">
      <alignment horizontal="center"/>
    </xf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1" fillId="0" borderId="0" xfId="64" applyNumberFormat="1" applyFont="1" applyFill="1"/>
    <xf numFmtId="3" fontId="52" fillId="0" borderId="0" xfId="64" applyNumberFormat="1" applyFont="1" applyFill="1" applyAlignment="1">
      <alignment horizontal="right"/>
    </xf>
    <xf numFmtId="3" fontId="52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1" fillId="0" borderId="0" xfId="64" applyNumberFormat="1" applyFont="1" applyFill="1" applyBorder="1"/>
    <xf numFmtId="3" fontId="62" fillId="24" borderId="20" xfId="62" applyNumberFormat="1" applyFont="1" applyFill="1" applyBorder="1" applyAlignment="1"/>
    <xf numFmtId="3" fontId="26" fillId="24" borderId="20" xfId="62" applyNumberFormat="1" applyFont="1" applyFill="1" applyBorder="1" applyAlignment="1"/>
    <xf numFmtId="3" fontId="26" fillId="24" borderId="20" xfId="62" applyNumberFormat="1" applyFont="1" applyFill="1" applyBorder="1" applyAlignment="1">
      <alignment horizontal="right"/>
    </xf>
    <xf numFmtId="3" fontId="0" fillId="0" borderId="11" xfId="0" applyNumberFormat="1" applyBorder="1"/>
    <xf numFmtId="0" fontId="40" fillId="0" borderId="0" xfId="51" applyFont="1" applyAlignment="1">
      <alignment wrapText="1"/>
    </xf>
    <xf numFmtId="0" fontId="40" fillId="0" borderId="0" xfId="53" applyFont="1" applyFill="1" applyBorder="1" applyAlignment="1">
      <alignment horizontal="right"/>
    </xf>
    <xf numFmtId="0" fontId="39" fillId="0" borderId="0" xfId="51" applyFont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9" fillId="0" borderId="54" xfId="65" applyFont="1" applyFill="1" applyBorder="1"/>
    <xf numFmtId="0" fontId="59" fillId="0" borderId="55" xfId="65" applyFont="1" applyFill="1" applyBorder="1"/>
    <xf numFmtId="0" fontId="59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2" fillId="0" borderId="0" xfId="53" applyFont="1" applyFill="1" applyBorder="1" applyAlignment="1">
      <alignment horizontal="right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39" fillId="0" borderId="0" xfId="51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39" fillId="0" borderId="0" xfId="51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48" fillId="0" borderId="0" xfId="62" applyFont="1" applyAlignment="1">
      <alignment horizontal="center"/>
    </xf>
    <xf numFmtId="0" fontId="55" fillId="0" borderId="0" xfId="0" applyFont="1" applyFill="1" applyAlignment="1">
      <alignment wrapText="1"/>
    </xf>
    <xf numFmtId="0" fontId="26" fillId="0" borderId="0" xfId="62" applyFont="1" applyFill="1" applyBorder="1" applyAlignment="1">
      <alignment horizontal="center"/>
    </xf>
    <xf numFmtId="0" fontId="29" fillId="0" borderId="66" xfId="62" applyFont="1" applyFill="1" applyBorder="1" applyAlignment="1">
      <alignment horizontal="center" vertical="center" wrapText="1"/>
    </xf>
    <xf numFmtId="0" fontId="29" fillId="0" borderId="68" xfId="62" applyFont="1" applyFill="1" applyBorder="1" applyAlignment="1">
      <alignment horizontal="center" vertical="center" wrapText="1"/>
    </xf>
    <xf numFmtId="49" fontId="29" fillId="0" borderId="66" xfId="62" applyNumberFormat="1" applyFont="1" applyFill="1" applyBorder="1" applyAlignment="1">
      <alignment horizontal="center" vertical="center" wrapText="1"/>
    </xf>
    <xf numFmtId="49" fontId="29" fillId="0" borderId="68" xfId="62" applyNumberFormat="1" applyFont="1" applyFill="1" applyBorder="1" applyAlignment="1">
      <alignment horizontal="center" vertical="center" wrapText="1"/>
    </xf>
    <xf numFmtId="0" fontId="29" fillId="0" borderId="66" xfId="62" applyFont="1" applyFill="1" applyBorder="1" applyAlignment="1">
      <alignment horizontal="center" wrapText="1"/>
    </xf>
    <xf numFmtId="0" fontId="29" fillId="0" borderId="68" xfId="62" applyFont="1" applyFill="1" applyBorder="1" applyAlignment="1">
      <alignment horizontal="center" wrapText="1"/>
    </xf>
    <xf numFmtId="0" fontId="29" fillId="0" borderId="66" xfId="62" applyNumberFormat="1" applyFont="1" applyFill="1" applyBorder="1" applyAlignment="1">
      <alignment horizontal="center" vertical="center" wrapText="1"/>
    </xf>
    <xf numFmtId="0" fontId="29" fillId="0" borderId="68" xfId="62" applyNumberFormat="1" applyFont="1" applyFill="1" applyBorder="1" applyAlignment="1">
      <alignment horizontal="center" vertical="center" wrapText="1"/>
    </xf>
    <xf numFmtId="0" fontId="29" fillId="0" borderId="67" xfId="62" applyNumberFormat="1" applyFont="1" applyFill="1" applyBorder="1" applyAlignment="1">
      <alignment horizontal="center" vertical="center" wrapText="1"/>
    </xf>
    <xf numFmtId="0" fontId="29" fillId="0" borderId="69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2" fillId="0" borderId="0" xfId="0" applyFont="1" applyAlignment="1"/>
    <xf numFmtId="0" fontId="29" fillId="0" borderId="33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0" fontId="29" fillId="0" borderId="16" xfId="62" applyFont="1" applyFill="1" applyBorder="1" applyAlignment="1">
      <alignment horizontal="center" vertical="center" wrapText="1"/>
    </xf>
    <xf numFmtId="0" fontId="29" fillId="0" borderId="22" xfId="62" applyFont="1" applyFill="1" applyBorder="1" applyAlignment="1">
      <alignment horizontal="center" vertical="center" wrapText="1"/>
    </xf>
    <xf numFmtId="49" fontId="29" fillId="0" borderId="32" xfId="62" applyNumberFormat="1" applyFont="1" applyFill="1" applyBorder="1" applyAlignment="1">
      <alignment horizontal="center" vertical="center" wrapText="1"/>
    </xf>
    <xf numFmtId="49" fontId="29" fillId="0" borderId="41" xfId="62" applyNumberFormat="1" applyFont="1" applyFill="1" applyBorder="1" applyAlignment="1">
      <alignment horizontal="center" vertical="center" wrapText="1"/>
    </xf>
    <xf numFmtId="0" fontId="29" fillId="0" borderId="32" xfId="62" applyNumberFormat="1" applyFont="1" applyFill="1" applyBorder="1" applyAlignment="1">
      <alignment horizontal="center" vertical="center" wrapText="1"/>
    </xf>
    <xf numFmtId="0" fontId="29" fillId="0" borderId="41" xfId="62" applyNumberFormat="1" applyFont="1" applyFill="1" applyBorder="1" applyAlignment="1">
      <alignment horizontal="center" vertical="center" wrapText="1"/>
    </xf>
    <xf numFmtId="0" fontId="29" fillId="0" borderId="17" xfId="62" applyNumberFormat="1" applyFont="1" applyFill="1" applyBorder="1" applyAlignment="1">
      <alignment horizontal="center" vertical="center" wrapText="1"/>
    </xf>
    <xf numFmtId="0" fontId="29" fillId="0" borderId="24" xfId="62" applyNumberFormat="1" applyFont="1" applyFill="1" applyBorder="1" applyAlignment="1">
      <alignment horizontal="center" vertical="center" wrapText="1"/>
    </xf>
    <xf numFmtId="3" fontId="51" fillId="0" borderId="0" xfId="64" applyNumberFormat="1" applyFont="1" applyAlignment="1">
      <alignment horizontal="right"/>
    </xf>
    <xf numFmtId="0" fontId="52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50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0" fillId="0" borderId="0" xfId="65" applyFont="1" applyAlignment="1">
      <alignment horizontal="right"/>
    </xf>
    <xf numFmtId="0" fontId="56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3"/>
  <sheetViews>
    <sheetView tabSelected="1" view="pageBreakPreview" zoomScale="75" zoomScaleNormal="75" zoomScaleSheetLayoutView="75" workbookViewId="0">
      <pane ySplit="7" topLeftCell="A8" activePane="bottomLeft" state="frozen"/>
      <selection pane="bottomLeft" activeCell="G2" sqref="G2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1.28515625" style="29" customWidth="1"/>
    <col min="4" max="4" width="10.5703125" style="10" customWidth="1"/>
    <col min="5" max="5" width="10.42578125" style="10" customWidth="1"/>
    <col min="6" max="7" width="9.140625" style="10"/>
    <col min="8" max="16384" width="9.140625" style="9"/>
  </cols>
  <sheetData>
    <row r="1" spans="1:7" s="11" customFormat="1" x14ac:dyDescent="0.25">
      <c r="A1" s="150"/>
      <c r="B1" s="151"/>
      <c r="C1" s="151"/>
      <c r="D1" s="151"/>
      <c r="E1" s="151"/>
      <c r="F1" s="151"/>
      <c r="G1" s="209" t="s">
        <v>1110</v>
      </c>
    </row>
    <row r="2" spans="1:7" s="11" customFormat="1" x14ac:dyDescent="0.25">
      <c r="A2" s="150"/>
      <c r="B2" s="151"/>
      <c r="C2" s="151"/>
      <c r="D2" s="151"/>
      <c r="E2" s="151"/>
      <c r="F2" s="151"/>
      <c r="G2" s="151"/>
    </row>
    <row r="3" spans="1:7" s="10" customFormat="1" x14ac:dyDescent="0.25">
      <c r="A3" s="152"/>
      <c r="B3" s="152"/>
      <c r="C3" s="152" t="s">
        <v>6</v>
      </c>
      <c r="D3" s="150"/>
      <c r="E3" s="150"/>
      <c r="F3" s="150"/>
      <c r="G3" s="150"/>
    </row>
    <row r="4" spans="1:7" s="10" customFormat="1" ht="17.25" thickBot="1" x14ac:dyDescent="0.3">
      <c r="A4" s="153"/>
      <c r="B4" s="153"/>
      <c r="C4" s="153" t="s">
        <v>914</v>
      </c>
      <c r="D4" s="154"/>
      <c r="E4" s="154"/>
      <c r="F4" s="154"/>
      <c r="G4" s="154"/>
    </row>
    <row r="5" spans="1:7" s="10" customFormat="1" ht="17.25" thickBot="1" x14ac:dyDescent="0.3">
      <c r="A5" s="155"/>
      <c r="B5" s="156"/>
      <c r="C5" s="157"/>
      <c r="D5" s="639" t="s">
        <v>242</v>
      </c>
      <c r="E5" s="640"/>
      <c r="F5" s="640"/>
      <c r="G5" s="641"/>
    </row>
    <row r="6" spans="1:7" s="10" customFormat="1" ht="45.75" thickBot="1" x14ac:dyDescent="0.3">
      <c r="A6" s="45"/>
      <c r="B6" s="57"/>
      <c r="C6" s="158"/>
      <c r="D6" s="159" t="s">
        <v>29</v>
      </c>
      <c r="E6" s="160" t="s">
        <v>49</v>
      </c>
      <c r="F6" s="161" t="s">
        <v>50</v>
      </c>
      <c r="G6" s="162" t="s">
        <v>51</v>
      </c>
    </row>
    <row r="7" spans="1:7" s="10" customFormat="1" x14ac:dyDescent="0.25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</row>
    <row r="8" spans="1:7" s="10" customFormat="1" x14ac:dyDescent="0.25">
      <c r="A8" s="22"/>
      <c r="B8" s="23"/>
      <c r="C8" s="24"/>
      <c r="D8" s="22"/>
      <c r="E8" s="29"/>
      <c r="F8" s="29"/>
      <c r="G8" s="30"/>
    </row>
    <row r="9" spans="1:7" s="10" customFormat="1" x14ac:dyDescent="0.25">
      <c r="A9" s="25">
        <v>101</v>
      </c>
      <c r="B9" s="23"/>
      <c r="C9" s="60" t="s">
        <v>203</v>
      </c>
      <c r="D9" s="25"/>
      <c r="E9" s="32"/>
      <c r="F9" s="32"/>
      <c r="G9" s="101"/>
    </row>
    <row r="10" spans="1:7" s="10" customFormat="1" x14ac:dyDescent="0.25">
      <c r="A10" s="25"/>
      <c r="B10" s="23" t="s">
        <v>10</v>
      </c>
      <c r="C10" s="24" t="s">
        <v>117</v>
      </c>
      <c r="D10" s="22"/>
      <c r="E10" s="29"/>
      <c r="F10" s="29"/>
      <c r="G10" s="30"/>
    </row>
    <row r="11" spans="1:7" s="10" customFormat="1" x14ac:dyDescent="0.25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</row>
    <row r="12" spans="1:7" s="10" customFormat="1" x14ac:dyDescent="0.25">
      <c r="A12" s="25"/>
      <c r="B12" s="23"/>
      <c r="C12" s="24" t="s">
        <v>70</v>
      </c>
      <c r="D12" s="33">
        <v>5000</v>
      </c>
      <c r="E12" s="28">
        <v>5000</v>
      </c>
      <c r="F12" s="28"/>
      <c r="G12" s="98"/>
    </row>
    <row r="13" spans="1:7" s="10" customFormat="1" x14ac:dyDescent="0.25">
      <c r="A13" s="25"/>
      <c r="B13" s="23"/>
      <c r="C13" s="36" t="s">
        <v>30</v>
      </c>
      <c r="D13" s="37">
        <f t="shared" ref="D13:G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</row>
    <row r="14" spans="1:7" s="10" customFormat="1" x14ac:dyDescent="0.25">
      <c r="A14" s="25"/>
      <c r="B14" s="23" t="s">
        <v>77</v>
      </c>
      <c r="C14" s="24" t="s">
        <v>40</v>
      </c>
      <c r="D14" s="33">
        <v>0</v>
      </c>
      <c r="E14" s="28">
        <v>0</v>
      </c>
      <c r="F14" s="28">
        <v>0</v>
      </c>
      <c r="G14" s="98">
        <v>0</v>
      </c>
    </row>
    <row r="15" spans="1:7" s="10" customFormat="1" x14ac:dyDescent="0.25">
      <c r="A15" s="22"/>
      <c r="B15" s="23"/>
      <c r="C15" s="27" t="s">
        <v>12</v>
      </c>
      <c r="D15" s="167">
        <f>D13+D14</f>
        <v>9800</v>
      </c>
      <c r="E15" s="31">
        <f t="shared" ref="E15:G15" si="1">E13+E14</f>
        <v>9800</v>
      </c>
      <c r="F15" s="31">
        <f t="shared" si="1"/>
        <v>0</v>
      </c>
      <c r="G15" s="97">
        <f t="shared" si="1"/>
        <v>0</v>
      </c>
    </row>
    <row r="16" spans="1:7" s="19" customFormat="1" x14ac:dyDescent="0.25">
      <c r="A16" s="22"/>
      <c r="B16" s="26"/>
      <c r="C16" s="24"/>
      <c r="D16" s="22"/>
      <c r="E16" s="29"/>
      <c r="F16" s="29"/>
      <c r="G16" s="30"/>
    </row>
    <row r="17" spans="1:7" s="10" customFormat="1" x14ac:dyDescent="0.25">
      <c r="A17" s="25">
        <v>102</v>
      </c>
      <c r="B17" s="23"/>
      <c r="C17" s="27" t="s">
        <v>53</v>
      </c>
      <c r="D17" s="25"/>
      <c r="E17" s="32"/>
      <c r="F17" s="32"/>
      <c r="G17" s="101"/>
    </row>
    <row r="18" spans="1:7" s="10" customFormat="1" x14ac:dyDescent="0.25">
      <c r="A18" s="25"/>
      <c r="B18" s="23" t="s">
        <v>10</v>
      </c>
      <c r="C18" s="24" t="s">
        <v>117</v>
      </c>
      <c r="D18" s="33">
        <v>87000</v>
      </c>
      <c r="E18" s="28">
        <v>87000</v>
      </c>
      <c r="F18" s="28"/>
      <c r="G18" s="98"/>
    </row>
    <row r="19" spans="1:7" s="10" customFormat="1" x14ac:dyDescent="0.25">
      <c r="A19" s="25"/>
      <c r="B19" s="23" t="s">
        <v>77</v>
      </c>
      <c r="C19" s="24" t="s">
        <v>40</v>
      </c>
      <c r="D19" s="33">
        <v>0</v>
      </c>
      <c r="E19" s="28">
        <v>0</v>
      </c>
      <c r="F19" s="28">
        <v>0</v>
      </c>
      <c r="G19" s="98">
        <v>0</v>
      </c>
    </row>
    <row r="20" spans="1:7" s="10" customFormat="1" x14ac:dyDescent="0.25">
      <c r="A20" s="22"/>
      <c r="B20" s="23"/>
      <c r="C20" s="27" t="s">
        <v>34</v>
      </c>
      <c r="D20" s="167">
        <f>D18+D19</f>
        <v>87000</v>
      </c>
      <c r="E20" s="31">
        <f t="shared" ref="E20:G20" si="2">E18+E19</f>
        <v>87000</v>
      </c>
      <c r="F20" s="31">
        <f t="shared" si="2"/>
        <v>0</v>
      </c>
      <c r="G20" s="97">
        <f t="shared" si="2"/>
        <v>0</v>
      </c>
    </row>
    <row r="21" spans="1:7" s="19" customFormat="1" x14ac:dyDescent="0.25">
      <c r="A21" s="22"/>
      <c r="B21" s="26"/>
      <c r="C21" s="24" t="s">
        <v>5</v>
      </c>
      <c r="D21" s="22"/>
      <c r="E21" s="29"/>
      <c r="F21" s="29"/>
      <c r="G21" s="30"/>
    </row>
    <row r="22" spans="1:7" s="10" customFormat="1" x14ac:dyDescent="0.25">
      <c r="A22" s="25">
        <v>103</v>
      </c>
      <c r="B22" s="23"/>
      <c r="C22" s="200" t="s">
        <v>909</v>
      </c>
      <c r="D22" s="25"/>
      <c r="E22" s="32"/>
      <c r="F22" s="32"/>
      <c r="G22" s="101"/>
    </row>
    <row r="23" spans="1:7" s="10" customFormat="1" x14ac:dyDescent="0.25">
      <c r="A23" s="22"/>
      <c r="B23" s="23" t="s">
        <v>10</v>
      </c>
      <c r="C23" s="24" t="s">
        <v>117</v>
      </c>
      <c r="D23" s="33">
        <v>2000</v>
      </c>
      <c r="E23" s="28">
        <v>2000</v>
      </c>
      <c r="F23" s="28"/>
      <c r="G23" s="98"/>
    </row>
    <row r="24" spans="1:7" s="10" customFormat="1" x14ac:dyDescent="0.25">
      <c r="A24" s="25"/>
      <c r="B24" s="23" t="s">
        <v>77</v>
      </c>
      <c r="C24" s="24" t="s">
        <v>40</v>
      </c>
      <c r="D24" s="33">
        <v>0</v>
      </c>
      <c r="E24" s="28">
        <v>0</v>
      </c>
      <c r="F24" s="28">
        <v>0</v>
      </c>
      <c r="G24" s="98">
        <v>0</v>
      </c>
    </row>
    <row r="25" spans="1:7" s="10" customFormat="1" x14ac:dyDescent="0.25">
      <c r="A25" s="22"/>
      <c r="B25" s="23"/>
      <c r="C25" s="27" t="s">
        <v>22</v>
      </c>
      <c r="D25" s="167">
        <f>D23+D24</f>
        <v>2000</v>
      </c>
      <c r="E25" s="31">
        <f t="shared" ref="E25:G25" si="3">E23+E24</f>
        <v>2000</v>
      </c>
      <c r="F25" s="31">
        <f t="shared" si="3"/>
        <v>0</v>
      </c>
      <c r="G25" s="97">
        <f t="shared" si="3"/>
        <v>0</v>
      </c>
    </row>
    <row r="26" spans="1:7" s="10" customFormat="1" ht="17.25" customHeight="1" x14ac:dyDescent="0.25">
      <c r="A26" s="22"/>
      <c r="B26" s="23"/>
      <c r="C26" s="24"/>
      <c r="D26" s="22"/>
      <c r="E26" s="29"/>
      <c r="F26" s="29"/>
      <c r="G26" s="30"/>
    </row>
    <row r="27" spans="1:7" s="10" customFormat="1" ht="29.25" customHeight="1" x14ac:dyDescent="0.25">
      <c r="A27" s="25"/>
      <c r="B27" s="26"/>
      <c r="C27" s="27" t="s">
        <v>205</v>
      </c>
      <c r="D27" s="167">
        <f>D15+D20+D25</f>
        <v>98800</v>
      </c>
      <c r="E27" s="31">
        <f>E15+E20+E25</f>
        <v>98800</v>
      </c>
      <c r="F27" s="31">
        <f>F15+F20+F25</f>
        <v>0</v>
      </c>
      <c r="G27" s="97">
        <f>G15+G20+G25</f>
        <v>0</v>
      </c>
    </row>
    <row r="28" spans="1:7" s="10" customFormat="1" x14ac:dyDescent="0.25">
      <c r="A28" s="22"/>
      <c r="B28" s="23"/>
      <c r="C28" s="24"/>
      <c r="D28" s="22"/>
      <c r="E28" s="29"/>
      <c r="F28" s="29"/>
      <c r="G28" s="30"/>
    </row>
    <row r="29" spans="1:7" s="10" customFormat="1" x14ac:dyDescent="0.25">
      <c r="A29" s="169">
        <v>104</v>
      </c>
      <c r="B29" s="40"/>
      <c r="C29" s="27" t="s">
        <v>54</v>
      </c>
      <c r="D29" s="77"/>
      <c r="E29" s="31"/>
      <c r="F29" s="31"/>
      <c r="G29" s="97"/>
    </row>
    <row r="30" spans="1:7" s="10" customFormat="1" x14ac:dyDescent="0.25">
      <c r="A30" s="25"/>
      <c r="B30" s="23" t="s">
        <v>10</v>
      </c>
      <c r="C30" s="24" t="s">
        <v>117</v>
      </c>
      <c r="D30" s="33"/>
      <c r="E30" s="28"/>
      <c r="F30" s="28"/>
      <c r="G30" s="98"/>
    </row>
    <row r="31" spans="1:7" s="10" customFormat="1" x14ac:dyDescent="0.25">
      <c r="A31" s="25"/>
      <c r="B31" s="23"/>
      <c r="C31" s="24" t="s">
        <v>118</v>
      </c>
      <c r="D31" s="33">
        <v>8000</v>
      </c>
      <c r="E31" s="28">
        <v>8000</v>
      </c>
      <c r="F31" s="28"/>
      <c r="G31" s="98"/>
    </row>
    <row r="32" spans="1:7" s="10" customFormat="1" x14ac:dyDescent="0.25">
      <c r="A32" s="25"/>
      <c r="B32" s="23"/>
      <c r="C32" s="24" t="s">
        <v>119</v>
      </c>
      <c r="D32" s="33">
        <v>0</v>
      </c>
      <c r="E32" s="28">
        <v>0</v>
      </c>
      <c r="F32" s="28"/>
      <c r="G32" s="98"/>
    </row>
    <row r="33" spans="1:7" s="20" customFormat="1" x14ac:dyDescent="0.25">
      <c r="A33" s="34"/>
      <c r="B33" s="35"/>
      <c r="C33" s="36" t="s">
        <v>30</v>
      </c>
      <c r="D33" s="37">
        <f t="shared" ref="D33:G33" si="4">SUM(D31:D32)</f>
        <v>8000</v>
      </c>
      <c r="E33" s="38">
        <f t="shared" si="4"/>
        <v>8000</v>
      </c>
      <c r="F33" s="38">
        <f t="shared" si="4"/>
        <v>0</v>
      </c>
      <c r="G33" s="99">
        <f t="shared" si="4"/>
        <v>0</v>
      </c>
    </row>
    <row r="34" spans="1:7" s="10" customFormat="1" x14ac:dyDescent="0.25">
      <c r="A34" s="25"/>
      <c r="B34" s="23" t="s">
        <v>77</v>
      </c>
      <c r="C34" s="24" t="s">
        <v>40</v>
      </c>
      <c r="D34" s="33">
        <v>0</v>
      </c>
      <c r="E34" s="28">
        <v>0</v>
      </c>
      <c r="F34" s="28">
        <v>0</v>
      </c>
      <c r="G34" s="98">
        <v>0</v>
      </c>
    </row>
    <row r="35" spans="1:7" s="10" customFormat="1" x14ac:dyDescent="0.25">
      <c r="A35" s="25"/>
      <c r="B35" s="23"/>
      <c r="C35" s="43" t="s">
        <v>65</v>
      </c>
      <c r="D35" s="83"/>
      <c r="E35" s="28"/>
      <c r="F35" s="28"/>
      <c r="G35" s="98"/>
    </row>
    <row r="36" spans="1:7" s="10" customFormat="1" x14ac:dyDescent="0.25">
      <c r="A36" s="25"/>
      <c r="B36" s="23"/>
      <c r="C36" s="43" t="s">
        <v>1078</v>
      </c>
      <c r="D36" s="83">
        <v>2849</v>
      </c>
      <c r="E36" s="28">
        <v>2849</v>
      </c>
      <c r="F36" s="28"/>
      <c r="G36" s="98"/>
    </row>
    <row r="37" spans="1:7" s="10" customFormat="1" x14ac:dyDescent="0.25">
      <c r="A37" s="25"/>
      <c r="B37" s="23"/>
      <c r="C37" s="36" t="s">
        <v>30</v>
      </c>
      <c r="D37" s="85">
        <f>SUM(D36)</f>
        <v>2849</v>
      </c>
      <c r="E37" s="38">
        <f t="shared" ref="E37:G37" si="5">SUM(E36)</f>
        <v>2849</v>
      </c>
      <c r="F37" s="38">
        <f t="shared" si="5"/>
        <v>0</v>
      </c>
      <c r="G37" s="295">
        <f t="shared" si="5"/>
        <v>0</v>
      </c>
    </row>
    <row r="38" spans="1:7" s="10" customFormat="1" x14ac:dyDescent="0.25">
      <c r="A38" s="25"/>
      <c r="B38" s="23"/>
      <c r="C38" s="27" t="s">
        <v>55</v>
      </c>
      <c r="D38" s="167">
        <f>D33+D37</f>
        <v>10849</v>
      </c>
      <c r="E38" s="31">
        <f t="shared" ref="E38:G38" si="6">E33+E37</f>
        <v>10849</v>
      </c>
      <c r="F38" s="31">
        <f t="shared" si="6"/>
        <v>0</v>
      </c>
      <c r="G38" s="623">
        <f t="shared" si="6"/>
        <v>0</v>
      </c>
    </row>
    <row r="39" spans="1:7" s="10" customFormat="1" x14ac:dyDescent="0.25">
      <c r="A39" s="22"/>
      <c r="B39" s="23"/>
      <c r="C39" s="24"/>
      <c r="D39" s="22"/>
      <c r="E39" s="29"/>
      <c r="F39" s="29"/>
      <c r="G39" s="30"/>
    </row>
    <row r="40" spans="1:7" s="19" customFormat="1" x14ac:dyDescent="0.25">
      <c r="A40" s="25">
        <v>105</v>
      </c>
      <c r="B40" s="26"/>
      <c r="C40" s="60" t="s">
        <v>36</v>
      </c>
      <c r="D40" s="170"/>
      <c r="E40" s="171"/>
      <c r="F40" s="171"/>
      <c r="G40" s="172"/>
    </row>
    <row r="41" spans="1:7" s="10" customFormat="1" x14ac:dyDescent="0.25">
      <c r="A41" s="22"/>
      <c r="B41" s="23" t="s">
        <v>10</v>
      </c>
      <c r="C41" s="24" t="s">
        <v>117</v>
      </c>
      <c r="D41" s="78"/>
      <c r="E41" s="51"/>
      <c r="F41" s="51"/>
      <c r="G41" s="105"/>
    </row>
    <row r="42" spans="1:7" s="10" customFormat="1" ht="30" x14ac:dyDescent="0.25">
      <c r="A42" s="22"/>
      <c r="B42" s="23"/>
      <c r="C42" s="43" t="s">
        <v>120</v>
      </c>
      <c r="D42" s="78">
        <v>5000</v>
      </c>
      <c r="E42" s="51">
        <v>5000</v>
      </c>
      <c r="F42" s="51"/>
      <c r="G42" s="105"/>
    </row>
    <row r="43" spans="1:7" s="10" customFormat="1" ht="30" x14ac:dyDescent="0.25">
      <c r="A43" s="22"/>
      <c r="B43" s="23"/>
      <c r="C43" s="43" t="s">
        <v>121</v>
      </c>
      <c r="D43" s="78">
        <v>8000</v>
      </c>
      <c r="E43" s="51">
        <v>8000</v>
      </c>
      <c r="F43" s="51"/>
      <c r="G43" s="105"/>
    </row>
    <row r="44" spans="1:7" s="10" customFormat="1" x14ac:dyDescent="0.25">
      <c r="A44" s="22"/>
      <c r="B44" s="23"/>
      <c r="C44" s="43" t="s">
        <v>122</v>
      </c>
      <c r="D44" s="78">
        <v>2000</v>
      </c>
      <c r="E44" s="51">
        <v>2000</v>
      </c>
      <c r="F44" s="51"/>
      <c r="G44" s="105"/>
    </row>
    <row r="45" spans="1:7" s="20" customFormat="1" x14ac:dyDescent="0.25">
      <c r="A45" s="22"/>
      <c r="B45" s="35"/>
      <c r="C45" s="43" t="s">
        <v>123</v>
      </c>
      <c r="D45" s="78"/>
      <c r="E45" s="51"/>
      <c r="F45" s="51"/>
      <c r="G45" s="105"/>
    </row>
    <row r="46" spans="1:7" s="20" customFormat="1" x14ac:dyDescent="0.25">
      <c r="A46" s="22"/>
      <c r="B46" s="35"/>
      <c r="C46" s="173" t="s">
        <v>124</v>
      </c>
      <c r="D46" s="78">
        <v>35000</v>
      </c>
      <c r="E46" s="51">
        <v>35000</v>
      </c>
      <c r="F46" s="51"/>
      <c r="G46" s="105"/>
    </row>
    <row r="47" spans="1:7" s="20" customFormat="1" x14ac:dyDescent="0.25">
      <c r="A47" s="22"/>
      <c r="B47" s="35"/>
      <c r="C47" s="173" t="s">
        <v>1075</v>
      </c>
      <c r="D47" s="78">
        <v>664</v>
      </c>
      <c r="E47" s="51">
        <v>664</v>
      </c>
      <c r="F47" s="51"/>
      <c r="G47" s="105"/>
    </row>
    <row r="48" spans="1:7" s="20" customFormat="1" x14ac:dyDescent="0.25">
      <c r="A48" s="22"/>
      <c r="B48" s="35"/>
      <c r="C48" s="173" t="s">
        <v>125</v>
      </c>
      <c r="D48" s="78">
        <v>3600</v>
      </c>
      <c r="E48" s="51">
        <v>3600</v>
      </c>
      <c r="F48" s="51"/>
      <c r="G48" s="105"/>
    </row>
    <row r="49" spans="1:7" s="20" customFormat="1" x14ac:dyDescent="0.25">
      <c r="A49" s="22"/>
      <c r="B49" s="35"/>
      <c r="C49" s="173" t="s">
        <v>126</v>
      </c>
      <c r="D49" s="78">
        <v>3200</v>
      </c>
      <c r="E49" s="51">
        <v>3200</v>
      </c>
      <c r="F49" s="51"/>
      <c r="G49" s="105"/>
    </row>
    <row r="50" spans="1:7" s="20" customFormat="1" x14ac:dyDescent="0.25">
      <c r="A50" s="22"/>
      <c r="B50" s="35"/>
      <c r="C50" s="173" t="s">
        <v>127</v>
      </c>
      <c r="D50" s="78"/>
      <c r="E50" s="51"/>
      <c r="F50" s="51"/>
      <c r="G50" s="105"/>
    </row>
    <row r="51" spans="1:7" s="20" customFormat="1" x14ac:dyDescent="0.25">
      <c r="A51" s="22"/>
      <c r="B51" s="35"/>
      <c r="C51" s="173" t="s">
        <v>128</v>
      </c>
      <c r="D51" s="78">
        <v>10000</v>
      </c>
      <c r="E51" s="51"/>
      <c r="F51" s="51">
        <v>10000</v>
      </c>
      <c r="G51" s="105"/>
    </row>
    <row r="52" spans="1:7" s="20" customFormat="1" x14ac:dyDescent="0.25">
      <c r="A52" s="22"/>
      <c r="B52" s="35"/>
      <c r="C52" s="173" t="s">
        <v>129</v>
      </c>
      <c r="D52" s="78">
        <v>150</v>
      </c>
      <c r="E52" s="51"/>
      <c r="F52" s="51">
        <v>150</v>
      </c>
      <c r="G52" s="105"/>
    </row>
    <row r="53" spans="1:7" s="20" customFormat="1" x14ac:dyDescent="0.25">
      <c r="A53" s="22"/>
      <c r="B53" s="35"/>
      <c r="C53" s="173" t="s">
        <v>190</v>
      </c>
      <c r="D53" s="84">
        <v>29592</v>
      </c>
      <c r="E53" s="51">
        <v>29592</v>
      </c>
      <c r="F53" s="51"/>
      <c r="G53" s="105"/>
    </row>
    <row r="54" spans="1:7" s="20" customFormat="1" x14ac:dyDescent="0.25">
      <c r="A54" s="22"/>
      <c r="B54" s="35"/>
      <c r="C54" s="173" t="s">
        <v>191</v>
      </c>
      <c r="D54" s="84">
        <v>406</v>
      </c>
      <c r="E54" s="51">
        <v>406</v>
      </c>
      <c r="F54" s="51"/>
      <c r="G54" s="105"/>
    </row>
    <row r="55" spans="1:7" s="20" customFormat="1" x14ac:dyDescent="0.25">
      <c r="A55" s="22"/>
      <c r="B55" s="35"/>
      <c r="C55" s="173" t="s">
        <v>192</v>
      </c>
      <c r="D55" s="84">
        <v>6000</v>
      </c>
      <c r="E55" s="51"/>
      <c r="F55" s="51">
        <v>6000</v>
      </c>
      <c r="G55" s="105"/>
    </row>
    <row r="56" spans="1:7" s="20" customFormat="1" x14ac:dyDescent="0.25">
      <c r="A56" s="22"/>
      <c r="B56" s="35"/>
      <c r="C56" s="173" t="s">
        <v>917</v>
      </c>
      <c r="D56" s="84">
        <v>65635</v>
      </c>
      <c r="E56" s="51">
        <v>65635</v>
      </c>
      <c r="F56" s="51"/>
      <c r="G56" s="105"/>
    </row>
    <row r="57" spans="1:7" s="20" customFormat="1" x14ac:dyDescent="0.25">
      <c r="A57" s="22"/>
      <c r="B57" s="35"/>
      <c r="C57" s="173" t="s">
        <v>918</v>
      </c>
      <c r="D57" s="84">
        <v>12000</v>
      </c>
      <c r="E57" s="51"/>
      <c r="F57" s="51">
        <v>12000</v>
      </c>
      <c r="G57" s="105"/>
    </row>
    <row r="58" spans="1:7" s="20" customFormat="1" x14ac:dyDescent="0.25">
      <c r="A58" s="22"/>
      <c r="B58" s="35"/>
      <c r="C58" s="173"/>
      <c r="D58" s="84"/>
      <c r="E58" s="51"/>
      <c r="F58" s="51"/>
      <c r="G58" s="105"/>
    </row>
    <row r="59" spans="1:7" s="10" customFormat="1" x14ac:dyDescent="0.25">
      <c r="A59" s="22"/>
      <c r="B59" s="23"/>
      <c r="C59" s="62" t="s">
        <v>41</v>
      </c>
      <c r="D59" s="95">
        <f>SUM(D42:D58)</f>
        <v>181247</v>
      </c>
      <c r="E59" s="70">
        <f>SUM(E42:E58)</f>
        <v>153097</v>
      </c>
      <c r="F59" s="70">
        <f>SUM(F42:F58)</f>
        <v>28150</v>
      </c>
      <c r="G59" s="115">
        <f>SUM(G42:G58)</f>
        <v>0</v>
      </c>
    </row>
    <row r="60" spans="1:7" s="10" customFormat="1" x14ac:dyDescent="0.25">
      <c r="A60" s="22"/>
      <c r="B60" s="23"/>
      <c r="C60" s="43"/>
      <c r="D60" s="89"/>
      <c r="E60" s="67"/>
      <c r="F60" s="67"/>
      <c r="G60" s="114"/>
    </row>
    <row r="61" spans="1:7" s="10" customFormat="1" x14ac:dyDescent="0.25">
      <c r="A61" s="22"/>
      <c r="B61" s="23" t="s">
        <v>15</v>
      </c>
      <c r="C61" s="43" t="s">
        <v>69</v>
      </c>
      <c r="D61" s="89"/>
      <c r="E61" s="67"/>
      <c r="F61" s="67"/>
      <c r="G61" s="114"/>
    </row>
    <row r="62" spans="1:7" s="10" customFormat="1" x14ac:dyDescent="0.25">
      <c r="A62" s="22"/>
      <c r="B62" s="23"/>
      <c r="C62" s="43" t="s">
        <v>72</v>
      </c>
      <c r="D62" s="78"/>
      <c r="E62" s="51"/>
      <c r="F62" s="51"/>
      <c r="G62" s="105"/>
    </row>
    <row r="63" spans="1:7" s="10" customFormat="1" x14ac:dyDescent="0.25">
      <c r="A63" s="22"/>
      <c r="B63" s="23"/>
      <c r="C63" s="43" t="s">
        <v>83</v>
      </c>
      <c r="D63" s="78">
        <v>68000</v>
      </c>
      <c r="E63" s="51">
        <v>68000</v>
      </c>
      <c r="F63" s="51"/>
      <c r="G63" s="105"/>
    </row>
    <row r="64" spans="1:7" s="10" customFormat="1" x14ac:dyDescent="0.25">
      <c r="A64" s="22"/>
      <c r="B64" s="23"/>
      <c r="C64" s="43" t="s">
        <v>81</v>
      </c>
      <c r="D64" s="78">
        <v>135000</v>
      </c>
      <c r="E64" s="51">
        <v>135000</v>
      </c>
      <c r="F64" s="51"/>
      <c r="G64" s="105"/>
    </row>
    <row r="65" spans="1:7" s="10" customFormat="1" x14ac:dyDescent="0.25">
      <c r="A65" s="34"/>
      <c r="B65" s="23"/>
      <c r="C65" s="43" t="s">
        <v>82</v>
      </c>
      <c r="D65" s="78">
        <v>18000</v>
      </c>
      <c r="E65" s="51">
        <v>18000</v>
      </c>
      <c r="F65" s="51"/>
      <c r="G65" s="105"/>
    </row>
    <row r="66" spans="1:7" s="20" customFormat="1" x14ac:dyDescent="0.25">
      <c r="A66" s="22"/>
      <c r="B66" s="35"/>
      <c r="C66" s="43" t="s">
        <v>84</v>
      </c>
      <c r="D66" s="78">
        <v>550000</v>
      </c>
      <c r="E66" s="51">
        <v>550000</v>
      </c>
      <c r="F66" s="51"/>
      <c r="G66" s="105"/>
    </row>
    <row r="67" spans="1:7" s="20" customFormat="1" x14ac:dyDescent="0.25">
      <c r="A67" s="22"/>
      <c r="B67" s="35"/>
      <c r="C67" s="43" t="s">
        <v>105</v>
      </c>
      <c r="D67" s="78">
        <v>5000</v>
      </c>
      <c r="E67" s="51">
        <v>5000</v>
      </c>
      <c r="F67" s="51"/>
      <c r="G67" s="105"/>
    </row>
    <row r="68" spans="1:7" s="10" customFormat="1" x14ac:dyDescent="0.25">
      <c r="A68" s="22"/>
      <c r="B68" s="23"/>
      <c r="C68" s="61" t="s">
        <v>30</v>
      </c>
      <c r="D68" s="95">
        <f t="shared" ref="D68:G68" si="7">SUM(D63:D67)</f>
        <v>776000</v>
      </c>
      <c r="E68" s="70">
        <f t="shared" si="7"/>
        <v>776000</v>
      </c>
      <c r="F68" s="70">
        <f t="shared" si="7"/>
        <v>0</v>
      </c>
      <c r="G68" s="115">
        <f t="shared" si="7"/>
        <v>0</v>
      </c>
    </row>
    <row r="69" spans="1:7" s="10" customFormat="1" x14ac:dyDescent="0.25">
      <c r="A69" s="22"/>
      <c r="B69" s="23"/>
      <c r="C69" s="61"/>
      <c r="D69" s="95"/>
      <c r="E69" s="70"/>
      <c r="F69" s="70"/>
      <c r="G69" s="115"/>
    </row>
    <row r="70" spans="1:7" s="10" customFormat="1" x14ac:dyDescent="0.25">
      <c r="A70" s="22"/>
      <c r="B70" s="23"/>
      <c r="C70" s="43" t="s">
        <v>73</v>
      </c>
      <c r="D70" s="78"/>
      <c r="E70" s="51"/>
      <c r="F70" s="51"/>
      <c r="G70" s="105"/>
    </row>
    <row r="71" spans="1:7" s="10" customFormat="1" x14ac:dyDescent="0.25">
      <c r="A71" s="34"/>
      <c r="B71" s="23"/>
      <c r="C71" s="43" t="s">
        <v>85</v>
      </c>
      <c r="D71" s="78">
        <v>50000</v>
      </c>
      <c r="E71" s="51">
        <v>50000</v>
      </c>
      <c r="F71" s="51"/>
      <c r="G71" s="105"/>
    </row>
    <row r="72" spans="1:7" s="10" customFormat="1" x14ac:dyDescent="0.25">
      <c r="A72" s="22"/>
      <c r="B72" s="23"/>
      <c r="C72" s="61" t="s">
        <v>30</v>
      </c>
      <c r="D72" s="88">
        <f t="shared" ref="D72:G72" si="8">SUM(D71:D71)</f>
        <v>50000</v>
      </c>
      <c r="E72" s="70">
        <f t="shared" si="8"/>
        <v>50000</v>
      </c>
      <c r="F72" s="70">
        <f t="shared" si="8"/>
        <v>0</v>
      </c>
      <c r="G72" s="115">
        <f t="shared" si="8"/>
        <v>0</v>
      </c>
    </row>
    <row r="73" spans="1:7" s="10" customFormat="1" x14ac:dyDescent="0.25">
      <c r="A73" s="22"/>
      <c r="B73" s="23"/>
      <c r="C73" s="61"/>
      <c r="D73" s="88"/>
      <c r="E73" s="70"/>
      <c r="F73" s="70"/>
      <c r="G73" s="115"/>
    </row>
    <row r="74" spans="1:7" s="20" customFormat="1" x14ac:dyDescent="0.25">
      <c r="A74" s="34"/>
      <c r="B74" s="35"/>
      <c r="C74" s="43" t="s">
        <v>74</v>
      </c>
      <c r="D74" s="78"/>
      <c r="E74" s="51"/>
      <c r="F74" s="51"/>
      <c r="G74" s="105"/>
    </row>
    <row r="75" spans="1:7" s="20" customFormat="1" x14ac:dyDescent="0.25">
      <c r="A75" s="34"/>
      <c r="B75" s="35"/>
      <c r="C75" s="173" t="s">
        <v>86</v>
      </c>
      <c r="D75" s="78">
        <v>6000</v>
      </c>
      <c r="E75" s="51">
        <v>6000</v>
      </c>
      <c r="F75" s="51"/>
      <c r="G75" s="105"/>
    </row>
    <row r="76" spans="1:7" s="20" customFormat="1" x14ac:dyDescent="0.25">
      <c r="A76" s="34"/>
      <c r="B76" s="35"/>
      <c r="C76" s="173" t="s">
        <v>193</v>
      </c>
      <c r="D76" s="78">
        <v>6000</v>
      </c>
      <c r="E76" s="51">
        <v>6000</v>
      </c>
      <c r="F76" s="51"/>
      <c r="G76" s="105"/>
    </row>
    <row r="77" spans="1:7" s="20" customFormat="1" x14ac:dyDescent="0.25">
      <c r="A77" s="39"/>
      <c r="B77" s="35"/>
      <c r="C77" s="61" t="s">
        <v>30</v>
      </c>
      <c r="D77" s="88">
        <f t="shared" ref="D77:G77" si="9">SUM(D75:D76)</f>
        <v>12000</v>
      </c>
      <c r="E77" s="70">
        <f t="shared" si="9"/>
        <v>12000</v>
      </c>
      <c r="F77" s="70">
        <f t="shared" si="9"/>
        <v>0</v>
      </c>
      <c r="G77" s="115">
        <f t="shared" si="9"/>
        <v>0</v>
      </c>
    </row>
    <row r="78" spans="1:7" s="20" customFormat="1" x14ac:dyDescent="0.25">
      <c r="A78" s="39"/>
      <c r="B78" s="35"/>
      <c r="C78" s="61"/>
      <c r="D78" s="88"/>
      <c r="E78" s="70"/>
      <c r="F78" s="70"/>
      <c r="G78" s="115"/>
    </row>
    <row r="79" spans="1:7" s="10" customFormat="1" x14ac:dyDescent="0.25">
      <c r="A79" s="22"/>
      <c r="B79" s="23"/>
      <c r="C79" s="62" t="s">
        <v>42</v>
      </c>
      <c r="D79" s="90">
        <f t="shared" ref="D79:G79" si="10">D68+D72+D77</f>
        <v>838000</v>
      </c>
      <c r="E79" s="71">
        <f t="shared" si="10"/>
        <v>838000</v>
      </c>
      <c r="F79" s="71">
        <f t="shared" si="10"/>
        <v>0</v>
      </c>
      <c r="G79" s="116">
        <f t="shared" si="10"/>
        <v>0</v>
      </c>
    </row>
    <row r="80" spans="1:7" s="10" customFormat="1" x14ac:dyDescent="0.25">
      <c r="A80" s="22"/>
      <c r="B80" s="8"/>
      <c r="C80" s="43"/>
      <c r="D80" s="89"/>
      <c r="E80" s="67"/>
      <c r="F80" s="67"/>
      <c r="G80" s="114"/>
    </row>
    <row r="81" spans="1:7" s="10" customFormat="1" x14ac:dyDescent="0.25">
      <c r="A81" s="22"/>
      <c r="B81" s="23" t="s">
        <v>16</v>
      </c>
      <c r="C81" s="43" t="s">
        <v>32</v>
      </c>
      <c r="D81" s="89"/>
      <c r="E81" s="67"/>
      <c r="F81" s="67"/>
      <c r="G81" s="114"/>
    </row>
    <row r="82" spans="1:7" s="10" customFormat="1" ht="30" x14ac:dyDescent="0.25">
      <c r="A82" s="22"/>
      <c r="B82" s="23"/>
      <c r="C82" s="43" t="s">
        <v>39</v>
      </c>
      <c r="D82" s="33"/>
      <c r="E82" s="28"/>
      <c r="F82" s="28"/>
      <c r="G82" s="98"/>
    </row>
    <row r="83" spans="1:7" s="10" customFormat="1" x14ac:dyDescent="0.25">
      <c r="A83" s="22"/>
      <c r="B83" s="23"/>
      <c r="C83" s="43" t="s">
        <v>243</v>
      </c>
      <c r="D83" s="33">
        <v>344986</v>
      </c>
      <c r="E83" s="28">
        <v>344986</v>
      </c>
      <c r="F83" s="28"/>
      <c r="G83" s="98"/>
    </row>
    <row r="84" spans="1:7" s="10" customFormat="1" ht="30" x14ac:dyDescent="0.25">
      <c r="A84" s="22"/>
      <c r="B84" s="23"/>
      <c r="C84" s="43" t="s">
        <v>288</v>
      </c>
      <c r="D84" s="33">
        <v>576</v>
      </c>
      <c r="E84" s="28">
        <v>576</v>
      </c>
      <c r="F84" s="28"/>
      <c r="G84" s="98"/>
    </row>
    <row r="85" spans="1:7" s="10" customFormat="1" x14ac:dyDescent="0.25">
      <c r="A85" s="22"/>
      <c r="B85" s="23"/>
      <c r="C85" s="43" t="s">
        <v>244</v>
      </c>
      <c r="D85" s="33">
        <v>239806</v>
      </c>
      <c r="E85" s="28">
        <v>239806</v>
      </c>
      <c r="F85" s="28"/>
      <c r="G85" s="98"/>
    </row>
    <row r="86" spans="1:7" s="10" customFormat="1" ht="36.75" customHeight="1" x14ac:dyDescent="0.25">
      <c r="A86" s="22"/>
      <c r="B86" s="23"/>
      <c r="C86" s="43" t="s">
        <v>245</v>
      </c>
      <c r="D86" s="33">
        <v>505309</v>
      </c>
      <c r="E86" s="28">
        <v>353734</v>
      </c>
      <c r="F86" s="28">
        <v>151575</v>
      </c>
      <c r="G86" s="98"/>
    </row>
    <row r="87" spans="1:7" s="10" customFormat="1" ht="16.5" customHeight="1" x14ac:dyDescent="0.25">
      <c r="A87" s="22"/>
      <c r="B87" s="23"/>
      <c r="C87" s="43" t="s">
        <v>246</v>
      </c>
      <c r="D87" s="33">
        <v>22568</v>
      </c>
      <c r="E87" s="28">
        <v>22568</v>
      </c>
      <c r="F87" s="28"/>
      <c r="G87" s="98"/>
    </row>
    <row r="88" spans="1:7" s="10" customFormat="1" x14ac:dyDescent="0.25">
      <c r="A88" s="22"/>
      <c r="B88" s="23"/>
      <c r="C88" s="61" t="s">
        <v>30</v>
      </c>
      <c r="D88" s="85">
        <f>SUM(D82:D87)</f>
        <v>1113245</v>
      </c>
      <c r="E88" s="38">
        <f>SUM(E82:E87)</f>
        <v>961670</v>
      </c>
      <c r="F88" s="38">
        <f>SUM(F82:F87)</f>
        <v>151575</v>
      </c>
      <c r="G88" s="99">
        <f>SUM(G82:G87)</f>
        <v>0</v>
      </c>
    </row>
    <row r="89" spans="1:7" s="10" customFormat="1" x14ac:dyDescent="0.25">
      <c r="A89" s="22"/>
      <c r="B89" s="23"/>
      <c r="C89" s="43"/>
      <c r="D89" s="33"/>
      <c r="E89" s="28"/>
      <c r="F89" s="28"/>
      <c r="G89" s="98"/>
    </row>
    <row r="90" spans="1:7" s="10" customFormat="1" ht="17.25" customHeight="1" x14ac:dyDescent="0.25">
      <c r="A90" s="22"/>
      <c r="B90" s="23"/>
      <c r="C90" s="43" t="s">
        <v>171</v>
      </c>
      <c r="D90" s="33"/>
      <c r="E90" s="28"/>
      <c r="F90" s="28"/>
      <c r="G90" s="98"/>
    </row>
    <row r="91" spans="1:7" s="10" customFormat="1" x14ac:dyDescent="0.25">
      <c r="A91" s="22"/>
      <c r="B91" s="23"/>
      <c r="C91" s="61" t="s">
        <v>30</v>
      </c>
      <c r="D91" s="85">
        <v>0</v>
      </c>
      <c r="E91" s="38">
        <v>0</v>
      </c>
      <c r="F91" s="38">
        <v>0</v>
      </c>
      <c r="G91" s="99">
        <v>0</v>
      </c>
    </row>
    <row r="92" spans="1:7" s="10" customFormat="1" x14ac:dyDescent="0.25">
      <c r="A92" s="22"/>
      <c r="B92" s="23"/>
      <c r="C92" s="61"/>
      <c r="D92" s="37"/>
      <c r="E92" s="38"/>
      <c r="F92" s="38"/>
      <c r="G92" s="99"/>
    </row>
    <row r="93" spans="1:7" s="10" customFormat="1" x14ac:dyDescent="0.25">
      <c r="A93" s="22"/>
      <c r="B93" s="23"/>
      <c r="C93" s="43" t="s">
        <v>172</v>
      </c>
      <c r="D93" s="33"/>
      <c r="E93" s="28"/>
      <c r="F93" s="28"/>
      <c r="G93" s="98"/>
    </row>
    <row r="94" spans="1:7" s="10" customFormat="1" x14ac:dyDescent="0.25">
      <c r="A94" s="22"/>
      <c r="B94" s="23"/>
      <c r="C94" s="61" t="s">
        <v>30</v>
      </c>
      <c r="D94" s="85">
        <v>0</v>
      </c>
      <c r="E94" s="38">
        <v>0</v>
      </c>
      <c r="F94" s="38">
        <v>0</v>
      </c>
      <c r="G94" s="99">
        <v>0</v>
      </c>
    </row>
    <row r="95" spans="1:7" s="10" customFormat="1" x14ac:dyDescent="0.25">
      <c r="A95" s="22"/>
      <c r="B95" s="23"/>
      <c r="C95" s="61"/>
      <c r="D95" s="85"/>
      <c r="E95" s="38"/>
      <c r="F95" s="38"/>
      <c r="G95" s="99"/>
    </row>
    <row r="96" spans="1:7" s="10" customFormat="1" x14ac:dyDescent="0.25">
      <c r="A96" s="22"/>
      <c r="B96" s="23"/>
      <c r="C96" s="43" t="s">
        <v>177</v>
      </c>
      <c r="D96" s="85"/>
      <c r="E96" s="38"/>
      <c r="F96" s="38"/>
      <c r="G96" s="99"/>
    </row>
    <row r="97" spans="1:7" s="20" customFormat="1" x14ac:dyDescent="0.25">
      <c r="A97" s="34"/>
      <c r="B97" s="35"/>
      <c r="C97" s="61" t="s">
        <v>30</v>
      </c>
      <c r="D97" s="85">
        <v>0</v>
      </c>
      <c r="E97" s="38">
        <v>0</v>
      </c>
      <c r="F97" s="38">
        <v>0</v>
      </c>
      <c r="G97" s="99">
        <v>0</v>
      </c>
    </row>
    <row r="98" spans="1:7" s="10" customFormat="1" x14ac:dyDescent="0.25">
      <c r="A98" s="22"/>
      <c r="B98" s="23"/>
      <c r="C98" s="61"/>
      <c r="D98" s="37"/>
      <c r="E98" s="38"/>
      <c r="F98" s="38"/>
      <c r="G98" s="99"/>
    </row>
    <row r="99" spans="1:7" s="10" customFormat="1" x14ac:dyDescent="0.25">
      <c r="A99" s="22"/>
      <c r="B99" s="23"/>
      <c r="C99" s="62" t="s">
        <v>43</v>
      </c>
      <c r="D99" s="174">
        <f>SUM(D88,D91,D94,D97)</f>
        <v>1113245</v>
      </c>
      <c r="E99" s="71">
        <f>SUM(E88,E91,E94,E97)</f>
        <v>961670</v>
      </c>
      <c r="F99" s="71">
        <f>SUM(F88,F91,F94,F97)</f>
        <v>151575</v>
      </c>
      <c r="G99" s="116">
        <f>SUM(G88,G91,G94,G97)</f>
        <v>0</v>
      </c>
    </row>
    <row r="100" spans="1:7" s="10" customFormat="1" x14ac:dyDescent="0.25">
      <c r="A100" s="22"/>
      <c r="B100" s="23"/>
      <c r="C100" s="43"/>
      <c r="D100" s="89"/>
      <c r="E100" s="67"/>
      <c r="F100" s="67"/>
      <c r="G100" s="114"/>
    </row>
    <row r="101" spans="1:7" s="10" customFormat="1" x14ac:dyDescent="0.25">
      <c r="A101" s="22"/>
      <c r="B101" s="23" t="s">
        <v>11</v>
      </c>
      <c r="C101" s="43" t="s">
        <v>80</v>
      </c>
      <c r="D101" s="89"/>
      <c r="E101" s="67"/>
      <c r="F101" s="67"/>
      <c r="G101" s="114"/>
    </row>
    <row r="102" spans="1:7" s="10" customFormat="1" x14ac:dyDescent="0.25">
      <c r="A102" s="22"/>
      <c r="B102" s="23"/>
      <c r="C102" s="43" t="s">
        <v>17</v>
      </c>
      <c r="D102" s="78"/>
      <c r="E102" s="51"/>
      <c r="F102" s="51"/>
      <c r="G102" s="105"/>
    </row>
    <row r="103" spans="1:7" s="10" customFormat="1" x14ac:dyDescent="0.25">
      <c r="A103" s="22"/>
      <c r="B103" s="23"/>
      <c r="C103" s="173" t="s">
        <v>194</v>
      </c>
      <c r="D103" s="78">
        <v>287534</v>
      </c>
      <c r="E103" s="51">
        <v>287534</v>
      </c>
      <c r="F103" s="51"/>
      <c r="G103" s="105"/>
    </row>
    <row r="104" spans="1:7" s="10" customFormat="1" x14ac:dyDescent="0.25">
      <c r="A104" s="22"/>
      <c r="B104" s="23"/>
      <c r="C104" s="173" t="s">
        <v>195</v>
      </c>
      <c r="D104" s="78">
        <v>73576</v>
      </c>
      <c r="E104" s="51">
        <v>73576</v>
      </c>
      <c r="F104" s="51"/>
      <c r="G104" s="105"/>
    </row>
    <row r="105" spans="1:7" s="10" customFormat="1" x14ac:dyDescent="0.25">
      <c r="A105" s="22"/>
      <c r="B105" s="23"/>
      <c r="C105" s="43" t="s">
        <v>130</v>
      </c>
      <c r="D105" s="78"/>
      <c r="E105" s="51"/>
      <c r="F105" s="51"/>
      <c r="G105" s="105"/>
    </row>
    <row r="106" spans="1:7" s="10" customFormat="1" x14ac:dyDescent="0.25">
      <c r="A106" s="22"/>
      <c r="B106" s="23"/>
      <c r="C106" s="43" t="s">
        <v>131</v>
      </c>
      <c r="D106" s="78"/>
      <c r="E106" s="51"/>
      <c r="F106" s="51"/>
      <c r="G106" s="105"/>
    </row>
    <row r="107" spans="1:7" s="10" customFormat="1" x14ac:dyDescent="0.25">
      <c r="A107" s="22"/>
      <c r="B107" s="23"/>
      <c r="C107" s="173" t="s">
        <v>132</v>
      </c>
      <c r="D107" s="78">
        <v>24941</v>
      </c>
      <c r="E107" s="51">
        <v>24941</v>
      </c>
      <c r="F107" s="51"/>
      <c r="G107" s="105"/>
    </row>
    <row r="108" spans="1:7" s="10" customFormat="1" x14ac:dyDescent="0.25">
      <c r="A108" s="22"/>
      <c r="B108" s="23"/>
      <c r="C108" s="173" t="s">
        <v>133</v>
      </c>
      <c r="D108" s="78">
        <v>50931</v>
      </c>
      <c r="E108" s="51">
        <v>50931</v>
      </c>
      <c r="F108" s="51"/>
      <c r="G108" s="105"/>
    </row>
    <row r="109" spans="1:7" s="10" customFormat="1" x14ac:dyDescent="0.25">
      <c r="A109" s="22"/>
      <c r="B109" s="23"/>
      <c r="C109" s="173"/>
      <c r="D109" s="78"/>
      <c r="E109" s="51"/>
      <c r="F109" s="51"/>
      <c r="G109" s="105"/>
    </row>
    <row r="110" spans="1:7" s="10" customFormat="1" x14ac:dyDescent="0.25">
      <c r="A110" s="22"/>
      <c r="B110" s="23"/>
      <c r="C110" s="62" t="s">
        <v>44</v>
      </c>
      <c r="D110" s="90">
        <f>SUM(D102:D108)</f>
        <v>436982</v>
      </c>
      <c r="E110" s="71">
        <f>SUM(E102:E108)</f>
        <v>436982</v>
      </c>
      <c r="F110" s="71">
        <f>SUM(F102:F108)</f>
        <v>0</v>
      </c>
      <c r="G110" s="116">
        <f>SUM(G102:G108)</f>
        <v>0</v>
      </c>
    </row>
    <row r="111" spans="1:7" s="10" customFormat="1" x14ac:dyDescent="0.25">
      <c r="A111" s="22"/>
      <c r="B111" s="23"/>
      <c r="C111" s="43"/>
      <c r="D111" s="89"/>
      <c r="E111" s="67"/>
      <c r="F111" s="67"/>
      <c r="G111" s="114"/>
    </row>
    <row r="112" spans="1:7" s="10" customFormat="1" x14ac:dyDescent="0.25">
      <c r="A112" s="22"/>
      <c r="B112" s="23" t="s">
        <v>18</v>
      </c>
      <c r="C112" s="43" t="s">
        <v>40</v>
      </c>
      <c r="D112" s="78"/>
      <c r="E112" s="51"/>
      <c r="F112" s="51"/>
      <c r="G112" s="105"/>
    </row>
    <row r="113" spans="1:7" s="10" customFormat="1" x14ac:dyDescent="0.25">
      <c r="A113" s="22"/>
      <c r="B113" s="23"/>
      <c r="C113" s="43" t="s">
        <v>65</v>
      </c>
      <c r="D113" s="78"/>
      <c r="E113" s="51"/>
      <c r="F113" s="51"/>
      <c r="G113" s="105"/>
    </row>
    <row r="114" spans="1:7" s="10" customFormat="1" ht="30" x14ac:dyDescent="0.25">
      <c r="A114" s="22"/>
      <c r="B114" s="23"/>
      <c r="C114" s="43" t="s">
        <v>208</v>
      </c>
      <c r="D114" s="78">
        <v>43717</v>
      </c>
      <c r="E114" s="51">
        <v>43717</v>
      </c>
      <c r="F114" s="51"/>
      <c r="G114" s="105"/>
    </row>
    <row r="115" spans="1:7" s="20" customFormat="1" x14ac:dyDescent="0.25">
      <c r="A115" s="39"/>
      <c r="B115" s="23"/>
      <c r="C115" s="43" t="s">
        <v>196</v>
      </c>
      <c r="D115" s="78">
        <v>6245</v>
      </c>
      <c r="E115" s="51"/>
      <c r="F115" s="51">
        <v>6245</v>
      </c>
      <c r="G115" s="105"/>
    </row>
    <row r="116" spans="1:7" s="20" customFormat="1" x14ac:dyDescent="0.25">
      <c r="A116" s="39"/>
      <c r="B116" s="23"/>
      <c r="C116" s="43" t="s">
        <v>197</v>
      </c>
      <c r="D116" s="84">
        <v>405</v>
      </c>
      <c r="E116" s="51">
        <v>405</v>
      </c>
      <c r="F116" s="51"/>
      <c r="G116" s="105"/>
    </row>
    <row r="117" spans="1:7" s="20" customFormat="1" x14ac:dyDescent="0.25">
      <c r="A117" s="39"/>
      <c r="B117" s="23"/>
      <c r="C117" s="43" t="s">
        <v>134</v>
      </c>
      <c r="D117" s="78"/>
      <c r="E117" s="51"/>
      <c r="F117" s="51"/>
      <c r="G117" s="105"/>
    </row>
    <row r="118" spans="1:7" s="20" customFormat="1" ht="15" customHeight="1" x14ac:dyDescent="0.25">
      <c r="A118" s="39"/>
      <c r="B118" s="23"/>
      <c r="C118" s="43" t="s">
        <v>135</v>
      </c>
      <c r="D118" s="78">
        <v>7680</v>
      </c>
      <c r="E118" s="51">
        <v>7680</v>
      </c>
      <c r="F118" s="51"/>
      <c r="G118" s="105"/>
    </row>
    <row r="119" spans="1:7" s="20" customFormat="1" ht="15.75" customHeight="1" x14ac:dyDescent="0.25">
      <c r="A119" s="39"/>
      <c r="B119" s="23"/>
      <c r="C119" s="43" t="s">
        <v>136</v>
      </c>
      <c r="D119" s="78">
        <v>1441</v>
      </c>
      <c r="E119" s="51">
        <v>1441</v>
      </c>
      <c r="F119" s="51"/>
      <c r="G119" s="105"/>
    </row>
    <row r="120" spans="1:7" s="20" customFormat="1" ht="16.5" customHeight="1" x14ac:dyDescent="0.25">
      <c r="A120" s="39"/>
      <c r="B120" s="23"/>
      <c r="C120" s="43" t="s">
        <v>137</v>
      </c>
      <c r="D120" s="78">
        <v>1479</v>
      </c>
      <c r="E120" s="51">
        <v>1479</v>
      </c>
      <c r="F120" s="51"/>
      <c r="G120" s="105"/>
    </row>
    <row r="121" spans="1:7" s="20" customFormat="1" x14ac:dyDescent="0.25">
      <c r="A121" s="39"/>
      <c r="B121" s="23"/>
      <c r="C121" s="74" t="s">
        <v>138</v>
      </c>
      <c r="D121" s="78">
        <v>7436</v>
      </c>
      <c r="E121" s="51"/>
      <c r="F121" s="51">
        <v>7436</v>
      </c>
      <c r="G121" s="105"/>
    </row>
    <row r="122" spans="1:7" s="20" customFormat="1" x14ac:dyDescent="0.25">
      <c r="A122" s="39"/>
      <c r="B122" s="23"/>
      <c r="C122" s="43" t="s">
        <v>139</v>
      </c>
      <c r="D122" s="78">
        <v>151</v>
      </c>
      <c r="E122" s="51"/>
      <c r="F122" s="51"/>
      <c r="G122" s="105">
        <v>151</v>
      </c>
    </row>
    <row r="123" spans="1:7" s="20" customFormat="1" x14ac:dyDescent="0.25">
      <c r="A123" s="39"/>
      <c r="B123" s="23"/>
      <c r="C123" s="43" t="s">
        <v>198</v>
      </c>
      <c r="D123" s="84">
        <v>6010</v>
      </c>
      <c r="E123" s="51"/>
      <c r="F123" s="51">
        <v>6010</v>
      </c>
      <c r="G123" s="105"/>
    </row>
    <row r="124" spans="1:7" s="20" customFormat="1" ht="30" x14ac:dyDescent="0.25">
      <c r="A124" s="39"/>
      <c r="B124" s="23"/>
      <c r="C124" s="43" t="s">
        <v>231</v>
      </c>
      <c r="D124" s="84">
        <v>78975</v>
      </c>
      <c r="E124" s="51">
        <v>78975</v>
      </c>
      <c r="F124" s="51"/>
      <c r="G124" s="105"/>
    </row>
    <row r="125" spans="1:7" s="20" customFormat="1" ht="30" x14ac:dyDescent="0.25">
      <c r="A125" s="39"/>
      <c r="B125" s="23"/>
      <c r="C125" s="43" t="s">
        <v>232</v>
      </c>
      <c r="D125" s="84">
        <v>68353</v>
      </c>
      <c r="E125" s="51">
        <v>68353</v>
      </c>
      <c r="F125" s="51"/>
      <c r="G125" s="105"/>
    </row>
    <row r="126" spans="1:7" s="20" customFormat="1" x14ac:dyDescent="0.25">
      <c r="A126" s="39"/>
      <c r="B126" s="23"/>
      <c r="C126" s="43" t="s">
        <v>926</v>
      </c>
      <c r="D126" s="84">
        <v>6277</v>
      </c>
      <c r="E126" s="51">
        <v>6277</v>
      </c>
      <c r="F126" s="51"/>
      <c r="G126" s="105"/>
    </row>
    <row r="127" spans="1:7" s="20" customFormat="1" x14ac:dyDescent="0.25">
      <c r="A127" s="39"/>
      <c r="B127" s="23"/>
      <c r="C127" s="43" t="s">
        <v>239</v>
      </c>
      <c r="D127" s="84">
        <v>215</v>
      </c>
      <c r="E127" s="51">
        <v>215</v>
      </c>
      <c r="F127" s="51"/>
      <c r="G127" s="105"/>
    </row>
    <row r="128" spans="1:7" s="20" customFormat="1" x14ac:dyDescent="0.25">
      <c r="A128" s="39"/>
      <c r="B128" s="23"/>
      <c r="C128" s="43" t="s">
        <v>1080</v>
      </c>
      <c r="D128" s="84">
        <v>4945</v>
      </c>
      <c r="E128" s="51">
        <v>4945</v>
      </c>
      <c r="F128" s="51"/>
      <c r="G128" s="105"/>
    </row>
    <row r="129" spans="1:7" s="20" customFormat="1" x14ac:dyDescent="0.25">
      <c r="A129" s="39"/>
      <c r="B129" s="23"/>
      <c r="C129" s="43"/>
      <c r="D129" s="84"/>
      <c r="E129" s="51"/>
      <c r="F129" s="51"/>
      <c r="G129" s="105"/>
    </row>
    <row r="130" spans="1:7" s="20" customFormat="1" x14ac:dyDescent="0.25">
      <c r="A130" s="39"/>
      <c r="B130" s="23"/>
      <c r="C130" s="61" t="s">
        <v>30</v>
      </c>
      <c r="D130" s="85">
        <f>SUM(D114:D129)</f>
        <v>233329</v>
      </c>
      <c r="E130" s="38">
        <f t="shared" ref="E130:G130" si="11">SUM(E114:E129)</f>
        <v>213487</v>
      </c>
      <c r="F130" s="38">
        <f t="shared" si="11"/>
        <v>19691</v>
      </c>
      <c r="G130" s="295">
        <f t="shared" si="11"/>
        <v>151</v>
      </c>
    </row>
    <row r="131" spans="1:7" s="20" customFormat="1" x14ac:dyDescent="0.25">
      <c r="A131" s="39"/>
      <c r="B131" s="35"/>
      <c r="C131" s="61"/>
      <c r="D131" s="91"/>
      <c r="E131" s="66"/>
      <c r="F131" s="66"/>
      <c r="G131" s="117"/>
    </row>
    <row r="132" spans="1:7" s="20" customFormat="1" x14ac:dyDescent="0.25">
      <c r="A132" s="39"/>
      <c r="C132" s="43" t="s">
        <v>90</v>
      </c>
      <c r="D132" s="78"/>
      <c r="E132" s="51"/>
      <c r="F132" s="51"/>
      <c r="G132" s="105"/>
    </row>
    <row r="133" spans="1:7" s="21" customFormat="1" ht="30.75" x14ac:dyDescent="0.3">
      <c r="A133" s="22"/>
      <c r="B133" s="35"/>
      <c r="C133" s="43" t="s">
        <v>199</v>
      </c>
      <c r="D133" s="83">
        <v>1434</v>
      </c>
      <c r="E133" s="28">
        <v>1434</v>
      </c>
      <c r="F133" s="28"/>
      <c r="G133" s="98"/>
    </row>
    <row r="134" spans="1:7" s="21" customFormat="1" ht="30.75" x14ac:dyDescent="0.3">
      <c r="A134" s="22"/>
      <c r="B134" s="35"/>
      <c r="C134" s="43" t="s">
        <v>200</v>
      </c>
      <c r="D134" s="83">
        <v>165</v>
      </c>
      <c r="E134" s="28">
        <v>165</v>
      </c>
      <c r="F134" s="28"/>
      <c r="G134" s="98"/>
    </row>
    <row r="135" spans="1:7" s="21" customFormat="1" ht="15.75" customHeight="1" x14ac:dyDescent="0.3">
      <c r="A135" s="22"/>
      <c r="B135" s="35"/>
      <c r="C135" s="43" t="s">
        <v>910</v>
      </c>
      <c r="D135" s="83">
        <v>88239</v>
      </c>
      <c r="E135" s="28">
        <v>88239</v>
      </c>
      <c r="F135" s="28"/>
      <c r="G135" s="98"/>
    </row>
    <row r="136" spans="1:7" s="21" customFormat="1" ht="17.25" x14ac:dyDescent="0.3">
      <c r="A136" s="22"/>
      <c r="B136" s="35"/>
      <c r="C136" s="43" t="s">
        <v>911</v>
      </c>
      <c r="D136" s="83">
        <v>232664</v>
      </c>
      <c r="E136" s="28">
        <v>232664</v>
      </c>
      <c r="F136" s="28"/>
      <c r="G136" s="98"/>
    </row>
    <row r="137" spans="1:7" s="21" customFormat="1" ht="30.75" x14ac:dyDescent="0.3">
      <c r="A137" s="22"/>
      <c r="B137" s="35"/>
      <c r="C137" s="43" t="s">
        <v>912</v>
      </c>
      <c r="D137" s="83">
        <v>3851</v>
      </c>
      <c r="E137" s="28">
        <v>3851</v>
      </c>
      <c r="F137" s="28"/>
      <c r="G137" s="98"/>
    </row>
    <row r="138" spans="1:7" s="21" customFormat="1" ht="17.25" x14ac:dyDescent="0.3">
      <c r="A138" s="22"/>
      <c r="B138" s="35"/>
      <c r="C138" s="43" t="s">
        <v>913</v>
      </c>
      <c r="D138" s="83">
        <v>35000</v>
      </c>
      <c r="E138" s="28">
        <v>35000</v>
      </c>
      <c r="F138" s="28"/>
      <c r="G138" s="98"/>
    </row>
    <row r="139" spans="1:7" s="21" customFormat="1" ht="17.25" x14ac:dyDescent="0.3">
      <c r="A139" s="22"/>
      <c r="B139" s="35"/>
      <c r="C139" s="43"/>
      <c r="D139" s="83"/>
      <c r="E139" s="28"/>
      <c r="F139" s="28"/>
      <c r="G139" s="104"/>
    </row>
    <row r="140" spans="1:7" s="20" customFormat="1" x14ac:dyDescent="0.25">
      <c r="A140" s="22"/>
      <c r="B140" s="35"/>
      <c r="C140" s="61" t="s">
        <v>30</v>
      </c>
      <c r="D140" s="95">
        <f>SUM(D132:D139)</f>
        <v>361353</v>
      </c>
      <c r="E140" s="70">
        <f t="shared" ref="E140:G140" si="12">SUM(E132:E139)</f>
        <v>361353</v>
      </c>
      <c r="F140" s="70">
        <f t="shared" si="12"/>
        <v>0</v>
      </c>
      <c r="G140" s="624">
        <f t="shared" si="12"/>
        <v>0</v>
      </c>
    </row>
    <row r="141" spans="1:7" s="10" customFormat="1" x14ac:dyDescent="0.25">
      <c r="A141" s="39"/>
      <c r="B141" s="35"/>
      <c r="C141" s="61"/>
      <c r="D141" s="88"/>
      <c r="E141" s="70"/>
      <c r="F141" s="70"/>
      <c r="G141" s="115"/>
    </row>
    <row r="142" spans="1:7" s="10" customFormat="1" x14ac:dyDescent="0.25">
      <c r="A142" s="39"/>
      <c r="B142" s="35"/>
      <c r="C142" s="62" t="s">
        <v>64</v>
      </c>
      <c r="D142" s="90">
        <f>D130+D140</f>
        <v>594682</v>
      </c>
      <c r="E142" s="71">
        <f>E130+E140</f>
        <v>574840</v>
      </c>
      <c r="F142" s="71">
        <f>F130+F140</f>
        <v>19691</v>
      </c>
      <c r="G142" s="116">
        <f>G130+G140</f>
        <v>151</v>
      </c>
    </row>
    <row r="143" spans="1:7" s="10" customFormat="1" x14ac:dyDescent="0.25">
      <c r="A143" s="39"/>
      <c r="B143" s="35"/>
      <c r="C143" s="62"/>
      <c r="D143" s="92"/>
      <c r="E143" s="68"/>
      <c r="F143" s="68"/>
      <c r="G143" s="118"/>
    </row>
    <row r="144" spans="1:7" s="10" customFormat="1" x14ac:dyDescent="0.25">
      <c r="A144" s="39"/>
      <c r="B144" s="23" t="s">
        <v>23</v>
      </c>
      <c r="C144" s="43" t="s">
        <v>68</v>
      </c>
      <c r="D144" s="89"/>
      <c r="E144" s="67"/>
      <c r="F144" s="67"/>
      <c r="G144" s="114"/>
    </row>
    <row r="145" spans="1:7" s="10" customFormat="1" x14ac:dyDescent="0.25">
      <c r="A145" s="39"/>
      <c r="B145" s="41"/>
      <c r="C145" s="43" t="s">
        <v>87</v>
      </c>
      <c r="D145" s="89"/>
      <c r="E145" s="67"/>
      <c r="F145" s="67"/>
      <c r="G145" s="114"/>
    </row>
    <row r="146" spans="1:7" s="21" customFormat="1" ht="17.25" x14ac:dyDescent="0.3">
      <c r="A146" s="96"/>
      <c r="B146" s="35"/>
      <c r="C146" s="61" t="s">
        <v>30</v>
      </c>
      <c r="D146" s="95">
        <v>0</v>
      </c>
      <c r="E146" s="70">
        <v>0</v>
      </c>
      <c r="F146" s="70">
        <v>0</v>
      </c>
      <c r="G146" s="115">
        <v>0</v>
      </c>
    </row>
    <row r="147" spans="1:7" s="19" customFormat="1" x14ac:dyDescent="0.25">
      <c r="A147" s="25"/>
      <c r="B147" s="23"/>
      <c r="C147" s="43"/>
      <c r="D147" s="89"/>
      <c r="E147" s="67"/>
      <c r="F147" s="67"/>
      <c r="G147" s="114"/>
    </row>
    <row r="148" spans="1:7" s="19" customFormat="1" x14ac:dyDescent="0.25">
      <c r="A148" s="25"/>
      <c r="B148" s="23"/>
      <c r="C148" s="43" t="s">
        <v>88</v>
      </c>
      <c r="D148" s="89"/>
      <c r="E148" s="67"/>
      <c r="F148" s="67"/>
      <c r="G148" s="114"/>
    </row>
    <row r="149" spans="1:7" s="19" customFormat="1" x14ac:dyDescent="0.25">
      <c r="A149" s="22"/>
      <c r="B149" s="41"/>
      <c r="C149" s="43" t="s">
        <v>201</v>
      </c>
      <c r="D149" s="78">
        <v>2000</v>
      </c>
      <c r="E149" s="51">
        <v>2000</v>
      </c>
      <c r="F149" s="51"/>
      <c r="G149" s="105"/>
    </row>
    <row r="150" spans="1:7" s="19" customFormat="1" x14ac:dyDescent="0.25">
      <c r="A150" s="22"/>
      <c r="B150" s="26"/>
      <c r="C150" s="61" t="s">
        <v>30</v>
      </c>
      <c r="D150" s="88">
        <f t="shared" ref="D150:G150" si="13">SUM(D149:D149)</f>
        <v>2000</v>
      </c>
      <c r="E150" s="70">
        <f t="shared" si="13"/>
        <v>2000</v>
      </c>
      <c r="F150" s="70">
        <f t="shared" si="13"/>
        <v>0</v>
      </c>
      <c r="G150" s="115">
        <f t="shared" si="13"/>
        <v>0</v>
      </c>
    </row>
    <row r="151" spans="1:7" s="19" customFormat="1" x14ac:dyDescent="0.25">
      <c r="A151" s="22"/>
      <c r="B151" s="26"/>
      <c r="C151" s="61"/>
      <c r="D151" s="88"/>
      <c r="E151" s="70"/>
      <c r="F151" s="70"/>
      <c r="G151" s="115"/>
    </row>
    <row r="152" spans="1:7" s="19" customFormat="1" x14ac:dyDescent="0.25">
      <c r="A152" s="22"/>
      <c r="B152" s="26"/>
      <c r="C152" s="62" t="s">
        <v>75</v>
      </c>
      <c r="D152" s="90">
        <f t="shared" ref="D152:G152" si="14">D146+D150</f>
        <v>2000</v>
      </c>
      <c r="E152" s="71">
        <f t="shared" si="14"/>
        <v>2000</v>
      </c>
      <c r="F152" s="71">
        <f t="shared" si="14"/>
        <v>0</v>
      </c>
      <c r="G152" s="116">
        <f t="shared" si="14"/>
        <v>0</v>
      </c>
    </row>
    <row r="153" spans="1:7" s="19" customFormat="1" x14ac:dyDescent="0.25">
      <c r="A153" s="22"/>
      <c r="B153" s="26"/>
      <c r="C153" s="61"/>
      <c r="D153" s="91"/>
      <c r="E153" s="66"/>
      <c r="F153" s="66"/>
      <c r="G153" s="117"/>
    </row>
    <row r="154" spans="1:7" s="19" customFormat="1" x14ac:dyDescent="0.25">
      <c r="A154" s="22"/>
      <c r="B154" s="23" t="s">
        <v>25</v>
      </c>
      <c r="C154" s="43" t="s">
        <v>3</v>
      </c>
      <c r="D154" s="78"/>
      <c r="E154" s="51"/>
      <c r="F154" s="51"/>
      <c r="G154" s="105"/>
    </row>
    <row r="155" spans="1:7" s="19" customFormat="1" x14ac:dyDescent="0.25">
      <c r="A155" s="22"/>
      <c r="B155" s="26"/>
      <c r="C155" s="43" t="s">
        <v>71</v>
      </c>
      <c r="D155" s="78"/>
      <c r="E155" s="51"/>
      <c r="F155" s="51"/>
      <c r="G155" s="105"/>
    </row>
    <row r="156" spans="1:7" s="19" customFormat="1" x14ac:dyDescent="0.25">
      <c r="A156" s="22"/>
      <c r="B156" s="26"/>
      <c r="C156" s="43" t="s">
        <v>140</v>
      </c>
      <c r="D156" s="78">
        <v>700</v>
      </c>
      <c r="E156" s="51">
        <v>700</v>
      </c>
      <c r="F156" s="51"/>
      <c r="G156" s="105"/>
    </row>
    <row r="157" spans="1:7" s="19" customFormat="1" x14ac:dyDescent="0.25">
      <c r="A157" s="22"/>
      <c r="B157" s="26"/>
      <c r="C157" s="43" t="s">
        <v>202</v>
      </c>
      <c r="D157" s="78">
        <v>7600</v>
      </c>
      <c r="E157" s="51">
        <v>7600</v>
      </c>
      <c r="F157" s="51"/>
      <c r="G157" s="105"/>
    </row>
    <row r="158" spans="1:7" s="19" customFormat="1" x14ac:dyDescent="0.25">
      <c r="A158" s="56"/>
      <c r="B158" s="204"/>
      <c r="C158" s="43" t="s">
        <v>227</v>
      </c>
      <c r="D158" s="78">
        <v>550</v>
      </c>
      <c r="E158" s="620">
        <v>550</v>
      </c>
      <c r="F158" s="620"/>
      <c r="G158" s="105"/>
    </row>
    <row r="159" spans="1:7" s="19" customFormat="1" x14ac:dyDescent="0.25">
      <c r="A159" s="56"/>
      <c r="B159" s="204"/>
      <c r="C159" s="61" t="s">
        <v>30</v>
      </c>
      <c r="D159" s="95">
        <f>SUM(D156:D158)</f>
        <v>8850</v>
      </c>
      <c r="E159" s="70">
        <f>SUM(E156:E158)</f>
        <v>8850</v>
      </c>
      <c r="F159" s="70">
        <f>SUM(F156:F158)</f>
        <v>0</v>
      </c>
      <c r="G159" s="115">
        <f>SUM(G156:G158)</f>
        <v>0</v>
      </c>
    </row>
    <row r="160" spans="1:7" s="10" customFormat="1" x14ac:dyDescent="0.25">
      <c r="A160" s="7"/>
      <c r="B160" s="8"/>
      <c r="C160" s="30"/>
      <c r="D160" s="207"/>
      <c r="G160" s="208"/>
    </row>
    <row r="161" spans="1:7" s="19" customFormat="1" x14ac:dyDescent="0.25">
      <c r="A161" s="22"/>
      <c r="B161" s="26"/>
      <c r="C161" s="43" t="s">
        <v>91</v>
      </c>
      <c r="D161" s="78"/>
      <c r="E161" s="51"/>
      <c r="F161" s="51"/>
      <c r="G161" s="105"/>
    </row>
    <row r="162" spans="1:7" s="19" customFormat="1" x14ac:dyDescent="0.25">
      <c r="A162" s="22"/>
      <c r="B162" s="26"/>
      <c r="C162" s="43" t="s">
        <v>1</v>
      </c>
      <c r="D162" s="78">
        <v>8000</v>
      </c>
      <c r="E162" s="51">
        <v>8000</v>
      </c>
      <c r="F162" s="51"/>
      <c r="G162" s="105"/>
    </row>
    <row r="163" spans="1:7" s="19" customFormat="1" x14ac:dyDescent="0.25">
      <c r="A163" s="22"/>
      <c r="B163" s="26"/>
      <c r="C163" s="43" t="s">
        <v>179</v>
      </c>
      <c r="D163" s="78">
        <v>4200</v>
      </c>
      <c r="E163" s="51">
        <v>4200</v>
      </c>
      <c r="F163" s="51"/>
      <c r="G163" s="105"/>
    </row>
    <row r="164" spans="1:7" s="19" customFormat="1" x14ac:dyDescent="0.25">
      <c r="A164" s="22"/>
      <c r="B164" s="26"/>
      <c r="C164" s="43" t="s">
        <v>228</v>
      </c>
      <c r="D164" s="84">
        <v>5000</v>
      </c>
      <c r="E164" s="51">
        <v>5000</v>
      </c>
      <c r="F164" s="51"/>
      <c r="G164" s="105"/>
    </row>
    <row r="165" spans="1:7" s="19" customFormat="1" x14ac:dyDescent="0.25">
      <c r="A165" s="22"/>
      <c r="B165" s="26"/>
      <c r="C165" s="43" t="s">
        <v>916</v>
      </c>
      <c r="D165" s="84">
        <v>7000</v>
      </c>
      <c r="E165" s="51">
        <v>7000</v>
      </c>
      <c r="F165" s="51"/>
      <c r="G165" s="105"/>
    </row>
    <row r="166" spans="1:7" s="19" customFormat="1" x14ac:dyDescent="0.25">
      <c r="A166" s="22"/>
      <c r="B166" s="26"/>
      <c r="C166" s="61" t="s">
        <v>30</v>
      </c>
      <c r="D166" s="95">
        <f>SUM(D162:D165)</f>
        <v>24200</v>
      </c>
      <c r="E166" s="70">
        <f t="shared" ref="E166:G166" si="15">SUM(E162:E165)</f>
        <v>24200</v>
      </c>
      <c r="F166" s="70">
        <f t="shared" si="15"/>
        <v>0</v>
      </c>
      <c r="G166" s="115">
        <f t="shared" si="15"/>
        <v>0</v>
      </c>
    </row>
    <row r="167" spans="1:7" s="19" customFormat="1" x14ac:dyDescent="0.25">
      <c r="A167" s="22"/>
      <c r="B167" s="26"/>
      <c r="C167" s="61"/>
      <c r="D167" s="88"/>
      <c r="E167" s="70"/>
      <c r="F167" s="70"/>
      <c r="G167" s="115"/>
    </row>
    <row r="168" spans="1:7" s="19" customFormat="1" x14ac:dyDescent="0.25">
      <c r="A168" s="22"/>
      <c r="B168" s="26"/>
      <c r="C168" s="62" t="s">
        <v>46</v>
      </c>
      <c r="D168" s="174">
        <f>D166+D159</f>
        <v>33050</v>
      </c>
      <c r="E168" s="71">
        <f t="shared" ref="E168:G168" si="16">E166+E159</f>
        <v>33050</v>
      </c>
      <c r="F168" s="71">
        <f t="shared" si="16"/>
        <v>0</v>
      </c>
      <c r="G168" s="116">
        <f t="shared" si="16"/>
        <v>0</v>
      </c>
    </row>
    <row r="169" spans="1:7" s="19" customFormat="1" x14ac:dyDescent="0.25">
      <c r="A169" s="22"/>
      <c r="B169" s="26"/>
      <c r="C169" s="43"/>
      <c r="D169" s="78"/>
      <c r="E169" s="51"/>
      <c r="F169" s="51"/>
      <c r="G169" s="105"/>
    </row>
    <row r="170" spans="1:7" s="19" customFormat="1" x14ac:dyDescent="0.25">
      <c r="A170" s="22"/>
      <c r="B170" s="26"/>
      <c r="C170" s="60" t="s">
        <v>14</v>
      </c>
      <c r="D170" s="93">
        <f>D59+D79+D99+D110+D142+D152+D168</f>
        <v>3199206</v>
      </c>
      <c r="E170" s="72">
        <f>E59+E79+E99+E110+E142+E152+E168</f>
        <v>2999639</v>
      </c>
      <c r="F170" s="72">
        <f>F59+F79+F99+F110+F142+F152+F168</f>
        <v>199416</v>
      </c>
      <c r="G170" s="119">
        <f>G59+G79+G99+G110+G142+G152+G168</f>
        <v>151</v>
      </c>
    </row>
    <row r="171" spans="1:7" s="19" customFormat="1" x14ac:dyDescent="0.25">
      <c r="A171" s="22"/>
      <c r="B171" s="26"/>
      <c r="C171" s="27"/>
      <c r="D171" s="25"/>
      <c r="E171" s="32"/>
      <c r="F171" s="32"/>
      <c r="G171" s="101"/>
    </row>
    <row r="172" spans="1:7" s="19" customFormat="1" x14ac:dyDescent="0.25">
      <c r="A172" s="22"/>
      <c r="B172" s="26"/>
      <c r="C172" s="27"/>
      <c r="D172" s="25"/>
      <c r="E172" s="32"/>
      <c r="F172" s="32"/>
      <c r="G172" s="101"/>
    </row>
    <row r="173" spans="1:7" s="19" customFormat="1" x14ac:dyDescent="0.25">
      <c r="A173" s="636" t="s">
        <v>19</v>
      </c>
      <c r="B173" s="637"/>
      <c r="C173" s="638"/>
      <c r="D173" s="201">
        <f>D27+D38+D170</f>
        <v>3308855</v>
      </c>
      <c r="E173" s="202">
        <f>E27+E38+E170</f>
        <v>3109288</v>
      </c>
      <c r="F173" s="202">
        <f>F27+F38+F170</f>
        <v>199416</v>
      </c>
      <c r="G173" s="203">
        <f>G27+G38+G170</f>
        <v>151</v>
      </c>
    </row>
    <row r="174" spans="1:7" s="19" customFormat="1" x14ac:dyDescent="0.25">
      <c r="A174" s="22"/>
      <c r="B174" s="26"/>
      <c r="C174" s="27"/>
      <c r="D174" s="25"/>
      <c r="E174" s="32"/>
      <c r="F174" s="32"/>
      <c r="G174" s="101"/>
    </row>
    <row r="175" spans="1:7" s="19" customFormat="1" ht="30" x14ac:dyDescent="0.25">
      <c r="A175" s="22"/>
      <c r="B175" s="58" t="s">
        <v>33</v>
      </c>
      <c r="C175" s="44" t="s">
        <v>35</v>
      </c>
      <c r="D175" s="94"/>
      <c r="E175" s="73"/>
      <c r="F175" s="73"/>
      <c r="G175" s="120"/>
    </row>
    <row r="176" spans="1:7" s="10" customFormat="1" x14ac:dyDescent="0.25">
      <c r="A176" s="22"/>
      <c r="B176" s="23"/>
      <c r="C176" s="24" t="s">
        <v>233</v>
      </c>
      <c r="D176" s="33"/>
      <c r="E176" s="28"/>
      <c r="F176" s="28"/>
      <c r="G176" s="98"/>
    </row>
    <row r="177" spans="1:7" s="21" customFormat="1" ht="17.25" x14ac:dyDescent="0.3">
      <c r="A177" s="34"/>
      <c r="B177" s="35"/>
      <c r="C177" s="24" t="s">
        <v>209</v>
      </c>
      <c r="D177" s="33"/>
      <c r="E177" s="28"/>
      <c r="F177" s="28"/>
      <c r="G177" s="98"/>
    </row>
    <row r="178" spans="1:7" s="19" customFormat="1" x14ac:dyDescent="0.25">
      <c r="A178" s="22"/>
      <c r="B178" s="23"/>
      <c r="C178" s="24" t="s">
        <v>210</v>
      </c>
      <c r="D178" s="33"/>
      <c r="E178" s="28"/>
      <c r="F178" s="28"/>
      <c r="G178" s="98"/>
    </row>
    <row r="179" spans="1:7" s="20" customFormat="1" x14ac:dyDescent="0.25">
      <c r="A179" s="65"/>
      <c r="B179" s="35"/>
      <c r="C179" s="24" t="s">
        <v>234</v>
      </c>
      <c r="D179" s="33"/>
      <c r="E179" s="28"/>
      <c r="F179" s="28"/>
      <c r="G179" s="98"/>
    </row>
    <row r="180" spans="1:7" s="20" customFormat="1" x14ac:dyDescent="0.25">
      <c r="A180" s="34"/>
      <c r="B180" s="35"/>
      <c r="C180" s="24" t="s">
        <v>211</v>
      </c>
      <c r="D180" s="33"/>
      <c r="E180" s="28"/>
      <c r="F180" s="28"/>
      <c r="G180" s="98"/>
    </row>
    <row r="181" spans="1:7" s="10" customFormat="1" x14ac:dyDescent="0.25">
      <c r="A181" s="22"/>
      <c r="B181" s="23"/>
      <c r="C181" s="24" t="s">
        <v>212</v>
      </c>
      <c r="D181" s="33">
        <v>18330</v>
      </c>
      <c r="E181" s="28">
        <v>18330</v>
      </c>
      <c r="F181" s="28"/>
      <c r="G181" s="98"/>
    </row>
    <row r="182" spans="1:7" s="10" customFormat="1" x14ac:dyDescent="0.25">
      <c r="A182" s="22"/>
      <c r="B182" s="23"/>
      <c r="C182" s="24" t="s">
        <v>213</v>
      </c>
      <c r="D182" s="33">
        <v>41198</v>
      </c>
      <c r="E182" s="28">
        <v>41198</v>
      </c>
      <c r="F182" s="28"/>
      <c r="G182" s="98"/>
    </row>
    <row r="183" spans="1:7" s="10" customFormat="1" x14ac:dyDescent="0.25">
      <c r="A183" s="22"/>
      <c r="B183" s="23"/>
      <c r="C183" s="24" t="s">
        <v>214</v>
      </c>
      <c r="D183" s="33">
        <v>67281</v>
      </c>
      <c r="E183" s="28">
        <v>67281</v>
      </c>
      <c r="F183" s="28"/>
      <c r="G183" s="98"/>
    </row>
    <row r="184" spans="1:7" s="20" customFormat="1" x14ac:dyDescent="0.25">
      <c r="A184" s="34"/>
      <c r="B184" s="35"/>
      <c r="C184" s="36" t="s">
        <v>28</v>
      </c>
      <c r="D184" s="85">
        <f t="shared" ref="D184:G184" si="17">SUM(D177:D183)</f>
        <v>126809</v>
      </c>
      <c r="E184" s="38">
        <f t="shared" si="17"/>
        <v>126809</v>
      </c>
      <c r="F184" s="38">
        <f t="shared" si="17"/>
        <v>0</v>
      </c>
      <c r="G184" s="99">
        <f t="shared" si="17"/>
        <v>0</v>
      </c>
    </row>
    <row r="185" spans="1:7" s="10" customFormat="1" x14ac:dyDescent="0.25">
      <c r="A185" s="22"/>
      <c r="B185" s="23"/>
      <c r="C185" s="27"/>
      <c r="D185" s="77"/>
      <c r="E185" s="31"/>
      <c r="F185" s="31"/>
      <c r="G185" s="97"/>
    </row>
    <row r="186" spans="1:7" s="10" customFormat="1" x14ac:dyDescent="0.25">
      <c r="A186" s="22"/>
      <c r="B186" s="23"/>
      <c r="C186" s="24" t="s">
        <v>235</v>
      </c>
      <c r="D186" s="33"/>
      <c r="E186" s="28"/>
      <c r="F186" s="28"/>
      <c r="G186" s="98"/>
    </row>
    <row r="187" spans="1:7" s="10" customFormat="1" x14ac:dyDescent="0.25">
      <c r="A187" s="22"/>
      <c r="B187" s="26"/>
      <c r="C187" s="24" t="s">
        <v>215</v>
      </c>
      <c r="D187" s="33"/>
      <c r="E187" s="28"/>
      <c r="F187" s="28"/>
      <c r="G187" s="98"/>
    </row>
    <row r="188" spans="1:7" s="10" customFormat="1" x14ac:dyDescent="0.25">
      <c r="A188" s="22"/>
      <c r="B188" s="23"/>
      <c r="C188" s="24" t="s">
        <v>216</v>
      </c>
      <c r="D188" s="33"/>
      <c r="E188" s="28"/>
      <c r="F188" s="28"/>
      <c r="G188" s="98"/>
    </row>
    <row r="189" spans="1:7" s="10" customFormat="1" x14ac:dyDescent="0.25">
      <c r="A189" s="22"/>
      <c r="B189" s="23"/>
      <c r="C189" s="24" t="s">
        <v>217</v>
      </c>
      <c r="D189" s="33"/>
      <c r="E189" s="28"/>
      <c r="F189" s="28"/>
      <c r="G189" s="98"/>
    </row>
    <row r="190" spans="1:7" s="10" customFormat="1" x14ac:dyDescent="0.25">
      <c r="A190" s="22"/>
      <c r="B190" s="23"/>
      <c r="C190" s="24" t="s">
        <v>218</v>
      </c>
      <c r="D190" s="33"/>
      <c r="E190" s="28"/>
      <c r="F190" s="28"/>
      <c r="G190" s="98"/>
    </row>
    <row r="191" spans="1:7" s="10" customFormat="1" x14ac:dyDescent="0.25">
      <c r="A191" s="22"/>
      <c r="B191" s="23"/>
      <c r="C191" s="24" t="s">
        <v>219</v>
      </c>
      <c r="D191" s="33">
        <v>8234</v>
      </c>
      <c r="E191" s="28">
        <v>8234</v>
      </c>
      <c r="F191" s="28"/>
      <c r="G191" s="98"/>
    </row>
    <row r="192" spans="1:7" s="10" customFormat="1" x14ac:dyDescent="0.25">
      <c r="A192" s="22"/>
      <c r="B192" s="23"/>
      <c r="C192" s="24" t="s">
        <v>220</v>
      </c>
      <c r="D192" s="33">
        <v>112689</v>
      </c>
      <c r="E192" s="28">
        <v>112689</v>
      </c>
      <c r="F192" s="28"/>
      <c r="G192" s="98"/>
    </row>
    <row r="193" spans="1:7" s="10" customFormat="1" x14ac:dyDescent="0.25">
      <c r="A193" s="22"/>
      <c r="B193" s="23"/>
      <c r="C193" s="24" t="s">
        <v>221</v>
      </c>
      <c r="D193" s="33">
        <v>192296</v>
      </c>
      <c r="E193" s="28">
        <v>192296</v>
      </c>
      <c r="F193" s="28"/>
      <c r="G193" s="98"/>
    </row>
    <row r="194" spans="1:7" s="10" customFormat="1" x14ac:dyDescent="0.25">
      <c r="A194" s="22"/>
      <c r="B194" s="23"/>
      <c r="C194" s="24" t="s">
        <v>222</v>
      </c>
      <c r="D194" s="83">
        <v>9781</v>
      </c>
      <c r="E194" s="28">
        <v>9781</v>
      </c>
      <c r="F194" s="28"/>
      <c r="G194" s="98"/>
    </row>
    <row r="195" spans="1:7" s="20" customFormat="1" x14ac:dyDescent="0.25">
      <c r="A195" s="34"/>
      <c r="B195" s="35"/>
      <c r="C195" s="36" t="s">
        <v>28</v>
      </c>
      <c r="D195" s="85">
        <f t="shared" ref="D195:G195" si="18">SUM(D187:D194)</f>
        <v>323000</v>
      </c>
      <c r="E195" s="38">
        <f t="shared" si="18"/>
        <v>323000</v>
      </c>
      <c r="F195" s="38">
        <f t="shared" si="18"/>
        <v>0</v>
      </c>
      <c r="G195" s="99">
        <f t="shared" si="18"/>
        <v>0</v>
      </c>
    </row>
    <row r="196" spans="1:7" s="10" customFormat="1" x14ac:dyDescent="0.25">
      <c r="A196" s="22"/>
      <c r="B196" s="23"/>
      <c r="C196" s="27"/>
      <c r="D196" s="25"/>
      <c r="E196" s="32"/>
      <c r="F196" s="32"/>
      <c r="G196" s="101"/>
    </row>
    <row r="197" spans="1:7" s="10" customFormat="1" x14ac:dyDescent="0.25">
      <c r="A197" s="22"/>
      <c r="B197" s="23" t="s">
        <v>76</v>
      </c>
      <c r="C197" s="24" t="s">
        <v>20</v>
      </c>
      <c r="D197" s="22"/>
      <c r="E197" s="29"/>
      <c r="F197" s="29"/>
      <c r="G197" s="30"/>
    </row>
    <row r="198" spans="1:7" s="10" customFormat="1" x14ac:dyDescent="0.25">
      <c r="A198" s="22"/>
      <c r="B198" s="26"/>
      <c r="C198" s="24" t="s">
        <v>21</v>
      </c>
      <c r="D198" s="22"/>
      <c r="E198" s="29"/>
      <c r="F198" s="29"/>
      <c r="G198" s="30"/>
    </row>
    <row r="199" spans="1:7" s="10" customFormat="1" x14ac:dyDescent="0.25">
      <c r="A199" s="22"/>
      <c r="B199" s="23"/>
      <c r="C199" s="24" t="s">
        <v>97</v>
      </c>
      <c r="D199" s="22"/>
      <c r="E199" s="29"/>
      <c r="F199" s="29"/>
      <c r="G199" s="30"/>
    </row>
    <row r="200" spans="1:7" s="10" customFormat="1" x14ac:dyDescent="0.25">
      <c r="A200" s="22"/>
      <c r="B200" s="23"/>
      <c r="C200" s="24" t="s">
        <v>98</v>
      </c>
      <c r="D200" s="33">
        <v>237500</v>
      </c>
      <c r="E200" s="28">
        <v>237500</v>
      </c>
      <c r="F200" s="28"/>
      <c r="G200" s="98"/>
    </row>
    <row r="201" spans="1:7" s="10" customFormat="1" x14ac:dyDescent="0.25">
      <c r="A201" s="22"/>
      <c r="B201" s="23"/>
      <c r="C201" s="24" t="s">
        <v>99</v>
      </c>
      <c r="D201" s="33"/>
      <c r="E201" s="28"/>
      <c r="F201" s="28"/>
      <c r="G201" s="98"/>
    </row>
    <row r="202" spans="1:7" s="20" customFormat="1" x14ac:dyDescent="0.25">
      <c r="A202" s="34"/>
      <c r="B202" s="35"/>
      <c r="C202" s="36" t="s">
        <v>28</v>
      </c>
      <c r="D202" s="85">
        <f t="shared" ref="D202:G202" si="19">SUM(D199:D201)</f>
        <v>237500</v>
      </c>
      <c r="E202" s="38">
        <f t="shared" si="19"/>
        <v>237500</v>
      </c>
      <c r="F202" s="38">
        <f t="shared" si="19"/>
        <v>0</v>
      </c>
      <c r="G202" s="99">
        <f t="shared" si="19"/>
        <v>0</v>
      </c>
    </row>
    <row r="203" spans="1:7" s="20" customFormat="1" x14ac:dyDescent="0.25">
      <c r="A203" s="34"/>
      <c r="B203" s="35"/>
      <c r="C203" s="36"/>
      <c r="D203" s="37"/>
      <c r="E203" s="38"/>
      <c r="F203" s="38"/>
      <c r="G203" s="99"/>
    </row>
    <row r="204" spans="1:7" s="10" customFormat="1" x14ac:dyDescent="0.25">
      <c r="A204" s="22"/>
      <c r="B204" s="41"/>
      <c r="C204" s="24" t="s">
        <v>100</v>
      </c>
      <c r="D204" s="83"/>
      <c r="E204" s="28"/>
      <c r="F204" s="29"/>
      <c r="G204" s="30"/>
    </row>
    <row r="205" spans="1:7" s="10" customFormat="1" x14ac:dyDescent="0.25">
      <c r="A205" s="22"/>
      <c r="B205" s="23"/>
      <c r="C205" s="24"/>
      <c r="D205" s="22"/>
      <c r="E205" s="29"/>
      <c r="F205" s="29"/>
      <c r="G205" s="30"/>
    </row>
    <row r="206" spans="1:7" s="10" customFormat="1" ht="17.25" thickBot="1" x14ac:dyDescent="0.3">
      <c r="A206" s="45"/>
      <c r="B206" s="57"/>
      <c r="C206" s="46" t="s">
        <v>19</v>
      </c>
      <c r="D206" s="109">
        <f t="shared" ref="D206:G206" si="20">D173+D195+D184+D202+D204</f>
        <v>3996164</v>
      </c>
      <c r="E206" s="121">
        <f t="shared" si="20"/>
        <v>3796597</v>
      </c>
      <c r="F206" s="121">
        <f t="shared" si="20"/>
        <v>199416</v>
      </c>
      <c r="G206" s="603">
        <f t="shared" si="20"/>
        <v>151</v>
      </c>
    </row>
    <row r="207" spans="1:7" s="10" customFormat="1" x14ac:dyDescent="0.25">
      <c r="A207" s="12"/>
      <c r="B207" s="18"/>
      <c r="C207" s="55"/>
      <c r="D207" s="11"/>
      <c r="E207" s="11"/>
      <c r="F207" s="11"/>
      <c r="G207" s="11"/>
    </row>
    <row r="208" spans="1:7" s="10" customFormat="1" x14ac:dyDescent="0.25">
      <c r="A208" s="7"/>
      <c r="B208" s="8"/>
      <c r="C208" s="29"/>
      <c r="D208" s="79"/>
    </row>
    <row r="209" spans="1:4" s="10" customFormat="1" x14ac:dyDescent="0.25">
      <c r="A209" s="7"/>
      <c r="B209" s="8"/>
      <c r="C209" s="29"/>
      <c r="D209" s="79"/>
    </row>
    <row r="210" spans="1:4" s="10" customFormat="1" x14ac:dyDescent="0.25">
      <c r="A210" s="7"/>
      <c r="B210" s="8"/>
      <c r="C210" s="29"/>
    </row>
    <row r="211" spans="1:4" s="10" customFormat="1" x14ac:dyDescent="0.25">
      <c r="A211" s="7"/>
      <c r="B211" s="8"/>
      <c r="C211" s="29"/>
    </row>
    <row r="212" spans="1:4" s="10" customFormat="1" x14ac:dyDescent="0.25">
      <c r="A212" s="7"/>
      <c r="B212" s="8"/>
      <c r="C212" s="29"/>
    </row>
    <row r="213" spans="1:4" s="10" customFormat="1" x14ac:dyDescent="0.25">
      <c r="A213" s="7"/>
      <c r="B213" s="8"/>
      <c r="C213" s="29"/>
    </row>
    <row r="214" spans="1:4" s="10" customFormat="1" x14ac:dyDescent="0.25">
      <c r="A214" s="7"/>
      <c r="B214" s="8"/>
      <c r="C214" s="29"/>
    </row>
    <row r="215" spans="1:4" s="10" customFormat="1" x14ac:dyDescent="0.25">
      <c r="A215" s="7"/>
      <c r="B215" s="8"/>
      <c r="C215" s="29"/>
    </row>
    <row r="216" spans="1:4" s="10" customFormat="1" x14ac:dyDescent="0.25">
      <c r="A216" s="7"/>
      <c r="B216" s="8"/>
      <c r="C216" s="29"/>
    </row>
    <row r="217" spans="1:4" s="10" customFormat="1" x14ac:dyDescent="0.25">
      <c r="A217" s="7"/>
      <c r="B217" s="8"/>
      <c r="C217" s="29"/>
    </row>
    <row r="218" spans="1:4" s="10" customFormat="1" x14ac:dyDescent="0.25">
      <c r="A218" s="7"/>
      <c r="B218" s="8"/>
      <c r="C218" s="29"/>
    </row>
    <row r="219" spans="1:4" s="10" customFormat="1" x14ac:dyDescent="0.25"/>
    <row r="220" spans="1:4" s="10" customFormat="1" x14ac:dyDescent="0.25"/>
    <row r="221" spans="1:4" s="10" customFormat="1" x14ac:dyDescent="0.25"/>
    <row r="222" spans="1:4" s="10" customFormat="1" x14ac:dyDescent="0.25"/>
    <row r="223" spans="1:4" s="10" customFormat="1" x14ac:dyDescent="0.25"/>
    <row r="224" spans="1: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pans="1:3" s="10" customFormat="1" x14ac:dyDescent="0.25"/>
    <row r="258" spans="1:3" s="10" customFormat="1" x14ac:dyDescent="0.25"/>
    <row r="259" spans="1:3" s="10" customFormat="1" x14ac:dyDescent="0.25"/>
    <row r="260" spans="1:3" s="10" customFormat="1" x14ac:dyDescent="0.25"/>
    <row r="261" spans="1:3" s="10" customFormat="1" x14ac:dyDescent="0.25">
      <c r="A261" s="7"/>
      <c r="B261" s="8"/>
      <c r="C261" s="29"/>
    </row>
    <row r="262" spans="1:3" s="10" customFormat="1" x14ac:dyDescent="0.25">
      <c r="A262" s="7"/>
      <c r="B262" s="8"/>
      <c r="C262" s="29"/>
    </row>
    <row r="263" spans="1:3" s="10" customFormat="1" x14ac:dyDescent="0.25">
      <c r="A263" s="7"/>
      <c r="B263" s="8"/>
      <c r="C263" s="29"/>
    </row>
    <row r="264" spans="1:3" s="10" customFormat="1" x14ac:dyDescent="0.25">
      <c r="A264" s="7"/>
      <c r="B264" s="8"/>
      <c r="C264" s="29"/>
    </row>
    <row r="265" spans="1:3" s="10" customFormat="1" x14ac:dyDescent="0.25">
      <c r="A265" s="7"/>
      <c r="B265" s="8"/>
      <c r="C265" s="29"/>
    </row>
    <row r="266" spans="1:3" s="10" customFormat="1" x14ac:dyDescent="0.25">
      <c r="A266" s="7"/>
      <c r="B266" s="8"/>
      <c r="C266" s="29"/>
    </row>
    <row r="267" spans="1:3" s="10" customFormat="1" x14ac:dyDescent="0.25">
      <c r="A267" s="7"/>
      <c r="B267" s="8"/>
      <c r="C267" s="29"/>
    </row>
    <row r="268" spans="1:3" s="10" customFormat="1" x14ac:dyDescent="0.25">
      <c r="A268" s="7"/>
      <c r="B268" s="8"/>
      <c r="C268" s="29"/>
    </row>
    <row r="269" spans="1:3" s="10" customFormat="1" x14ac:dyDescent="0.25">
      <c r="A269" s="7"/>
      <c r="B269" s="8"/>
      <c r="C269" s="29"/>
    </row>
    <row r="270" spans="1:3" s="10" customFormat="1" x14ac:dyDescent="0.25">
      <c r="A270" s="7"/>
      <c r="B270" s="8"/>
      <c r="C270" s="29"/>
    </row>
    <row r="271" spans="1:3" s="10" customFormat="1" x14ac:dyDescent="0.25">
      <c r="A271" s="7"/>
      <c r="B271" s="8"/>
      <c r="C271" s="29"/>
    </row>
    <row r="272" spans="1:3" s="10" customFormat="1" x14ac:dyDescent="0.25">
      <c r="A272" s="7"/>
      <c r="B272" s="8"/>
      <c r="C272" s="29"/>
    </row>
    <row r="273" spans="1:3" s="10" customFormat="1" x14ac:dyDescent="0.25">
      <c r="A273" s="7"/>
      <c r="B273" s="8"/>
      <c r="C273" s="29"/>
    </row>
  </sheetData>
  <mergeCells count="2">
    <mergeCell ref="A173:C173"/>
    <mergeCell ref="D5:G5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90" fitToHeight="0" orientation="portrait" r:id="rId1"/>
  <headerFooter alignWithMargins="0">
    <oddHeader>&amp;P. oldal</oddHeader>
  </headerFooter>
  <rowBreaks count="1" manualBreakCount="1">
    <brk id="12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352" customWidth="1"/>
    <col min="2" max="3" width="10.7109375" style="608" bestFit="1" customWidth="1"/>
    <col min="4" max="4" width="10.7109375" style="607" bestFit="1" customWidth="1"/>
    <col min="5" max="256" width="9.140625" style="349"/>
    <col min="257" max="257" width="43" style="349" customWidth="1"/>
    <col min="258" max="260" width="10.7109375" style="349" bestFit="1" customWidth="1"/>
    <col min="261" max="512" width="9.140625" style="349"/>
    <col min="513" max="513" width="43" style="349" customWidth="1"/>
    <col min="514" max="516" width="10.7109375" style="349" bestFit="1" customWidth="1"/>
    <col min="517" max="768" width="9.140625" style="349"/>
    <col min="769" max="769" width="43" style="349" customWidth="1"/>
    <col min="770" max="772" width="10.7109375" style="349" bestFit="1" customWidth="1"/>
    <col min="773" max="1024" width="9.140625" style="349"/>
    <col min="1025" max="1025" width="43" style="349" customWidth="1"/>
    <col min="1026" max="1028" width="10.7109375" style="349" bestFit="1" customWidth="1"/>
    <col min="1029" max="1280" width="9.140625" style="349"/>
    <col min="1281" max="1281" width="43" style="349" customWidth="1"/>
    <col min="1282" max="1284" width="10.7109375" style="349" bestFit="1" customWidth="1"/>
    <col min="1285" max="1536" width="9.140625" style="349"/>
    <col min="1537" max="1537" width="43" style="349" customWidth="1"/>
    <col min="1538" max="1540" width="10.7109375" style="349" bestFit="1" customWidth="1"/>
    <col min="1541" max="1792" width="9.140625" style="349"/>
    <col min="1793" max="1793" width="43" style="349" customWidth="1"/>
    <col min="1794" max="1796" width="10.7109375" style="349" bestFit="1" customWidth="1"/>
    <col min="1797" max="2048" width="9.140625" style="349"/>
    <col min="2049" max="2049" width="43" style="349" customWidth="1"/>
    <col min="2050" max="2052" width="10.7109375" style="349" bestFit="1" customWidth="1"/>
    <col min="2053" max="2304" width="9.140625" style="349"/>
    <col min="2305" max="2305" width="43" style="349" customWidth="1"/>
    <col min="2306" max="2308" width="10.7109375" style="349" bestFit="1" customWidth="1"/>
    <col min="2309" max="2560" width="9.140625" style="349"/>
    <col min="2561" max="2561" width="43" style="349" customWidth="1"/>
    <col min="2562" max="2564" width="10.7109375" style="349" bestFit="1" customWidth="1"/>
    <col min="2565" max="2816" width="9.140625" style="349"/>
    <col min="2817" max="2817" width="43" style="349" customWidth="1"/>
    <col min="2818" max="2820" width="10.7109375" style="349" bestFit="1" customWidth="1"/>
    <col min="2821" max="3072" width="9.140625" style="349"/>
    <col min="3073" max="3073" width="43" style="349" customWidth="1"/>
    <col min="3074" max="3076" width="10.7109375" style="349" bestFit="1" customWidth="1"/>
    <col min="3077" max="3328" width="9.140625" style="349"/>
    <col min="3329" max="3329" width="43" style="349" customWidth="1"/>
    <col min="3330" max="3332" width="10.7109375" style="349" bestFit="1" customWidth="1"/>
    <col min="3333" max="3584" width="9.140625" style="349"/>
    <col min="3585" max="3585" width="43" style="349" customWidth="1"/>
    <col min="3586" max="3588" width="10.7109375" style="349" bestFit="1" customWidth="1"/>
    <col min="3589" max="3840" width="9.140625" style="349"/>
    <col min="3841" max="3841" width="43" style="349" customWidth="1"/>
    <col min="3842" max="3844" width="10.7109375" style="349" bestFit="1" customWidth="1"/>
    <col min="3845" max="4096" width="9.140625" style="349"/>
    <col min="4097" max="4097" width="43" style="349" customWidth="1"/>
    <col min="4098" max="4100" width="10.7109375" style="349" bestFit="1" customWidth="1"/>
    <col min="4101" max="4352" width="9.140625" style="349"/>
    <col min="4353" max="4353" width="43" style="349" customWidth="1"/>
    <col min="4354" max="4356" width="10.7109375" style="349" bestFit="1" customWidth="1"/>
    <col min="4357" max="4608" width="9.140625" style="349"/>
    <col min="4609" max="4609" width="43" style="349" customWidth="1"/>
    <col min="4610" max="4612" width="10.7109375" style="349" bestFit="1" customWidth="1"/>
    <col min="4613" max="4864" width="9.140625" style="349"/>
    <col min="4865" max="4865" width="43" style="349" customWidth="1"/>
    <col min="4866" max="4868" width="10.7109375" style="349" bestFit="1" customWidth="1"/>
    <col min="4869" max="5120" width="9.140625" style="349"/>
    <col min="5121" max="5121" width="43" style="349" customWidth="1"/>
    <col min="5122" max="5124" width="10.7109375" style="349" bestFit="1" customWidth="1"/>
    <col min="5125" max="5376" width="9.140625" style="349"/>
    <col min="5377" max="5377" width="43" style="349" customWidth="1"/>
    <col min="5378" max="5380" width="10.7109375" style="349" bestFit="1" customWidth="1"/>
    <col min="5381" max="5632" width="9.140625" style="349"/>
    <col min="5633" max="5633" width="43" style="349" customWidth="1"/>
    <col min="5634" max="5636" width="10.7109375" style="349" bestFit="1" customWidth="1"/>
    <col min="5637" max="5888" width="9.140625" style="349"/>
    <col min="5889" max="5889" width="43" style="349" customWidth="1"/>
    <col min="5890" max="5892" width="10.7109375" style="349" bestFit="1" customWidth="1"/>
    <col min="5893" max="6144" width="9.140625" style="349"/>
    <col min="6145" max="6145" width="43" style="349" customWidth="1"/>
    <col min="6146" max="6148" width="10.7109375" style="349" bestFit="1" customWidth="1"/>
    <col min="6149" max="6400" width="9.140625" style="349"/>
    <col min="6401" max="6401" width="43" style="349" customWidth="1"/>
    <col min="6402" max="6404" width="10.7109375" style="349" bestFit="1" customWidth="1"/>
    <col min="6405" max="6656" width="9.140625" style="349"/>
    <col min="6657" max="6657" width="43" style="349" customWidth="1"/>
    <col min="6658" max="6660" width="10.7109375" style="349" bestFit="1" customWidth="1"/>
    <col min="6661" max="6912" width="9.140625" style="349"/>
    <col min="6913" max="6913" width="43" style="349" customWidth="1"/>
    <col min="6914" max="6916" width="10.7109375" style="349" bestFit="1" customWidth="1"/>
    <col min="6917" max="7168" width="9.140625" style="349"/>
    <col min="7169" max="7169" width="43" style="349" customWidth="1"/>
    <col min="7170" max="7172" width="10.7109375" style="349" bestFit="1" customWidth="1"/>
    <col min="7173" max="7424" width="9.140625" style="349"/>
    <col min="7425" max="7425" width="43" style="349" customWidth="1"/>
    <col min="7426" max="7428" width="10.7109375" style="349" bestFit="1" customWidth="1"/>
    <col min="7429" max="7680" width="9.140625" style="349"/>
    <col min="7681" max="7681" width="43" style="349" customWidth="1"/>
    <col min="7682" max="7684" width="10.7109375" style="349" bestFit="1" customWidth="1"/>
    <col min="7685" max="7936" width="9.140625" style="349"/>
    <col min="7937" max="7937" width="43" style="349" customWidth="1"/>
    <col min="7938" max="7940" width="10.7109375" style="349" bestFit="1" customWidth="1"/>
    <col min="7941" max="8192" width="9.140625" style="349"/>
    <col min="8193" max="8193" width="43" style="349" customWidth="1"/>
    <col min="8194" max="8196" width="10.7109375" style="349" bestFit="1" customWidth="1"/>
    <col min="8197" max="8448" width="9.140625" style="349"/>
    <col min="8449" max="8449" width="43" style="349" customWidth="1"/>
    <col min="8450" max="8452" width="10.7109375" style="349" bestFit="1" customWidth="1"/>
    <col min="8453" max="8704" width="9.140625" style="349"/>
    <col min="8705" max="8705" width="43" style="349" customWidth="1"/>
    <col min="8706" max="8708" width="10.7109375" style="349" bestFit="1" customWidth="1"/>
    <col min="8709" max="8960" width="9.140625" style="349"/>
    <col min="8961" max="8961" width="43" style="349" customWidth="1"/>
    <col min="8962" max="8964" width="10.7109375" style="349" bestFit="1" customWidth="1"/>
    <col min="8965" max="9216" width="9.140625" style="349"/>
    <col min="9217" max="9217" width="43" style="349" customWidth="1"/>
    <col min="9218" max="9220" width="10.7109375" style="349" bestFit="1" customWidth="1"/>
    <col min="9221" max="9472" width="9.140625" style="349"/>
    <col min="9473" max="9473" width="43" style="349" customWidth="1"/>
    <col min="9474" max="9476" width="10.7109375" style="349" bestFit="1" customWidth="1"/>
    <col min="9477" max="9728" width="9.140625" style="349"/>
    <col min="9729" max="9729" width="43" style="349" customWidth="1"/>
    <col min="9730" max="9732" width="10.7109375" style="349" bestFit="1" customWidth="1"/>
    <col min="9733" max="9984" width="9.140625" style="349"/>
    <col min="9985" max="9985" width="43" style="349" customWidth="1"/>
    <col min="9986" max="9988" width="10.7109375" style="349" bestFit="1" customWidth="1"/>
    <col min="9989" max="10240" width="9.140625" style="349"/>
    <col min="10241" max="10241" width="43" style="349" customWidth="1"/>
    <col min="10242" max="10244" width="10.7109375" style="349" bestFit="1" customWidth="1"/>
    <col min="10245" max="10496" width="9.140625" style="349"/>
    <col min="10497" max="10497" width="43" style="349" customWidth="1"/>
    <col min="10498" max="10500" width="10.7109375" style="349" bestFit="1" customWidth="1"/>
    <col min="10501" max="10752" width="9.140625" style="349"/>
    <col min="10753" max="10753" width="43" style="349" customWidth="1"/>
    <col min="10754" max="10756" width="10.7109375" style="349" bestFit="1" customWidth="1"/>
    <col min="10757" max="11008" width="9.140625" style="349"/>
    <col min="11009" max="11009" width="43" style="349" customWidth="1"/>
    <col min="11010" max="11012" width="10.7109375" style="349" bestFit="1" customWidth="1"/>
    <col min="11013" max="11264" width="9.140625" style="349"/>
    <col min="11265" max="11265" width="43" style="349" customWidth="1"/>
    <col min="11266" max="11268" width="10.7109375" style="349" bestFit="1" customWidth="1"/>
    <col min="11269" max="11520" width="9.140625" style="349"/>
    <col min="11521" max="11521" width="43" style="349" customWidth="1"/>
    <col min="11522" max="11524" width="10.7109375" style="349" bestFit="1" customWidth="1"/>
    <col min="11525" max="11776" width="9.140625" style="349"/>
    <col min="11777" max="11777" width="43" style="349" customWidth="1"/>
    <col min="11778" max="11780" width="10.7109375" style="349" bestFit="1" customWidth="1"/>
    <col min="11781" max="12032" width="9.140625" style="349"/>
    <col min="12033" max="12033" width="43" style="349" customWidth="1"/>
    <col min="12034" max="12036" width="10.7109375" style="349" bestFit="1" customWidth="1"/>
    <col min="12037" max="12288" width="9.140625" style="349"/>
    <col min="12289" max="12289" width="43" style="349" customWidth="1"/>
    <col min="12290" max="12292" width="10.7109375" style="349" bestFit="1" customWidth="1"/>
    <col min="12293" max="12544" width="9.140625" style="349"/>
    <col min="12545" max="12545" width="43" style="349" customWidth="1"/>
    <col min="12546" max="12548" width="10.7109375" style="349" bestFit="1" customWidth="1"/>
    <col min="12549" max="12800" width="9.140625" style="349"/>
    <col min="12801" max="12801" width="43" style="349" customWidth="1"/>
    <col min="12802" max="12804" width="10.7109375" style="349" bestFit="1" customWidth="1"/>
    <col min="12805" max="13056" width="9.140625" style="349"/>
    <col min="13057" max="13057" width="43" style="349" customWidth="1"/>
    <col min="13058" max="13060" width="10.7109375" style="349" bestFit="1" customWidth="1"/>
    <col min="13061" max="13312" width="9.140625" style="349"/>
    <col min="13313" max="13313" width="43" style="349" customWidth="1"/>
    <col min="13314" max="13316" width="10.7109375" style="349" bestFit="1" customWidth="1"/>
    <col min="13317" max="13568" width="9.140625" style="349"/>
    <col min="13569" max="13569" width="43" style="349" customWidth="1"/>
    <col min="13570" max="13572" width="10.7109375" style="349" bestFit="1" customWidth="1"/>
    <col min="13573" max="13824" width="9.140625" style="349"/>
    <col min="13825" max="13825" width="43" style="349" customWidth="1"/>
    <col min="13826" max="13828" width="10.7109375" style="349" bestFit="1" customWidth="1"/>
    <col min="13829" max="14080" width="9.140625" style="349"/>
    <col min="14081" max="14081" width="43" style="349" customWidth="1"/>
    <col min="14082" max="14084" width="10.7109375" style="349" bestFit="1" customWidth="1"/>
    <col min="14085" max="14336" width="9.140625" style="349"/>
    <col min="14337" max="14337" width="43" style="349" customWidth="1"/>
    <col min="14338" max="14340" width="10.7109375" style="349" bestFit="1" customWidth="1"/>
    <col min="14341" max="14592" width="9.140625" style="349"/>
    <col min="14593" max="14593" width="43" style="349" customWidth="1"/>
    <col min="14594" max="14596" width="10.7109375" style="349" bestFit="1" customWidth="1"/>
    <col min="14597" max="14848" width="9.140625" style="349"/>
    <col min="14849" max="14849" width="43" style="349" customWidth="1"/>
    <col min="14850" max="14852" width="10.7109375" style="349" bestFit="1" customWidth="1"/>
    <col min="14853" max="15104" width="9.140625" style="349"/>
    <col min="15105" max="15105" width="43" style="349" customWidth="1"/>
    <col min="15106" max="15108" width="10.7109375" style="349" bestFit="1" customWidth="1"/>
    <col min="15109" max="15360" width="9.140625" style="349"/>
    <col min="15361" max="15361" width="43" style="349" customWidth="1"/>
    <col min="15362" max="15364" width="10.7109375" style="349" bestFit="1" customWidth="1"/>
    <col min="15365" max="15616" width="9.140625" style="349"/>
    <col min="15617" max="15617" width="43" style="349" customWidth="1"/>
    <col min="15618" max="15620" width="10.7109375" style="349" bestFit="1" customWidth="1"/>
    <col min="15621" max="15872" width="9.140625" style="349"/>
    <col min="15873" max="15873" width="43" style="349" customWidth="1"/>
    <col min="15874" max="15876" width="10.7109375" style="349" bestFit="1" customWidth="1"/>
    <col min="15877" max="16128" width="9.140625" style="349"/>
    <col min="16129" max="16129" width="43" style="349" customWidth="1"/>
    <col min="16130" max="16132" width="10.7109375" style="349" bestFit="1" customWidth="1"/>
    <col min="16133" max="16384" width="9.140625" style="349"/>
  </cols>
  <sheetData>
    <row r="1" spans="1:4" x14ac:dyDescent="0.25">
      <c r="A1" s="691" t="s">
        <v>1118</v>
      </c>
      <c r="B1" s="691"/>
      <c r="C1" s="691"/>
      <c r="D1" s="691"/>
    </row>
    <row r="2" spans="1:4" ht="14.25" x14ac:dyDescent="0.2">
      <c r="A2" s="350"/>
      <c r="B2" s="606"/>
      <c r="C2" s="606"/>
      <c r="D2" s="606"/>
    </row>
    <row r="3" spans="1:4" ht="15" customHeight="1" x14ac:dyDescent="0.25">
      <c r="A3" s="692" t="s">
        <v>350</v>
      </c>
      <c r="B3" s="692"/>
      <c r="C3" s="692"/>
    </row>
    <row r="4" spans="1:4" x14ac:dyDescent="0.25">
      <c r="C4" s="609"/>
      <c r="D4" s="609" t="s">
        <v>29</v>
      </c>
    </row>
    <row r="5" spans="1:4" ht="14.25" x14ac:dyDescent="0.2">
      <c r="A5" s="353" t="s">
        <v>248</v>
      </c>
      <c r="B5" s="610" t="s">
        <v>351</v>
      </c>
      <c r="C5" s="611" t="s">
        <v>352</v>
      </c>
      <c r="D5" s="611" t="s">
        <v>381</v>
      </c>
    </row>
    <row r="6" spans="1:4" x14ac:dyDescent="0.25">
      <c r="A6" s="354" t="s">
        <v>146</v>
      </c>
      <c r="B6" s="355">
        <v>243170</v>
      </c>
      <c r="C6" s="355">
        <v>245000</v>
      </c>
      <c r="D6" s="355">
        <v>250000</v>
      </c>
    </row>
    <row r="7" spans="1:4" x14ac:dyDescent="0.25">
      <c r="A7" s="356" t="s">
        <v>353</v>
      </c>
      <c r="B7" s="355">
        <v>776000</v>
      </c>
      <c r="C7" s="355">
        <v>776000</v>
      </c>
      <c r="D7" s="355">
        <v>776000</v>
      </c>
    </row>
    <row r="8" spans="1:4" x14ac:dyDescent="0.25">
      <c r="A8" s="354" t="s">
        <v>354</v>
      </c>
      <c r="B8" s="355">
        <v>50000</v>
      </c>
      <c r="C8" s="355">
        <v>50000</v>
      </c>
      <c r="D8" s="355">
        <v>50000</v>
      </c>
    </row>
    <row r="9" spans="1:4" x14ac:dyDescent="0.25">
      <c r="A9" s="354" t="s">
        <v>355</v>
      </c>
      <c r="B9" s="355">
        <v>0</v>
      </c>
      <c r="C9" s="355">
        <v>0</v>
      </c>
      <c r="D9" s="355">
        <v>0</v>
      </c>
    </row>
    <row r="10" spans="1:4" x14ac:dyDescent="0.25">
      <c r="A10" s="354" t="s">
        <v>356</v>
      </c>
      <c r="B10" s="355">
        <v>14300</v>
      </c>
      <c r="C10" s="355">
        <v>15000</v>
      </c>
      <c r="D10" s="355">
        <v>16000</v>
      </c>
    </row>
    <row r="11" spans="1:4" x14ac:dyDescent="0.25">
      <c r="A11" s="354" t="s">
        <v>148</v>
      </c>
      <c r="B11" s="357">
        <v>1120000</v>
      </c>
      <c r="C11" s="355">
        <v>1140000</v>
      </c>
      <c r="D11" s="355">
        <v>1160000</v>
      </c>
    </row>
    <row r="12" spans="1:4" x14ac:dyDescent="0.25">
      <c r="A12" s="354" t="s">
        <v>357</v>
      </c>
      <c r="B12" s="357">
        <v>93000</v>
      </c>
      <c r="C12" s="355">
        <v>94000</v>
      </c>
      <c r="D12" s="355">
        <v>96000</v>
      </c>
    </row>
    <row r="13" spans="1:4" x14ac:dyDescent="0.25">
      <c r="A13" s="354" t="s">
        <v>358</v>
      </c>
      <c r="B13" s="355">
        <v>6000</v>
      </c>
      <c r="C13" s="355">
        <v>6500</v>
      </c>
      <c r="D13" s="355">
        <v>8000</v>
      </c>
    </row>
    <row r="14" spans="1:4" x14ac:dyDescent="0.25">
      <c r="A14" s="358" t="s">
        <v>154</v>
      </c>
      <c r="B14" s="355">
        <v>0</v>
      </c>
      <c r="C14" s="355">
        <v>0</v>
      </c>
      <c r="D14" s="355">
        <v>0</v>
      </c>
    </row>
    <row r="15" spans="1:4" x14ac:dyDescent="0.25">
      <c r="A15" s="354" t="s">
        <v>153</v>
      </c>
      <c r="B15" s="355">
        <v>6000</v>
      </c>
      <c r="C15" s="355">
        <v>6000</v>
      </c>
      <c r="D15" s="355">
        <v>6000</v>
      </c>
    </row>
    <row r="16" spans="1:4" x14ac:dyDescent="0.25">
      <c r="A16" s="354" t="s">
        <v>359</v>
      </c>
      <c r="B16" s="355">
        <v>2000</v>
      </c>
      <c r="C16" s="355">
        <v>2000</v>
      </c>
      <c r="D16" s="355">
        <v>2000</v>
      </c>
    </row>
    <row r="17" spans="1:4" x14ac:dyDescent="0.25">
      <c r="A17" s="359" t="s">
        <v>360</v>
      </c>
      <c r="B17" s="360">
        <f>SUM(B6:B16)</f>
        <v>2310470</v>
      </c>
      <c r="C17" s="360">
        <f>SUM(C6:C16)</f>
        <v>2334500</v>
      </c>
      <c r="D17" s="360">
        <f>SUM(D6:D16)</f>
        <v>2364000</v>
      </c>
    </row>
    <row r="18" spans="1:4" x14ac:dyDescent="0.25">
      <c r="A18" s="354" t="s">
        <v>361</v>
      </c>
      <c r="B18" s="355">
        <v>0</v>
      </c>
      <c r="C18" s="355">
        <v>0</v>
      </c>
      <c r="D18" s="355">
        <v>0</v>
      </c>
    </row>
    <row r="19" spans="1:4" x14ac:dyDescent="0.25">
      <c r="A19" s="354" t="s">
        <v>80</v>
      </c>
      <c r="B19" s="355">
        <v>235000</v>
      </c>
      <c r="C19" s="355">
        <v>240000</v>
      </c>
      <c r="D19" s="355">
        <v>245000</v>
      </c>
    </row>
    <row r="20" spans="1:4" ht="30" x14ac:dyDescent="0.25">
      <c r="A20" s="356" t="s">
        <v>161</v>
      </c>
      <c r="B20" s="355">
        <v>48000</v>
      </c>
      <c r="C20" s="355">
        <v>50000</v>
      </c>
      <c r="D20" s="355">
        <v>51000</v>
      </c>
    </row>
    <row r="21" spans="1:4" x14ac:dyDescent="0.25">
      <c r="A21" s="354" t="s">
        <v>362</v>
      </c>
      <c r="B21" s="355">
        <v>13000</v>
      </c>
      <c r="C21" s="355">
        <v>14000</v>
      </c>
      <c r="D21" s="355">
        <v>14700</v>
      </c>
    </row>
    <row r="22" spans="1:4" x14ac:dyDescent="0.25">
      <c r="A22" s="354" t="s">
        <v>363</v>
      </c>
      <c r="B22" s="355">
        <v>3500</v>
      </c>
      <c r="C22" s="355">
        <v>4000</v>
      </c>
      <c r="D22" s="355">
        <v>4000</v>
      </c>
    </row>
    <row r="23" spans="1:4" x14ac:dyDescent="0.25">
      <c r="A23" s="361" t="s">
        <v>364</v>
      </c>
      <c r="B23" s="355">
        <v>0</v>
      </c>
      <c r="C23" s="355">
        <v>0</v>
      </c>
      <c r="D23" s="355">
        <v>0</v>
      </c>
    </row>
    <row r="24" spans="1:4" x14ac:dyDescent="0.25">
      <c r="A24" s="361" t="s">
        <v>163</v>
      </c>
      <c r="B24" s="355">
        <v>250000</v>
      </c>
      <c r="C24" s="355">
        <v>260000</v>
      </c>
      <c r="D24" s="355">
        <v>270000</v>
      </c>
    </row>
    <row r="25" spans="1:4" x14ac:dyDescent="0.25">
      <c r="A25" s="362" t="s">
        <v>365</v>
      </c>
      <c r="B25" s="360">
        <f>SUM(B18:B24)</f>
        <v>549500</v>
      </c>
      <c r="C25" s="360">
        <f>SUM(C18:C24)</f>
        <v>568000</v>
      </c>
      <c r="D25" s="360">
        <f>SUM(D18:D24)</f>
        <v>584700</v>
      </c>
    </row>
    <row r="26" spans="1:4" ht="13.5" customHeight="1" x14ac:dyDescent="0.2">
      <c r="A26" s="363" t="s">
        <v>366</v>
      </c>
      <c r="B26" s="364">
        <f>B17+B25</f>
        <v>2859970</v>
      </c>
      <c r="C26" s="364">
        <f>C17+C25</f>
        <v>2902500</v>
      </c>
      <c r="D26" s="364">
        <f>D17+D25</f>
        <v>2948700</v>
      </c>
    </row>
    <row r="27" spans="1:4" ht="13.5" customHeight="1" x14ac:dyDescent="0.2">
      <c r="A27" s="363"/>
      <c r="B27" s="364"/>
      <c r="C27" s="364"/>
      <c r="D27" s="364"/>
    </row>
    <row r="28" spans="1:4" ht="14.25" x14ac:dyDescent="0.2">
      <c r="A28" s="365" t="s">
        <v>274</v>
      </c>
      <c r="B28" s="610" t="s">
        <v>351</v>
      </c>
      <c r="C28" s="611" t="s">
        <v>352</v>
      </c>
      <c r="D28" s="611" t="s">
        <v>381</v>
      </c>
    </row>
    <row r="29" spans="1:4" x14ac:dyDescent="0.25">
      <c r="A29" s="361" t="s">
        <v>367</v>
      </c>
      <c r="B29" s="355">
        <v>830000</v>
      </c>
      <c r="C29" s="355">
        <v>900000</v>
      </c>
      <c r="D29" s="355">
        <v>970000</v>
      </c>
    </row>
    <row r="30" spans="1:4" x14ac:dyDescent="0.25">
      <c r="A30" s="361" t="s">
        <v>147</v>
      </c>
      <c r="B30" s="355">
        <v>145000</v>
      </c>
      <c r="C30" s="355">
        <v>157500</v>
      </c>
      <c r="D30" s="355">
        <v>169750</v>
      </c>
    </row>
    <row r="31" spans="1:4" x14ac:dyDescent="0.25">
      <c r="A31" s="361" t="s">
        <v>31</v>
      </c>
      <c r="B31" s="355">
        <v>860000</v>
      </c>
      <c r="C31" s="355">
        <v>880000</v>
      </c>
      <c r="D31" s="355">
        <v>890000</v>
      </c>
    </row>
    <row r="32" spans="1:4" x14ac:dyDescent="0.25">
      <c r="A32" s="361" t="s">
        <v>368</v>
      </c>
      <c r="B32" s="355">
        <v>480000</v>
      </c>
      <c r="C32" s="355">
        <v>485000</v>
      </c>
      <c r="D32" s="355">
        <v>490000</v>
      </c>
    </row>
    <row r="33" spans="1:4" x14ac:dyDescent="0.25">
      <c r="A33" s="361" t="s">
        <v>369</v>
      </c>
      <c r="B33" s="355">
        <v>38000</v>
      </c>
      <c r="C33" s="355">
        <v>39000</v>
      </c>
      <c r="D33" s="355">
        <v>40000</v>
      </c>
    </row>
    <row r="34" spans="1:4" x14ac:dyDescent="0.25">
      <c r="A34" s="361" t="s">
        <v>370</v>
      </c>
      <c r="B34" s="355">
        <v>0</v>
      </c>
      <c r="C34" s="355">
        <v>0</v>
      </c>
      <c r="D34" s="355">
        <v>0</v>
      </c>
    </row>
    <row r="35" spans="1:4" x14ac:dyDescent="0.25">
      <c r="A35" s="361" t="s">
        <v>371</v>
      </c>
      <c r="B35" s="355">
        <v>7500</v>
      </c>
      <c r="C35" s="355">
        <v>8000</v>
      </c>
      <c r="D35" s="355">
        <v>8000</v>
      </c>
    </row>
    <row r="36" spans="1:4" x14ac:dyDescent="0.25">
      <c r="A36" s="361" t="s">
        <v>155</v>
      </c>
      <c r="B36" s="355">
        <v>0</v>
      </c>
      <c r="C36" s="355">
        <v>0</v>
      </c>
      <c r="D36" s="355">
        <v>0</v>
      </c>
    </row>
    <row r="37" spans="1:4" x14ac:dyDescent="0.25">
      <c r="A37" s="361" t="s">
        <v>372</v>
      </c>
      <c r="B37" s="355">
        <v>5000</v>
      </c>
      <c r="C37" s="355">
        <v>5000</v>
      </c>
      <c r="D37" s="355">
        <v>5000</v>
      </c>
    </row>
    <row r="38" spans="1:4" x14ac:dyDescent="0.25">
      <c r="A38" s="362" t="s">
        <v>373</v>
      </c>
      <c r="B38" s="360">
        <f>SUM(B29:B37)</f>
        <v>2365500</v>
      </c>
      <c r="C38" s="360">
        <f>SUM(C29:C37)</f>
        <v>2474500</v>
      </c>
      <c r="D38" s="360">
        <f>SUM(D29:D37)</f>
        <v>2572750</v>
      </c>
    </row>
    <row r="39" spans="1:4" x14ac:dyDescent="0.25">
      <c r="A39" s="361" t="s">
        <v>374</v>
      </c>
      <c r="B39" s="355">
        <v>150000</v>
      </c>
      <c r="C39" s="355">
        <v>160000</v>
      </c>
      <c r="D39" s="355">
        <v>165000</v>
      </c>
    </row>
    <row r="40" spans="1:4" x14ac:dyDescent="0.25">
      <c r="A40" s="361" t="s">
        <v>58</v>
      </c>
      <c r="B40" s="355">
        <v>160000</v>
      </c>
      <c r="C40" s="355">
        <v>170000</v>
      </c>
      <c r="D40" s="355">
        <v>150000</v>
      </c>
    </row>
    <row r="41" spans="1:4" x14ac:dyDescent="0.25">
      <c r="A41" s="361" t="s">
        <v>375</v>
      </c>
      <c r="B41" s="355">
        <v>7000</v>
      </c>
      <c r="C41" s="355">
        <v>7000</v>
      </c>
      <c r="D41" s="355">
        <v>7350</v>
      </c>
    </row>
    <row r="42" spans="1:4" x14ac:dyDescent="0.25">
      <c r="A42" s="361" t="s">
        <v>376</v>
      </c>
      <c r="B42" s="355">
        <v>47057</v>
      </c>
      <c r="C42" s="355">
        <v>44310</v>
      </c>
      <c r="D42" s="355">
        <v>26389</v>
      </c>
    </row>
    <row r="43" spans="1:4" x14ac:dyDescent="0.25">
      <c r="A43" s="361" t="s">
        <v>377</v>
      </c>
      <c r="B43" s="355">
        <v>11044</v>
      </c>
      <c r="C43" s="355">
        <v>9161</v>
      </c>
      <c r="D43" s="355">
        <v>7389</v>
      </c>
    </row>
    <row r="44" spans="1:4" x14ac:dyDescent="0.25">
      <c r="A44" s="361" t="s">
        <v>378</v>
      </c>
      <c r="B44" s="355">
        <v>0</v>
      </c>
      <c r="C44" s="355">
        <v>0</v>
      </c>
      <c r="D44" s="355">
        <v>0</v>
      </c>
    </row>
    <row r="45" spans="1:4" x14ac:dyDescent="0.25">
      <c r="A45" s="361" t="s">
        <v>379</v>
      </c>
      <c r="B45" s="355">
        <v>119369</v>
      </c>
      <c r="C45" s="355">
        <v>37529</v>
      </c>
      <c r="D45" s="355">
        <v>19822</v>
      </c>
    </row>
    <row r="46" spans="1:4" x14ac:dyDescent="0.25">
      <c r="A46" s="359" t="s">
        <v>380</v>
      </c>
      <c r="B46" s="360">
        <f>SUM(B39:B45)</f>
        <v>494470</v>
      </c>
      <c r="C46" s="360">
        <f>SUM(C39:C45)</f>
        <v>428000</v>
      </c>
      <c r="D46" s="360">
        <f>SUM(D39:D45)</f>
        <v>375950</v>
      </c>
    </row>
    <row r="47" spans="1:4" ht="14.25" x14ac:dyDescent="0.2">
      <c r="A47" s="366" t="s">
        <v>284</v>
      </c>
      <c r="B47" s="364">
        <f>B38+B46</f>
        <v>2859970</v>
      </c>
      <c r="C47" s="364">
        <f>C38+C46</f>
        <v>2902500</v>
      </c>
      <c r="D47" s="364">
        <f>D38+D46</f>
        <v>2948700</v>
      </c>
    </row>
    <row r="48" spans="1:4" s="351" customFormat="1" x14ac:dyDescent="0.25">
      <c r="A48" s="367"/>
      <c r="B48" s="612"/>
      <c r="C48" s="612"/>
      <c r="D48" s="607"/>
    </row>
    <row r="49" spans="1:4" s="351" customFormat="1" x14ac:dyDescent="0.25">
      <c r="A49" s="367"/>
      <c r="B49" s="612"/>
      <c r="C49" s="612"/>
      <c r="D49" s="607"/>
    </row>
  </sheetData>
  <mergeCells count="2">
    <mergeCell ref="A1:D1"/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8"/>
  <sheetViews>
    <sheetView zoomScaleNormal="100" workbookViewId="0">
      <selection sqref="A1:C1"/>
    </sheetView>
  </sheetViews>
  <sheetFormatPr defaultRowHeight="12.75" x14ac:dyDescent="0.2"/>
  <cols>
    <col min="1" max="1" width="64.85546875" style="123" customWidth="1"/>
    <col min="2" max="2" width="58.28515625" style="123" customWidth="1"/>
    <col min="3" max="3" width="33.140625" style="123" customWidth="1"/>
    <col min="4" max="256" width="9.140625" style="138"/>
    <col min="257" max="257" width="64.85546875" style="138" customWidth="1"/>
    <col min="258" max="258" width="58.28515625" style="138" customWidth="1"/>
    <col min="259" max="259" width="33.140625" style="138" customWidth="1"/>
    <col min="260" max="512" width="9.140625" style="138"/>
    <col min="513" max="513" width="64.85546875" style="138" customWidth="1"/>
    <col min="514" max="514" width="58.28515625" style="138" customWidth="1"/>
    <col min="515" max="515" width="33.140625" style="138" customWidth="1"/>
    <col min="516" max="768" width="9.140625" style="138"/>
    <col min="769" max="769" width="64.85546875" style="138" customWidth="1"/>
    <col min="770" max="770" width="58.28515625" style="138" customWidth="1"/>
    <col min="771" max="771" width="33.140625" style="138" customWidth="1"/>
    <col min="772" max="1024" width="9.140625" style="138"/>
    <col min="1025" max="1025" width="64.85546875" style="138" customWidth="1"/>
    <col min="1026" max="1026" width="58.28515625" style="138" customWidth="1"/>
    <col min="1027" max="1027" width="33.140625" style="138" customWidth="1"/>
    <col min="1028" max="1280" width="9.140625" style="138"/>
    <col min="1281" max="1281" width="64.85546875" style="138" customWidth="1"/>
    <col min="1282" max="1282" width="58.28515625" style="138" customWidth="1"/>
    <col min="1283" max="1283" width="33.140625" style="138" customWidth="1"/>
    <col min="1284" max="1536" width="9.140625" style="138"/>
    <col min="1537" max="1537" width="64.85546875" style="138" customWidth="1"/>
    <col min="1538" max="1538" width="58.28515625" style="138" customWidth="1"/>
    <col min="1539" max="1539" width="33.140625" style="138" customWidth="1"/>
    <col min="1540" max="1792" width="9.140625" style="138"/>
    <col min="1793" max="1793" width="64.85546875" style="138" customWidth="1"/>
    <col min="1794" max="1794" width="58.28515625" style="138" customWidth="1"/>
    <col min="1795" max="1795" width="33.140625" style="138" customWidth="1"/>
    <col min="1796" max="2048" width="9.140625" style="138"/>
    <col min="2049" max="2049" width="64.85546875" style="138" customWidth="1"/>
    <col min="2050" max="2050" width="58.28515625" style="138" customWidth="1"/>
    <col min="2051" max="2051" width="33.140625" style="138" customWidth="1"/>
    <col min="2052" max="2304" width="9.140625" style="138"/>
    <col min="2305" max="2305" width="64.85546875" style="138" customWidth="1"/>
    <col min="2306" max="2306" width="58.28515625" style="138" customWidth="1"/>
    <col min="2307" max="2307" width="33.140625" style="138" customWidth="1"/>
    <col min="2308" max="2560" width="9.140625" style="138"/>
    <col min="2561" max="2561" width="64.85546875" style="138" customWidth="1"/>
    <col min="2562" max="2562" width="58.28515625" style="138" customWidth="1"/>
    <col min="2563" max="2563" width="33.140625" style="138" customWidth="1"/>
    <col min="2564" max="2816" width="9.140625" style="138"/>
    <col min="2817" max="2817" width="64.85546875" style="138" customWidth="1"/>
    <col min="2818" max="2818" width="58.28515625" style="138" customWidth="1"/>
    <col min="2819" max="2819" width="33.140625" style="138" customWidth="1"/>
    <col min="2820" max="3072" width="9.140625" style="138"/>
    <col min="3073" max="3073" width="64.85546875" style="138" customWidth="1"/>
    <col min="3074" max="3074" width="58.28515625" style="138" customWidth="1"/>
    <col min="3075" max="3075" width="33.140625" style="138" customWidth="1"/>
    <col min="3076" max="3328" width="9.140625" style="138"/>
    <col min="3329" max="3329" width="64.85546875" style="138" customWidth="1"/>
    <col min="3330" max="3330" width="58.28515625" style="138" customWidth="1"/>
    <col min="3331" max="3331" width="33.140625" style="138" customWidth="1"/>
    <col min="3332" max="3584" width="9.140625" style="138"/>
    <col min="3585" max="3585" width="64.85546875" style="138" customWidth="1"/>
    <col min="3586" max="3586" width="58.28515625" style="138" customWidth="1"/>
    <col min="3587" max="3587" width="33.140625" style="138" customWidth="1"/>
    <col min="3588" max="3840" width="9.140625" style="138"/>
    <col min="3841" max="3841" width="64.85546875" style="138" customWidth="1"/>
    <col min="3842" max="3842" width="58.28515625" style="138" customWidth="1"/>
    <col min="3843" max="3843" width="33.140625" style="138" customWidth="1"/>
    <col min="3844" max="4096" width="9.140625" style="138"/>
    <col min="4097" max="4097" width="64.85546875" style="138" customWidth="1"/>
    <col min="4098" max="4098" width="58.28515625" style="138" customWidth="1"/>
    <col min="4099" max="4099" width="33.140625" style="138" customWidth="1"/>
    <col min="4100" max="4352" width="9.140625" style="138"/>
    <col min="4353" max="4353" width="64.85546875" style="138" customWidth="1"/>
    <col min="4354" max="4354" width="58.28515625" style="138" customWidth="1"/>
    <col min="4355" max="4355" width="33.140625" style="138" customWidth="1"/>
    <col min="4356" max="4608" width="9.140625" style="138"/>
    <col min="4609" max="4609" width="64.85546875" style="138" customWidth="1"/>
    <col min="4610" max="4610" width="58.28515625" style="138" customWidth="1"/>
    <col min="4611" max="4611" width="33.140625" style="138" customWidth="1"/>
    <col min="4612" max="4864" width="9.140625" style="138"/>
    <col min="4865" max="4865" width="64.85546875" style="138" customWidth="1"/>
    <col min="4866" max="4866" width="58.28515625" style="138" customWidth="1"/>
    <col min="4867" max="4867" width="33.140625" style="138" customWidth="1"/>
    <col min="4868" max="5120" width="9.140625" style="138"/>
    <col min="5121" max="5121" width="64.85546875" style="138" customWidth="1"/>
    <col min="5122" max="5122" width="58.28515625" style="138" customWidth="1"/>
    <col min="5123" max="5123" width="33.140625" style="138" customWidth="1"/>
    <col min="5124" max="5376" width="9.140625" style="138"/>
    <col min="5377" max="5377" width="64.85546875" style="138" customWidth="1"/>
    <col min="5378" max="5378" width="58.28515625" style="138" customWidth="1"/>
    <col min="5379" max="5379" width="33.140625" style="138" customWidth="1"/>
    <col min="5380" max="5632" width="9.140625" style="138"/>
    <col min="5633" max="5633" width="64.85546875" style="138" customWidth="1"/>
    <col min="5634" max="5634" width="58.28515625" style="138" customWidth="1"/>
    <col min="5635" max="5635" width="33.140625" style="138" customWidth="1"/>
    <col min="5636" max="5888" width="9.140625" style="138"/>
    <col min="5889" max="5889" width="64.85546875" style="138" customWidth="1"/>
    <col min="5890" max="5890" width="58.28515625" style="138" customWidth="1"/>
    <col min="5891" max="5891" width="33.140625" style="138" customWidth="1"/>
    <col min="5892" max="6144" width="9.140625" style="138"/>
    <col min="6145" max="6145" width="64.85546875" style="138" customWidth="1"/>
    <col min="6146" max="6146" width="58.28515625" style="138" customWidth="1"/>
    <col min="6147" max="6147" width="33.140625" style="138" customWidth="1"/>
    <col min="6148" max="6400" width="9.140625" style="138"/>
    <col min="6401" max="6401" width="64.85546875" style="138" customWidth="1"/>
    <col min="6402" max="6402" width="58.28515625" style="138" customWidth="1"/>
    <col min="6403" max="6403" width="33.140625" style="138" customWidth="1"/>
    <col min="6404" max="6656" width="9.140625" style="138"/>
    <col min="6657" max="6657" width="64.85546875" style="138" customWidth="1"/>
    <col min="6658" max="6658" width="58.28515625" style="138" customWidth="1"/>
    <col min="6659" max="6659" width="33.140625" style="138" customWidth="1"/>
    <col min="6660" max="6912" width="9.140625" style="138"/>
    <col min="6913" max="6913" width="64.85546875" style="138" customWidth="1"/>
    <col min="6914" max="6914" width="58.28515625" style="138" customWidth="1"/>
    <col min="6915" max="6915" width="33.140625" style="138" customWidth="1"/>
    <col min="6916" max="7168" width="9.140625" style="138"/>
    <col min="7169" max="7169" width="64.85546875" style="138" customWidth="1"/>
    <col min="7170" max="7170" width="58.28515625" style="138" customWidth="1"/>
    <col min="7171" max="7171" width="33.140625" style="138" customWidth="1"/>
    <col min="7172" max="7424" width="9.140625" style="138"/>
    <col min="7425" max="7425" width="64.85546875" style="138" customWidth="1"/>
    <col min="7426" max="7426" width="58.28515625" style="138" customWidth="1"/>
    <col min="7427" max="7427" width="33.140625" style="138" customWidth="1"/>
    <col min="7428" max="7680" width="9.140625" style="138"/>
    <col min="7681" max="7681" width="64.85546875" style="138" customWidth="1"/>
    <col min="7682" max="7682" width="58.28515625" style="138" customWidth="1"/>
    <col min="7683" max="7683" width="33.140625" style="138" customWidth="1"/>
    <col min="7684" max="7936" width="9.140625" style="138"/>
    <col min="7937" max="7937" width="64.85546875" style="138" customWidth="1"/>
    <col min="7938" max="7938" width="58.28515625" style="138" customWidth="1"/>
    <col min="7939" max="7939" width="33.140625" style="138" customWidth="1"/>
    <col min="7940" max="8192" width="9.140625" style="138"/>
    <col min="8193" max="8193" width="64.85546875" style="138" customWidth="1"/>
    <col min="8194" max="8194" width="58.28515625" style="138" customWidth="1"/>
    <col min="8195" max="8195" width="33.140625" style="138" customWidth="1"/>
    <col min="8196" max="8448" width="9.140625" style="138"/>
    <col min="8449" max="8449" width="64.85546875" style="138" customWidth="1"/>
    <col min="8450" max="8450" width="58.28515625" style="138" customWidth="1"/>
    <col min="8451" max="8451" width="33.140625" style="138" customWidth="1"/>
    <col min="8452" max="8704" width="9.140625" style="138"/>
    <col min="8705" max="8705" width="64.85546875" style="138" customWidth="1"/>
    <col min="8706" max="8706" width="58.28515625" style="138" customWidth="1"/>
    <col min="8707" max="8707" width="33.140625" style="138" customWidth="1"/>
    <col min="8708" max="8960" width="9.140625" style="138"/>
    <col min="8961" max="8961" width="64.85546875" style="138" customWidth="1"/>
    <col min="8962" max="8962" width="58.28515625" style="138" customWidth="1"/>
    <col min="8963" max="8963" width="33.140625" style="138" customWidth="1"/>
    <col min="8964" max="9216" width="9.140625" style="138"/>
    <col min="9217" max="9217" width="64.85546875" style="138" customWidth="1"/>
    <col min="9218" max="9218" width="58.28515625" style="138" customWidth="1"/>
    <col min="9219" max="9219" width="33.140625" style="138" customWidth="1"/>
    <col min="9220" max="9472" width="9.140625" style="138"/>
    <col min="9473" max="9473" width="64.85546875" style="138" customWidth="1"/>
    <col min="9474" max="9474" width="58.28515625" style="138" customWidth="1"/>
    <col min="9475" max="9475" width="33.140625" style="138" customWidth="1"/>
    <col min="9476" max="9728" width="9.140625" style="138"/>
    <col min="9729" max="9729" width="64.85546875" style="138" customWidth="1"/>
    <col min="9730" max="9730" width="58.28515625" style="138" customWidth="1"/>
    <col min="9731" max="9731" width="33.140625" style="138" customWidth="1"/>
    <col min="9732" max="9984" width="9.140625" style="138"/>
    <col min="9985" max="9985" width="64.85546875" style="138" customWidth="1"/>
    <col min="9986" max="9986" width="58.28515625" style="138" customWidth="1"/>
    <col min="9987" max="9987" width="33.140625" style="138" customWidth="1"/>
    <col min="9988" max="10240" width="9.140625" style="138"/>
    <col min="10241" max="10241" width="64.85546875" style="138" customWidth="1"/>
    <col min="10242" max="10242" width="58.28515625" style="138" customWidth="1"/>
    <col min="10243" max="10243" width="33.140625" style="138" customWidth="1"/>
    <col min="10244" max="10496" width="9.140625" style="138"/>
    <col min="10497" max="10497" width="64.85546875" style="138" customWidth="1"/>
    <col min="10498" max="10498" width="58.28515625" style="138" customWidth="1"/>
    <col min="10499" max="10499" width="33.140625" style="138" customWidth="1"/>
    <col min="10500" max="10752" width="9.140625" style="138"/>
    <col min="10753" max="10753" width="64.85546875" style="138" customWidth="1"/>
    <col min="10754" max="10754" width="58.28515625" style="138" customWidth="1"/>
    <col min="10755" max="10755" width="33.140625" style="138" customWidth="1"/>
    <col min="10756" max="11008" width="9.140625" style="138"/>
    <col min="11009" max="11009" width="64.85546875" style="138" customWidth="1"/>
    <col min="11010" max="11010" width="58.28515625" style="138" customWidth="1"/>
    <col min="11011" max="11011" width="33.140625" style="138" customWidth="1"/>
    <col min="11012" max="11264" width="9.140625" style="138"/>
    <col min="11265" max="11265" width="64.85546875" style="138" customWidth="1"/>
    <col min="11266" max="11266" width="58.28515625" style="138" customWidth="1"/>
    <col min="11267" max="11267" width="33.140625" style="138" customWidth="1"/>
    <col min="11268" max="11520" width="9.140625" style="138"/>
    <col min="11521" max="11521" width="64.85546875" style="138" customWidth="1"/>
    <col min="11522" max="11522" width="58.28515625" style="138" customWidth="1"/>
    <col min="11523" max="11523" width="33.140625" style="138" customWidth="1"/>
    <col min="11524" max="11776" width="9.140625" style="138"/>
    <col min="11777" max="11777" width="64.85546875" style="138" customWidth="1"/>
    <col min="11778" max="11778" width="58.28515625" style="138" customWidth="1"/>
    <col min="11779" max="11779" width="33.140625" style="138" customWidth="1"/>
    <col min="11780" max="12032" width="9.140625" style="138"/>
    <col min="12033" max="12033" width="64.85546875" style="138" customWidth="1"/>
    <col min="12034" max="12034" width="58.28515625" style="138" customWidth="1"/>
    <col min="12035" max="12035" width="33.140625" style="138" customWidth="1"/>
    <col min="12036" max="12288" width="9.140625" style="138"/>
    <col min="12289" max="12289" width="64.85546875" style="138" customWidth="1"/>
    <col min="12290" max="12290" width="58.28515625" style="138" customWidth="1"/>
    <col min="12291" max="12291" width="33.140625" style="138" customWidth="1"/>
    <col min="12292" max="12544" width="9.140625" style="138"/>
    <col min="12545" max="12545" width="64.85546875" style="138" customWidth="1"/>
    <col min="12546" max="12546" width="58.28515625" style="138" customWidth="1"/>
    <col min="12547" max="12547" width="33.140625" style="138" customWidth="1"/>
    <col min="12548" max="12800" width="9.140625" style="138"/>
    <col min="12801" max="12801" width="64.85546875" style="138" customWidth="1"/>
    <col min="12802" max="12802" width="58.28515625" style="138" customWidth="1"/>
    <col min="12803" max="12803" width="33.140625" style="138" customWidth="1"/>
    <col min="12804" max="13056" width="9.140625" style="138"/>
    <col min="13057" max="13057" width="64.85546875" style="138" customWidth="1"/>
    <col min="13058" max="13058" width="58.28515625" style="138" customWidth="1"/>
    <col min="13059" max="13059" width="33.140625" style="138" customWidth="1"/>
    <col min="13060" max="13312" width="9.140625" style="138"/>
    <col min="13313" max="13313" width="64.85546875" style="138" customWidth="1"/>
    <col min="13314" max="13314" width="58.28515625" style="138" customWidth="1"/>
    <col min="13315" max="13315" width="33.140625" style="138" customWidth="1"/>
    <col min="13316" max="13568" width="9.140625" style="138"/>
    <col min="13569" max="13569" width="64.85546875" style="138" customWidth="1"/>
    <col min="13570" max="13570" width="58.28515625" style="138" customWidth="1"/>
    <col min="13571" max="13571" width="33.140625" style="138" customWidth="1"/>
    <col min="13572" max="13824" width="9.140625" style="138"/>
    <col min="13825" max="13825" width="64.85546875" style="138" customWidth="1"/>
    <col min="13826" max="13826" width="58.28515625" style="138" customWidth="1"/>
    <col min="13827" max="13827" width="33.140625" style="138" customWidth="1"/>
    <col min="13828" max="14080" width="9.140625" style="138"/>
    <col min="14081" max="14081" width="64.85546875" style="138" customWidth="1"/>
    <col min="14082" max="14082" width="58.28515625" style="138" customWidth="1"/>
    <col min="14083" max="14083" width="33.140625" style="138" customWidth="1"/>
    <col min="14084" max="14336" width="9.140625" style="138"/>
    <col min="14337" max="14337" width="64.85546875" style="138" customWidth="1"/>
    <col min="14338" max="14338" width="58.28515625" style="138" customWidth="1"/>
    <col min="14339" max="14339" width="33.140625" style="138" customWidth="1"/>
    <col min="14340" max="14592" width="9.140625" style="138"/>
    <col min="14593" max="14593" width="64.85546875" style="138" customWidth="1"/>
    <col min="14594" max="14594" width="58.28515625" style="138" customWidth="1"/>
    <col min="14595" max="14595" width="33.140625" style="138" customWidth="1"/>
    <col min="14596" max="14848" width="9.140625" style="138"/>
    <col min="14849" max="14849" width="64.85546875" style="138" customWidth="1"/>
    <col min="14850" max="14850" width="58.28515625" style="138" customWidth="1"/>
    <col min="14851" max="14851" width="33.140625" style="138" customWidth="1"/>
    <col min="14852" max="15104" width="9.140625" style="138"/>
    <col min="15105" max="15105" width="64.85546875" style="138" customWidth="1"/>
    <col min="15106" max="15106" width="58.28515625" style="138" customWidth="1"/>
    <col min="15107" max="15107" width="33.140625" style="138" customWidth="1"/>
    <col min="15108" max="15360" width="9.140625" style="138"/>
    <col min="15361" max="15361" width="64.85546875" style="138" customWidth="1"/>
    <col min="15362" max="15362" width="58.28515625" style="138" customWidth="1"/>
    <col min="15363" max="15363" width="33.140625" style="138" customWidth="1"/>
    <col min="15364" max="15616" width="9.140625" style="138"/>
    <col min="15617" max="15617" width="64.85546875" style="138" customWidth="1"/>
    <col min="15618" max="15618" width="58.28515625" style="138" customWidth="1"/>
    <col min="15619" max="15619" width="33.140625" style="138" customWidth="1"/>
    <col min="15620" max="15872" width="9.140625" style="138"/>
    <col min="15873" max="15873" width="64.85546875" style="138" customWidth="1"/>
    <col min="15874" max="15874" width="58.28515625" style="138" customWidth="1"/>
    <col min="15875" max="15875" width="33.140625" style="138" customWidth="1"/>
    <col min="15876" max="16128" width="9.140625" style="138"/>
    <col min="16129" max="16129" width="64.85546875" style="138" customWidth="1"/>
    <col min="16130" max="16130" width="58.28515625" style="138" customWidth="1"/>
    <col min="16131" max="16131" width="33.140625" style="138" customWidth="1"/>
    <col min="16132" max="16384" width="9.140625" style="138"/>
  </cols>
  <sheetData>
    <row r="1" spans="1:3" x14ac:dyDescent="0.2">
      <c r="A1" s="694" t="s">
        <v>1119</v>
      </c>
      <c r="B1" s="694"/>
      <c r="C1" s="694"/>
    </row>
    <row r="2" spans="1:3" x14ac:dyDescent="0.2">
      <c r="A2" s="368"/>
      <c r="B2" s="368"/>
      <c r="C2" s="368"/>
    </row>
    <row r="3" spans="1:3" ht="15.75" x14ac:dyDescent="0.25">
      <c r="A3" s="369" t="s">
        <v>383</v>
      </c>
      <c r="B3" s="369"/>
      <c r="C3" s="369"/>
    </row>
    <row r="4" spans="1:3" ht="15.75" x14ac:dyDescent="0.25">
      <c r="A4" s="370"/>
      <c r="B4" s="370"/>
      <c r="C4" s="370"/>
    </row>
    <row r="5" spans="1:3" ht="15.75" x14ac:dyDescent="0.25">
      <c r="A5" s="371" t="s">
        <v>384</v>
      </c>
      <c r="B5" s="372" t="s">
        <v>385</v>
      </c>
      <c r="C5" s="373" t="s">
        <v>386</v>
      </c>
    </row>
    <row r="6" spans="1:3" ht="15.75" x14ac:dyDescent="0.25">
      <c r="A6" s="374" t="s">
        <v>387</v>
      </c>
      <c r="B6" s="375" t="s">
        <v>388</v>
      </c>
      <c r="C6" s="376">
        <v>3998</v>
      </c>
    </row>
    <row r="7" spans="1:3" ht="15.75" x14ac:dyDescent="0.25">
      <c r="A7" s="374" t="s">
        <v>389</v>
      </c>
      <c r="B7" s="375" t="s">
        <v>390</v>
      </c>
      <c r="C7" s="376">
        <v>21664</v>
      </c>
    </row>
    <row r="8" spans="1:3" ht="15.75" x14ac:dyDescent="0.25">
      <c r="A8" s="377" t="s">
        <v>391</v>
      </c>
      <c r="B8" s="378" t="s">
        <v>392</v>
      </c>
      <c r="C8" s="379">
        <v>6000</v>
      </c>
    </row>
    <row r="9" spans="1:3" ht="31.5" x14ac:dyDescent="0.25">
      <c r="A9" s="377" t="s">
        <v>393</v>
      </c>
      <c r="B9" s="378" t="s">
        <v>394</v>
      </c>
      <c r="C9" s="379">
        <v>1500</v>
      </c>
    </row>
    <row r="10" spans="1:3" ht="15.75" x14ac:dyDescent="0.25">
      <c r="A10" s="377" t="s">
        <v>395</v>
      </c>
      <c r="B10" s="378" t="s">
        <v>396</v>
      </c>
      <c r="C10" s="379">
        <v>2718</v>
      </c>
    </row>
    <row r="11" spans="1:3" ht="31.5" x14ac:dyDescent="0.25">
      <c r="A11" s="377" t="s">
        <v>397</v>
      </c>
      <c r="B11" s="375" t="s">
        <v>398</v>
      </c>
      <c r="C11" s="376">
        <v>11000</v>
      </c>
    </row>
    <row r="12" spans="1:3" ht="8.25" customHeight="1" x14ac:dyDescent="0.25">
      <c r="A12" s="370"/>
      <c r="B12" s="370"/>
      <c r="C12" s="370"/>
    </row>
    <row r="13" spans="1:3" ht="15.75" x14ac:dyDescent="0.25">
      <c r="A13" s="380" t="s">
        <v>399</v>
      </c>
      <c r="B13" s="370"/>
      <c r="C13" s="370"/>
    </row>
    <row r="14" spans="1:3" ht="15.75" x14ac:dyDescent="0.25">
      <c r="A14" s="380" t="s">
        <v>400</v>
      </c>
      <c r="B14" s="370"/>
      <c r="C14" s="370"/>
    </row>
    <row r="15" spans="1:3" ht="37.5" customHeight="1" x14ac:dyDescent="0.2">
      <c r="A15" s="695" t="s">
        <v>401</v>
      </c>
      <c r="B15" s="695"/>
      <c r="C15" s="695"/>
    </row>
    <row r="16" spans="1:3" ht="9.75" customHeight="1" x14ac:dyDescent="0.25">
      <c r="A16" s="380"/>
      <c r="B16" s="370"/>
      <c r="C16" s="370"/>
    </row>
    <row r="17" spans="1:3" ht="15.75" x14ac:dyDescent="0.25">
      <c r="A17" s="380" t="s">
        <v>402</v>
      </c>
      <c r="B17" s="370"/>
      <c r="C17" s="370"/>
    </row>
    <row r="18" spans="1:3" ht="8.25" customHeight="1" x14ac:dyDescent="0.25">
      <c r="B18" s="370"/>
      <c r="C18" s="370"/>
    </row>
    <row r="19" spans="1:3" x14ac:dyDescent="0.2">
      <c r="A19" s="696" t="s">
        <v>403</v>
      </c>
      <c r="B19" s="696"/>
      <c r="C19" s="696"/>
    </row>
    <row r="20" spans="1:3" ht="25.5" customHeight="1" x14ac:dyDescent="0.2">
      <c r="A20" s="693" t="s">
        <v>404</v>
      </c>
      <c r="B20" s="693"/>
      <c r="C20" s="693"/>
    </row>
    <row r="21" spans="1:3" x14ac:dyDescent="0.2">
      <c r="A21" s="123" t="s">
        <v>487</v>
      </c>
    </row>
    <row r="22" spans="1:3" ht="25.5" customHeight="1" x14ac:dyDescent="0.2">
      <c r="A22" s="693" t="s">
        <v>405</v>
      </c>
      <c r="B22" s="693"/>
      <c r="C22" s="693"/>
    </row>
    <row r="23" spans="1:3" x14ac:dyDescent="0.2">
      <c r="A23" s="693" t="s">
        <v>406</v>
      </c>
      <c r="B23" s="693"/>
      <c r="C23" s="693"/>
    </row>
    <row r="24" spans="1:3" x14ac:dyDescent="0.2">
      <c r="A24" s="693" t="s">
        <v>491</v>
      </c>
      <c r="B24" s="697"/>
      <c r="C24" s="697"/>
    </row>
    <row r="25" spans="1:3" x14ac:dyDescent="0.2">
      <c r="A25" s="693" t="s">
        <v>492</v>
      </c>
      <c r="B25" s="697"/>
      <c r="C25" s="697"/>
    </row>
    <row r="26" spans="1:3" x14ac:dyDescent="0.2">
      <c r="A26" s="381"/>
      <c r="B26" s="381"/>
      <c r="C26" s="381"/>
    </row>
    <row r="27" spans="1:3" x14ac:dyDescent="0.2">
      <c r="A27" s="382" t="s">
        <v>407</v>
      </c>
      <c r="B27" s="381"/>
      <c r="C27" s="381"/>
    </row>
    <row r="28" spans="1:3" ht="30" customHeight="1" x14ac:dyDescent="0.2">
      <c r="A28" s="693" t="s">
        <v>408</v>
      </c>
      <c r="B28" s="693"/>
      <c r="C28" s="693"/>
    </row>
    <row r="29" spans="1:3" x14ac:dyDescent="0.2">
      <c r="A29" s="381"/>
      <c r="B29" s="381"/>
      <c r="C29" s="381"/>
    </row>
    <row r="30" spans="1:3" x14ac:dyDescent="0.2">
      <c r="A30" s="383" t="s">
        <v>409</v>
      </c>
    </row>
    <row r="31" spans="1:3" x14ac:dyDescent="0.2">
      <c r="A31" s="693" t="s">
        <v>410</v>
      </c>
      <c r="B31" s="693"/>
      <c r="C31" s="693"/>
    </row>
    <row r="32" spans="1:3" x14ac:dyDescent="0.2">
      <c r="A32" s="384" t="s">
        <v>411</v>
      </c>
    </row>
    <row r="33" spans="1:3" x14ac:dyDescent="0.2">
      <c r="A33" s="384"/>
    </row>
    <row r="34" spans="1:3" x14ac:dyDescent="0.2">
      <c r="A34" s="380" t="s">
        <v>412</v>
      </c>
      <c r="B34" s="380"/>
      <c r="C34" s="380"/>
    </row>
    <row r="35" spans="1:3" ht="26.25" customHeight="1" x14ac:dyDescent="0.2">
      <c r="A35" s="693" t="s">
        <v>413</v>
      </c>
      <c r="B35" s="693"/>
      <c r="C35" s="693"/>
    </row>
    <row r="37" spans="1:3" x14ac:dyDescent="0.2">
      <c r="A37" s="380" t="s">
        <v>414</v>
      </c>
      <c r="B37" s="380"/>
      <c r="C37" s="380"/>
    </row>
    <row r="38" spans="1:3" x14ac:dyDescent="0.2">
      <c r="A38" s="380"/>
      <c r="B38" s="380"/>
      <c r="C38" s="380"/>
    </row>
    <row r="39" spans="1:3" x14ac:dyDescent="0.2">
      <c r="A39" s="385" t="s">
        <v>415</v>
      </c>
      <c r="B39" s="385" t="s">
        <v>416</v>
      </c>
      <c r="C39" s="385" t="s">
        <v>417</v>
      </c>
    </row>
    <row r="40" spans="1:3" ht="51" x14ac:dyDescent="0.2">
      <c r="A40" s="386" t="s">
        <v>418</v>
      </c>
      <c r="B40" s="387" t="s">
        <v>419</v>
      </c>
      <c r="C40" s="387" t="s">
        <v>420</v>
      </c>
    </row>
    <row r="41" spans="1:3" ht="127.5" x14ac:dyDescent="0.2">
      <c r="A41" s="386" t="s">
        <v>421</v>
      </c>
      <c r="B41" s="387" t="s">
        <v>422</v>
      </c>
      <c r="C41" s="387" t="s">
        <v>423</v>
      </c>
    </row>
    <row r="42" spans="1:3" ht="51" x14ac:dyDescent="0.2">
      <c r="A42" s="387" t="s">
        <v>424</v>
      </c>
      <c r="B42" s="387" t="s">
        <v>425</v>
      </c>
      <c r="C42" s="386" t="s">
        <v>426</v>
      </c>
    </row>
    <row r="43" spans="1:3" ht="25.5" x14ac:dyDescent="0.2">
      <c r="A43" s="387" t="s">
        <v>427</v>
      </c>
      <c r="B43" s="387" t="s">
        <v>428</v>
      </c>
      <c r="C43" s="386" t="s">
        <v>429</v>
      </c>
    </row>
    <row r="44" spans="1:3" ht="25.5" x14ac:dyDescent="0.2">
      <c r="A44" s="387" t="s">
        <v>430</v>
      </c>
      <c r="B44" s="387" t="s">
        <v>431</v>
      </c>
      <c r="C44" s="387" t="s">
        <v>432</v>
      </c>
    </row>
    <row r="45" spans="1:3" ht="25.5" x14ac:dyDescent="0.2">
      <c r="A45" s="387" t="s">
        <v>433</v>
      </c>
      <c r="B45" s="387" t="s">
        <v>434</v>
      </c>
      <c r="C45" s="386" t="s">
        <v>435</v>
      </c>
    </row>
    <row r="46" spans="1:3" ht="38.25" x14ac:dyDescent="0.2">
      <c r="A46" s="387" t="s">
        <v>436</v>
      </c>
      <c r="B46" s="387" t="s">
        <v>437</v>
      </c>
      <c r="C46" s="387" t="s">
        <v>438</v>
      </c>
    </row>
    <row r="47" spans="1:3" ht="63.75" x14ac:dyDescent="0.2">
      <c r="A47" s="387" t="s">
        <v>439</v>
      </c>
      <c r="B47" s="387" t="s">
        <v>440</v>
      </c>
      <c r="C47" s="386" t="s">
        <v>426</v>
      </c>
    </row>
    <row r="48" spans="1:3" ht="25.5" x14ac:dyDescent="0.2">
      <c r="A48" s="387" t="s">
        <v>488</v>
      </c>
      <c r="B48" s="387" t="s">
        <v>490</v>
      </c>
      <c r="C48" s="388" t="s">
        <v>489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2.75" x14ac:dyDescent="0.2"/>
  <cols>
    <col min="1" max="1" width="2.85546875" style="412" customWidth="1"/>
    <col min="2" max="2" width="32.42578125" style="412" bestFit="1" customWidth="1"/>
    <col min="3" max="3" width="9.85546875" style="412" bestFit="1" customWidth="1"/>
    <col min="4" max="4" width="8.85546875" style="412" bestFit="1" customWidth="1"/>
    <col min="5" max="5" width="7.42578125" style="412" bestFit="1" customWidth="1"/>
    <col min="6" max="6" width="8.7109375" style="412" customWidth="1"/>
    <col min="7" max="7" width="8" style="412" bestFit="1" customWidth="1"/>
    <col min="8" max="9" width="7.42578125" style="412" bestFit="1" customWidth="1"/>
    <col min="10" max="10" width="8.85546875" style="412" bestFit="1" customWidth="1"/>
    <col min="11" max="14" width="8.42578125" style="412" bestFit="1" customWidth="1"/>
    <col min="15" max="15" width="8.85546875" style="412" customWidth="1"/>
    <col min="16" max="16" width="10.140625" style="412" bestFit="1" customWidth="1"/>
    <col min="17" max="17" width="8" style="414"/>
    <col min="18" max="256" width="8" style="412"/>
    <col min="257" max="257" width="2.85546875" style="412" customWidth="1"/>
    <col min="258" max="258" width="32.42578125" style="412" bestFit="1" customWidth="1"/>
    <col min="259" max="259" width="9.85546875" style="412" bestFit="1" customWidth="1"/>
    <col min="260" max="260" width="8.85546875" style="412" bestFit="1" customWidth="1"/>
    <col min="261" max="261" width="7.42578125" style="412" bestFit="1" customWidth="1"/>
    <col min="262" max="262" width="8.7109375" style="412" customWidth="1"/>
    <col min="263" max="263" width="8" style="412" bestFit="1" customWidth="1"/>
    <col min="264" max="265" width="7.42578125" style="412" bestFit="1" customWidth="1"/>
    <col min="266" max="266" width="8.85546875" style="412" bestFit="1" customWidth="1"/>
    <col min="267" max="270" width="8.42578125" style="412" bestFit="1" customWidth="1"/>
    <col min="271" max="271" width="8.85546875" style="412" customWidth="1"/>
    <col min="272" max="272" width="10.140625" style="412" bestFit="1" customWidth="1"/>
    <col min="273" max="512" width="8" style="412"/>
    <col min="513" max="513" width="2.85546875" style="412" customWidth="1"/>
    <col min="514" max="514" width="32.42578125" style="412" bestFit="1" customWidth="1"/>
    <col min="515" max="515" width="9.85546875" style="412" bestFit="1" customWidth="1"/>
    <col min="516" max="516" width="8.85546875" style="412" bestFit="1" customWidth="1"/>
    <col min="517" max="517" width="7.42578125" style="412" bestFit="1" customWidth="1"/>
    <col min="518" max="518" width="8.7109375" style="412" customWidth="1"/>
    <col min="519" max="519" width="8" style="412" bestFit="1" customWidth="1"/>
    <col min="520" max="521" width="7.42578125" style="412" bestFit="1" customWidth="1"/>
    <col min="522" max="522" width="8.85546875" style="412" bestFit="1" customWidth="1"/>
    <col min="523" max="526" width="8.42578125" style="412" bestFit="1" customWidth="1"/>
    <col min="527" max="527" width="8.85546875" style="412" customWidth="1"/>
    <col min="528" max="528" width="10.140625" style="412" bestFit="1" customWidth="1"/>
    <col min="529" max="768" width="8" style="412"/>
    <col min="769" max="769" width="2.85546875" style="412" customWidth="1"/>
    <col min="770" max="770" width="32.42578125" style="412" bestFit="1" customWidth="1"/>
    <col min="771" max="771" width="9.85546875" style="412" bestFit="1" customWidth="1"/>
    <col min="772" max="772" width="8.85546875" style="412" bestFit="1" customWidth="1"/>
    <col min="773" max="773" width="7.42578125" style="412" bestFit="1" customWidth="1"/>
    <col min="774" max="774" width="8.7109375" style="412" customWidth="1"/>
    <col min="775" max="775" width="8" style="412" bestFit="1" customWidth="1"/>
    <col min="776" max="777" width="7.42578125" style="412" bestFit="1" customWidth="1"/>
    <col min="778" max="778" width="8.85546875" style="412" bestFit="1" customWidth="1"/>
    <col min="779" max="782" width="8.42578125" style="412" bestFit="1" customWidth="1"/>
    <col min="783" max="783" width="8.85546875" style="412" customWidth="1"/>
    <col min="784" max="784" width="10.140625" style="412" bestFit="1" customWidth="1"/>
    <col min="785" max="1024" width="8" style="412"/>
    <col min="1025" max="1025" width="2.85546875" style="412" customWidth="1"/>
    <col min="1026" max="1026" width="32.42578125" style="412" bestFit="1" customWidth="1"/>
    <col min="1027" max="1027" width="9.85546875" style="412" bestFit="1" customWidth="1"/>
    <col min="1028" max="1028" width="8.85546875" style="412" bestFit="1" customWidth="1"/>
    <col min="1029" max="1029" width="7.42578125" style="412" bestFit="1" customWidth="1"/>
    <col min="1030" max="1030" width="8.7109375" style="412" customWidth="1"/>
    <col min="1031" max="1031" width="8" style="412" bestFit="1" customWidth="1"/>
    <col min="1032" max="1033" width="7.42578125" style="412" bestFit="1" customWidth="1"/>
    <col min="1034" max="1034" width="8.85546875" style="412" bestFit="1" customWidth="1"/>
    <col min="1035" max="1038" width="8.42578125" style="412" bestFit="1" customWidth="1"/>
    <col min="1039" max="1039" width="8.85546875" style="412" customWidth="1"/>
    <col min="1040" max="1040" width="10.140625" style="412" bestFit="1" customWidth="1"/>
    <col min="1041" max="1280" width="8" style="412"/>
    <col min="1281" max="1281" width="2.85546875" style="412" customWidth="1"/>
    <col min="1282" max="1282" width="32.42578125" style="412" bestFit="1" customWidth="1"/>
    <col min="1283" max="1283" width="9.85546875" style="412" bestFit="1" customWidth="1"/>
    <col min="1284" max="1284" width="8.85546875" style="412" bestFit="1" customWidth="1"/>
    <col min="1285" max="1285" width="7.42578125" style="412" bestFit="1" customWidth="1"/>
    <col min="1286" max="1286" width="8.7109375" style="412" customWidth="1"/>
    <col min="1287" max="1287" width="8" style="412" bestFit="1" customWidth="1"/>
    <col min="1288" max="1289" width="7.42578125" style="412" bestFit="1" customWidth="1"/>
    <col min="1290" max="1290" width="8.85546875" style="412" bestFit="1" customWidth="1"/>
    <col min="1291" max="1294" width="8.42578125" style="412" bestFit="1" customWidth="1"/>
    <col min="1295" max="1295" width="8.85546875" style="412" customWidth="1"/>
    <col min="1296" max="1296" width="10.140625" style="412" bestFit="1" customWidth="1"/>
    <col min="1297" max="1536" width="8" style="412"/>
    <col min="1537" max="1537" width="2.85546875" style="412" customWidth="1"/>
    <col min="1538" max="1538" width="32.42578125" style="412" bestFit="1" customWidth="1"/>
    <col min="1539" max="1539" width="9.85546875" style="412" bestFit="1" customWidth="1"/>
    <col min="1540" max="1540" width="8.85546875" style="412" bestFit="1" customWidth="1"/>
    <col min="1541" max="1541" width="7.42578125" style="412" bestFit="1" customWidth="1"/>
    <col min="1542" max="1542" width="8.7109375" style="412" customWidth="1"/>
    <col min="1543" max="1543" width="8" style="412" bestFit="1" customWidth="1"/>
    <col min="1544" max="1545" width="7.42578125" style="412" bestFit="1" customWidth="1"/>
    <col min="1546" max="1546" width="8.85546875" style="412" bestFit="1" customWidth="1"/>
    <col min="1547" max="1550" width="8.42578125" style="412" bestFit="1" customWidth="1"/>
    <col min="1551" max="1551" width="8.85546875" style="412" customWidth="1"/>
    <col min="1552" max="1552" width="10.140625" style="412" bestFit="1" customWidth="1"/>
    <col min="1553" max="1792" width="8" style="412"/>
    <col min="1793" max="1793" width="2.85546875" style="412" customWidth="1"/>
    <col min="1794" max="1794" width="32.42578125" style="412" bestFit="1" customWidth="1"/>
    <col min="1795" max="1795" width="9.85546875" style="412" bestFit="1" customWidth="1"/>
    <col min="1796" max="1796" width="8.85546875" style="412" bestFit="1" customWidth="1"/>
    <col min="1797" max="1797" width="7.42578125" style="412" bestFit="1" customWidth="1"/>
    <col min="1798" max="1798" width="8.7109375" style="412" customWidth="1"/>
    <col min="1799" max="1799" width="8" style="412" bestFit="1" customWidth="1"/>
    <col min="1800" max="1801" width="7.42578125" style="412" bestFit="1" customWidth="1"/>
    <col min="1802" max="1802" width="8.85546875" style="412" bestFit="1" customWidth="1"/>
    <col min="1803" max="1806" width="8.42578125" style="412" bestFit="1" customWidth="1"/>
    <col min="1807" max="1807" width="8.85546875" style="412" customWidth="1"/>
    <col min="1808" max="1808" width="10.140625" style="412" bestFit="1" customWidth="1"/>
    <col min="1809" max="2048" width="8" style="412"/>
    <col min="2049" max="2049" width="2.85546875" style="412" customWidth="1"/>
    <col min="2050" max="2050" width="32.42578125" style="412" bestFit="1" customWidth="1"/>
    <col min="2051" max="2051" width="9.85546875" style="412" bestFit="1" customWidth="1"/>
    <col min="2052" max="2052" width="8.85546875" style="412" bestFit="1" customWidth="1"/>
    <col min="2053" max="2053" width="7.42578125" style="412" bestFit="1" customWidth="1"/>
    <col min="2054" max="2054" width="8.7109375" style="412" customWidth="1"/>
    <col min="2055" max="2055" width="8" style="412" bestFit="1" customWidth="1"/>
    <col min="2056" max="2057" width="7.42578125" style="412" bestFit="1" customWidth="1"/>
    <col min="2058" max="2058" width="8.85546875" style="412" bestFit="1" customWidth="1"/>
    <col min="2059" max="2062" width="8.42578125" style="412" bestFit="1" customWidth="1"/>
    <col min="2063" max="2063" width="8.85546875" style="412" customWidth="1"/>
    <col min="2064" max="2064" width="10.140625" style="412" bestFit="1" customWidth="1"/>
    <col min="2065" max="2304" width="8" style="412"/>
    <col min="2305" max="2305" width="2.85546875" style="412" customWidth="1"/>
    <col min="2306" max="2306" width="32.42578125" style="412" bestFit="1" customWidth="1"/>
    <col min="2307" max="2307" width="9.85546875" style="412" bestFit="1" customWidth="1"/>
    <col min="2308" max="2308" width="8.85546875" style="412" bestFit="1" customWidth="1"/>
    <col min="2309" max="2309" width="7.42578125" style="412" bestFit="1" customWidth="1"/>
    <col min="2310" max="2310" width="8.7109375" style="412" customWidth="1"/>
    <col min="2311" max="2311" width="8" style="412" bestFit="1" customWidth="1"/>
    <col min="2312" max="2313" width="7.42578125" style="412" bestFit="1" customWidth="1"/>
    <col min="2314" max="2314" width="8.85546875" style="412" bestFit="1" customWidth="1"/>
    <col min="2315" max="2318" width="8.42578125" style="412" bestFit="1" customWidth="1"/>
    <col min="2319" max="2319" width="8.85546875" style="412" customWidth="1"/>
    <col min="2320" max="2320" width="10.140625" style="412" bestFit="1" customWidth="1"/>
    <col min="2321" max="2560" width="8" style="412"/>
    <col min="2561" max="2561" width="2.85546875" style="412" customWidth="1"/>
    <col min="2562" max="2562" width="32.42578125" style="412" bestFit="1" customWidth="1"/>
    <col min="2563" max="2563" width="9.85546875" style="412" bestFit="1" customWidth="1"/>
    <col min="2564" max="2564" width="8.85546875" style="412" bestFit="1" customWidth="1"/>
    <col min="2565" max="2565" width="7.42578125" style="412" bestFit="1" customWidth="1"/>
    <col min="2566" max="2566" width="8.7109375" style="412" customWidth="1"/>
    <col min="2567" max="2567" width="8" style="412" bestFit="1" customWidth="1"/>
    <col min="2568" max="2569" width="7.42578125" style="412" bestFit="1" customWidth="1"/>
    <col min="2570" max="2570" width="8.85546875" style="412" bestFit="1" customWidth="1"/>
    <col min="2571" max="2574" width="8.42578125" style="412" bestFit="1" customWidth="1"/>
    <col min="2575" max="2575" width="8.85546875" style="412" customWidth="1"/>
    <col min="2576" max="2576" width="10.140625" style="412" bestFit="1" customWidth="1"/>
    <col min="2577" max="2816" width="8" style="412"/>
    <col min="2817" max="2817" width="2.85546875" style="412" customWidth="1"/>
    <col min="2818" max="2818" width="32.42578125" style="412" bestFit="1" customWidth="1"/>
    <col min="2819" max="2819" width="9.85546875" style="412" bestFit="1" customWidth="1"/>
    <col min="2820" max="2820" width="8.85546875" style="412" bestFit="1" customWidth="1"/>
    <col min="2821" max="2821" width="7.42578125" style="412" bestFit="1" customWidth="1"/>
    <col min="2822" max="2822" width="8.7109375" style="412" customWidth="1"/>
    <col min="2823" max="2823" width="8" style="412" bestFit="1" customWidth="1"/>
    <col min="2824" max="2825" width="7.42578125" style="412" bestFit="1" customWidth="1"/>
    <col min="2826" max="2826" width="8.85546875" style="412" bestFit="1" customWidth="1"/>
    <col min="2827" max="2830" width="8.42578125" style="412" bestFit="1" customWidth="1"/>
    <col min="2831" max="2831" width="8.85546875" style="412" customWidth="1"/>
    <col min="2832" max="2832" width="10.140625" style="412" bestFit="1" customWidth="1"/>
    <col min="2833" max="3072" width="8" style="412"/>
    <col min="3073" max="3073" width="2.85546875" style="412" customWidth="1"/>
    <col min="3074" max="3074" width="32.42578125" style="412" bestFit="1" customWidth="1"/>
    <col min="3075" max="3075" width="9.85546875" style="412" bestFit="1" customWidth="1"/>
    <col min="3076" max="3076" width="8.85546875" style="412" bestFit="1" customWidth="1"/>
    <col min="3077" max="3077" width="7.42578125" style="412" bestFit="1" customWidth="1"/>
    <col min="3078" max="3078" width="8.7109375" style="412" customWidth="1"/>
    <col min="3079" max="3079" width="8" style="412" bestFit="1" customWidth="1"/>
    <col min="3080" max="3081" width="7.42578125" style="412" bestFit="1" customWidth="1"/>
    <col min="3082" max="3082" width="8.85546875" style="412" bestFit="1" customWidth="1"/>
    <col min="3083" max="3086" width="8.42578125" style="412" bestFit="1" customWidth="1"/>
    <col min="3087" max="3087" width="8.85546875" style="412" customWidth="1"/>
    <col min="3088" max="3088" width="10.140625" style="412" bestFit="1" customWidth="1"/>
    <col min="3089" max="3328" width="8" style="412"/>
    <col min="3329" max="3329" width="2.85546875" style="412" customWidth="1"/>
    <col min="3330" max="3330" width="32.42578125" style="412" bestFit="1" customWidth="1"/>
    <col min="3331" max="3331" width="9.85546875" style="412" bestFit="1" customWidth="1"/>
    <col min="3332" max="3332" width="8.85546875" style="412" bestFit="1" customWidth="1"/>
    <col min="3333" max="3333" width="7.42578125" style="412" bestFit="1" customWidth="1"/>
    <col min="3334" max="3334" width="8.7109375" style="412" customWidth="1"/>
    <col min="3335" max="3335" width="8" style="412" bestFit="1" customWidth="1"/>
    <col min="3336" max="3337" width="7.42578125" style="412" bestFit="1" customWidth="1"/>
    <col min="3338" max="3338" width="8.85546875" style="412" bestFit="1" customWidth="1"/>
    <col min="3339" max="3342" width="8.42578125" style="412" bestFit="1" customWidth="1"/>
    <col min="3343" max="3343" width="8.85546875" style="412" customWidth="1"/>
    <col min="3344" max="3344" width="10.140625" style="412" bestFit="1" customWidth="1"/>
    <col min="3345" max="3584" width="8" style="412"/>
    <col min="3585" max="3585" width="2.85546875" style="412" customWidth="1"/>
    <col min="3586" max="3586" width="32.42578125" style="412" bestFit="1" customWidth="1"/>
    <col min="3587" max="3587" width="9.85546875" style="412" bestFit="1" customWidth="1"/>
    <col min="3588" max="3588" width="8.85546875" style="412" bestFit="1" customWidth="1"/>
    <col min="3589" max="3589" width="7.42578125" style="412" bestFit="1" customWidth="1"/>
    <col min="3590" max="3590" width="8.7109375" style="412" customWidth="1"/>
    <col min="3591" max="3591" width="8" style="412" bestFit="1" customWidth="1"/>
    <col min="3592" max="3593" width="7.42578125" style="412" bestFit="1" customWidth="1"/>
    <col min="3594" max="3594" width="8.85546875" style="412" bestFit="1" customWidth="1"/>
    <col min="3595" max="3598" width="8.42578125" style="412" bestFit="1" customWidth="1"/>
    <col min="3599" max="3599" width="8.85546875" style="412" customWidth="1"/>
    <col min="3600" max="3600" width="10.140625" style="412" bestFit="1" customWidth="1"/>
    <col min="3601" max="3840" width="8" style="412"/>
    <col min="3841" max="3841" width="2.85546875" style="412" customWidth="1"/>
    <col min="3842" max="3842" width="32.42578125" style="412" bestFit="1" customWidth="1"/>
    <col min="3843" max="3843" width="9.85546875" style="412" bestFit="1" customWidth="1"/>
    <col min="3844" max="3844" width="8.85546875" style="412" bestFit="1" customWidth="1"/>
    <col min="3845" max="3845" width="7.42578125" style="412" bestFit="1" customWidth="1"/>
    <col min="3846" max="3846" width="8.7109375" style="412" customWidth="1"/>
    <col min="3847" max="3847" width="8" style="412" bestFit="1" customWidth="1"/>
    <col min="3848" max="3849" width="7.42578125" style="412" bestFit="1" customWidth="1"/>
    <col min="3850" max="3850" width="8.85546875" style="412" bestFit="1" customWidth="1"/>
    <col min="3851" max="3854" width="8.42578125" style="412" bestFit="1" customWidth="1"/>
    <col min="3855" max="3855" width="8.85546875" style="412" customWidth="1"/>
    <col min="3856" max="3856" width="10.140625" style="412" bestFit="1" customWidth="1"/>
    <col min="3857" max="4096" width="8" style="412"/>
    <col min="4097" max="4097" width="2.85546875" style="412" customWidth="1"/>
    <col min="4098" max="4098" width="32.42578125" style="412" bestFit="1" customWidth="1"/>
    <col min="4099" max="4099" width="9.85546875" style="412" bestFit="1" customWidth="1"/>
    <col min="4100" max="4100" width="8.85546875" style="412" bestFit="1" customWidth="1"/>
    <col min="4101" max="4101" width="7.42578125" style="412" bestFit="1" customWidth="1"/>
    <col min="4102" max="4102" width="8.7109375" style="412" customWidth="1"/>
    <col min="4103" max="4103" width="8" style="412" bestFit="1" customWidth="1"/>
    <col min="4104" max="4105" width="7.42578125" style="412" bestFit="1" customWidth="1"/>
    <col min="4106" max="4106" width="8.85546875" style="412" bestFit="1" customWidth="1"/>
    <col min="4107" max="4110" width="8.42578125" style="412" bestFit="1" customWidth="1"/>
    <col min="4111" max="4111" width="8.85546875" style="412" customWidth="1"/>
    <col min="4112" max="4112" width="10.140625" style="412" bestFit="1" customWidth="1"/>
    <col min="4113" max="4352" width="8" style="412"/>
    <col min="4353" max="4353" width="2.85546875" style="412" customWidth="1"/>
    <col min="4354" max="4354" width="32.42578125" style="412" bestFit="1" customWidth="1"/>
    <col min="4355" max="4355" width="9.85546875" style="412" bestFit="1" customWidth="1"/>
    <col min="4356" max="4356" width="8.85546875" style="412" bestFit="1" customWidth="1"/>
    <col min="4357" max="4357" width="7.42578125" style="412" bestFit="1" customWidth="1"/>
    <col min="4358" max="4358" width="8.7109375" style="412" customWidth="1"/>
    <col min="4359" max="4359" width="8" style="412" bestFit="1" customWidth="1"/>
    <col min="4360" max="4361" width="7.42578125" style="412" bestFit="1" customWidth="1"/>
    <col min="4362" max="4362" width="8.85546875" style="412" bestFit="1" customWidth="1"/>
    <col min="4363" max="4366" width="8.42578125" style="412" bestFit="1" customWidth="1"/>
    <col min="4367" max="4367" width="8.85546875" style="412" customWidth="1"/>
    <col min="4368" max="4368" width="10.140625" style="412" bestFit="1" customWidth="1"/>
    <col min="4369" max="4608" width="8" style="412"/>
    <col min="4609" max="4609" width="2.85546875" style="412" customWidth="1"/>
    <col min="4610" max="4610" width="32.42578125" style="412" bestFit="1" customWidth="1"/>
    <col min="4611" max="4611" width="9.85546875" style="412" bestFit="1" customWidth="1"/>
    <col min="4612" max="4612" width="8.85546875" style="412" bestFit="1" customWidth="1"/>
    <col min="4613" max="4613" width="7.42578125" style="412" bestFit="1" customWidth="1"/>
    <col min="4614" max="4614" width="8.7109375" style="412" customWidth="1"/>
    <col min="4615" max="4615" width="8" style="412" bestFit="1" customWidth="1"/>
    <col min="4616" max="4617" width="7.42578125" style="412" bestFit="1" customWidth="1"/>
    <col min="4618" max="4618" width="8.85546875" style="412" bestFit="1" customWidth="1"/>
    <col min="4619" max="4622" width="8.42578125" style="412" bestFit="1" customWidth="1"/>
    <col min="4623" max="4623" width="8.85546875" style="412" customWidth="1"/>
    <col min="4624" max="4624" width="10.140625" style="412" bestFit="1" customWidth="1"/>
    <col min="4625" max="4864" width="8" style="412"/>
    <col min="4865" max="4865" width="2.85546875" style="412" customWidth="1"/>
    <col min="4866" max="4866" width="32.42578125" style="412" bestFit="1" customWidth="1"/>
    <col min="4867" max="4867" width="9.85546875" style="412" bestFit="1" customWidth="1"/>
    <col min="4868" max="4868" width="8.85546875" style="412" bestFit="1" customWidth="1"/>
    <col min="4869" max="4869" width="7.42578125" style="412" bestFit="1" customWidth="1"/>
    <col min="4870" max="4870" width="8.7109375" style="412" customWidth="1"/>
    <col min="4871" max="4871" width="8" style="412" bestFit="1" customWidth="1"/>
    <col min="4872" max="4873" width="7.42578125" style="412" bestFit="1" customWidth="1"/>
    <col min="4874" max="4874" width="8.85546875" style="412" bestFit="1" customWidth="1"/>
    <col min="4875" max="4878" width="8.42578125" style="412" bestFit="1" customWidth="1"/>
    <col min="4879" max="4879" width="8.85546875" style="412" customWidth="1"/>
    <col min="4880" max="4880" width="10.140625" style="412" bestFit="1" customWidth="1"/>
    <col min="4881" max="5120" width="8" style="412"/>
    <col min="5121" max="5121" width="2.85546875" style="412" customWidth="1"/>
    <col min="5122" max="5122" width="32.42578125" style="412" bestFit="1" customWidth="1"/>
    <col min="5123" max="5123" width="9.85546875" style="412" bestFit="1" customWidth="1"/>
    <col min="5124" max="5124" width="8.85546875" style="412" bestFit="1" customWidth="1"/>
    <col min="5125" max="5125" width="7.42578125" style="412" bestFit="1" customWidth="1"/>
    <col min="5126" max="5126" width="8.7109375" style="412" customWidth="1"/>
    <col min="5127" max="5127" width="8" style="412" bestFit="1" customWidth="1"/>
    <col min="5128" max="5129" width="7.42578125" style="412" bestFit="1" customWidth="1"/>
    <col min="5130" max="5130" width="8.85546875" style="412" bestFit="1" customWidth="1"/>
    <col min="5131" max="5134" width="8.42578125" style="412" bestFit="1" customWidth="1"/>
    <col min="5135" max="5135" width="8.85546875" style="412" customWidth="1"/>
    <col min="5136" max="5136" width="10.140625" style="412" bestFit="1" customWidth="1"/>
    <col min="5137" max="5376" width="8" style="412"/>
    <col min="5377" max="5377" width="2.85546875" style="412" customWidth="1"/>
    <col min="5378" max="5378" width="32.42578125" style="412" bestFit="1" customWidth="1"/>
    <col min="5379" max="5379" width="9.85546875" style="412" bestFit="1" customWidth="1"/>
    <col min="5380" max="5380" width="8.85546875" style="412" bestFit="1" customWidth="1"/>
    <col min="5381" max="5381" width="7.42578125" style="412" bestFit="1" customWidth="1"/>
    <col min="5382" max="5382" width="8.7109375" style="412" customWidth="1"/>
    <col min="5383" max="5383" width="8" style="412" bestFit="1" customWidth="1"/>
    <col min="5384" max="5385" width="7.42578125" style="412" bestFit="1" customWidth="1"/>
    <col min="5386" max="5386" width="8.85546875" style="412" bestFit="1" customWidth="1"/>
    <col min="5387" max="5390" width="8.42578125" style="412" bestFit="1" customWidth="1"/>
    <col min="5391" max="5391" width="8.85546875" style="412" customWidth="1"/>
    <col min="5392" max="5392" width="10.140625" style="412" bestFit="1" customWidth="1"/>
    <col min="5393" max="5632" width="8" style="412"/>
    <col min="5633" max="5633" width="2.85546875" style="412" customWidth="1"/>
    <col min="5634" max="5634" width="32.42578125" style="412" bestFit="1" customWidth="1"/>
    <col min="5635" max="5635" width="9.85546875" style="412" bestFit="1" customWidth="1"/>
    <col min="5636" max="5636" width="8.85546875" style="412" bestFit="1" customWidth="1"/>
    <col min="5637" max="5637" width="7.42578125" style="412" bestFit="1" customWidth="1"/>
    <col min="5638" max="5638" width="8.7109375" style="412" customWidth="1"/>
    <col min="5639" max="5639" width="8" style="412" bestFit="1" customWidth="1"/>
    <col min="5640" max="5641" width="7.42578125" style="412" bestFit="1" customWidth="1"/>
    <col min="5642" max="5642" width="8.85546875" style="412" bestFit="1" customWidth="1"/>
    <col min="5643" max="5646" width="8.42578125" style="412" bestFit="1" customWidth="1"/>
    <col min="5647" max="5647" width="8.85546875" style="412" customWidth="1"/>
    <col min="5648" max="5648" width="10.140625" style="412" bestFit="1" customWidth="1"/>
    <col min="5649" max="5888" width="8" style="412"/>
    <col min="5889" max="5889" width="2.85546875" style="412" customWidth="1"/>
    <col min="5890" max="5890" width="32.42578125" style="412" bestFit="1" customWidth="1"/>
    <col min="5891" max="5891" width="9.85546875" style="412" bestFit="1" customWidth="1"/>
    <col min="5892" max="5892" width="8.85546875" style="412" bestFit="1" customWidth="1"/>
    <col min="5893" max="5893" width="7.42578125" style="412" bestFit="1" customWidth="1"/>
    <col min="5894" max="5894" width="8.7109375" style="412" customWidth="1"/>
    <col min="5895" max="5895" width="8" style="412" bestFit="1" customWidth="1"/>
    <col min="5896" max="5897" width="7.42578125" style="412" bestFit="1" customWidth="1"/>
    <col min="5898" max="5898" width="8.85546875" style="412" bestFit="1" customWidth="1"/>
    <col min="5899" max="5902" width="8.42578125" style="412" bestFit="1" customWidth="1"/>
    <col min="5903" max="5903" width="8.85546875" style="412" customWidth="1"/>
    <col min="5904" max="5904" width="10.140625" style="412" bestFit="1" customWidth="1"/>
    <col min="5905" max="6144" width="8" style="412"/>
    <col min="6145" max="6145" width="2.85546875" style="412" customWidth="1"/>
    <col min="6146" max="6146" width="32.42578125" style="412" bestFit="1" customWidth="1"/>
    <col min="6147" max="6147" width="9.85546875" style="412" bestFit="1" customWidth="1"/>
    <col min="6148" max="6148" width="8.85546875" style="412" bestFit="1" customWidth="1"/>
    <col min="6149" max="6149" width="7.42578125" style="412" bestFit="1" customWidth="1"/>
    <col min="6150" max="6150" width="8.7109375" style="412" customWidth="1"/>
    <col min="6151" max="6151" width="8" style="412" bestFit="1" customWidth="1"/>
    <col min="6152" max="6153" width="7.42578125" style="412" bestFit="1" customWidth="1"/>
    <col min="6154" max="6154" width="8.85546875" style="412" bestFit="1" customWidth="1"/>
    <col min="6155" max="6158" width="8.42578125" style="412" bestFit="1" customWidth="1"/>
    <col min="6159" max="6159" width="8.85546875" style="412" customWidth="1"/>
    <col min="6160" max="6160" width="10.140625" style="412" bestFit="1" customWidth="1"/>
    <col min="6161" max="6400" width="8" style="412"/>
    <col min="6401" max="6401" width="2.85546875" style="412" customWidth="1"/>
    <col min="6402" max="6402" width="32.42578125" style="412" bestFit="1" customWidth="1"/>
    <col min="6403" max="6403" width="9.85546875" style="412" bestFit="1" customWidth="1"/>
    <col min="6404" max="6404" width="8.85546875" style="412" bestFit="1" customWidth="1"/>
    <col min="6405" max="6405" width="7.42578125" style="412" bestFit="1" customWidth="1"/>
    <col min="6406" max="6406" width="8.7109375" style="412" customWidth="1"/>
    <col min="6407" max="6407" width="8" style="412" bestFit="1" customWidth="1"/>
    <col min="6408" max="6409" width="7.42578125" style="412" bestFit="1" customWidth="1"/>
    <col min="6410" max="6410" width="8.85546875" style="412" bestFit="1" customWidth="1"/>
    <col min="6411" max="6414" width="8.42578125" style="412" bestFit="1" customWidth="1"/>
    <col min="6415" max="6415" width="8.85546875" style="412" customWidth="1"/>
    <col min="6416" max="6416" width="10.140625" style="412" bestFit="1" customWidth="1"/>
    <col min="6417" max="6656" width="8" style="412"/>
    <col min="6657" max="6657" width="2.85546875" style="412" customWidth="1"/>
    <col min="6658" max="6658" width="32.42578125" style="412" bestFit="1" customWidth="1"/>
    <col min="6659" max="6659" width="9.85546875" style="412" bestFit="1" customWidth="1"/>
    <col min="6660" max="6660" width="8.85546875" style="412" bestFit="1" customWidth="1"/>
    <col min="6661" max="6661" width="7.42578125" style="412" bestFit="1" customWidth="1"/>
    <col min="6662" max="6662" width="8.7109375" style="412" customWidth="1"/>
    <col min="6663" max="6663" width="8" style="412" bestFit="1" customWidth="1"/>
    <col min="6664" max="6665" width="7.42578125" style="412" bestFit="1" customWidth="1"/>
    <col min="6666" max="6666" width="8.85546875" style="412" bestFit="1" customWidth="1"/>
    <col min="6667" max="6670" width="8.42578125" style="412" bestFit="1" customWidth="1"/>
    <col min="6671" max="6671" width="8.85546875" style="412" customWidth="1"/>
    <col min="6672" max="6672" width="10.140625" style="412" bestFit="1" customWidth="1"/>
    <col min="6673" max="6912" width="8" style="412"/>
    <col min="6913" max="6913" width="2.85546875" style="412" customWidth="1"/>
    <col min="6914" max="6914" width="32.42578125" style="412" bestFit="1" customWidth="1"/>
    <col min="6915" max="6915" width="9.85546875" style="412" bestFit="1" customWidth="1"/>
    <col min="6916" max="6916" width="8.85546875" style="412" bestFit="1" customWidth="1"/>
    <col min="6917" max="6917" width="7.42578125" style="412" bestFit="1" customWidth="1"/>
    <col min="6918" max="6918" width="8.7109375" style="412" customWidth="1"/>
    <col min="6919" max="6919" width="8" style="412" bestFit="1" customWidth="1"/>
    <col min="6920" max="6921" width="7.42578125" style="412" bestFit="1" customWidth="1"/>
    <col min="6922" max="6922" width="8.85546875" style="412" bestFit="1" customWidth="1"/>
    <col min="6923" max="6926" width="8.42578125" style="412" bestFit="1" customWidth="1"/>
    <col min="6927" max="6927" width="8.85546875" style="412" customWidth="1"/>
    <col min="6928" max="6928" width="10.140625" style="412" bestFit="1" customWidth="1"/>
    <col min="6929" max="7168" width="8" style="412"/>
    <col min="7169" max="7169" width="2.85546875" style="412" customWidth="1"/>
    <col min="7170" max="7170" width="32.42578125" style="412" bestFit="1" customWidth="1"/>
    <col min="7171" max="7171" width="9.85546875" style="412" bestFit="1" customWidth="1"/>
    <col min="7172" max="7172" width="8.85546875" style="412" bestFit="1" customWidth="1"/>
    <col min="7173" max="7173" width="7.42578125" style="412" bestFit="1" customWidth="1"/>
    <col min="7174" max="7174" width="8.7109375" style="412" customWidth="1"/>
    <col min="7175" max="7175" width="8" style="412" bestFit="1" customWidth="1"/>
    <col min="7176" max="7177" width="7.42578125" style="412" bestFit="1" customWidth="1"/>
    <col min="7178" max="7178" width="8.85546875" style="412" bestFit="1" customWidth="1"/>
    <col min="7179" max="7182" width="8.42578125" style="412" bestFit="1" customWidth="1"/>
    <col min="7183" max="7183" width="8.85546875" style="412" customWidth="1"/>
    <col min="7184" max="7184" width="10.140625" style="412" bestFit="1" customWidth="1"/>
    <col min="7185" max="7424" width="8" style="412"/>
    <col min="7425" max="7425" width="2.85546875" style="412" customWidth="1"/>
    <col min="7426" max="7426" width="32.42578125" style="412" bestFit="1" customWidth="1"/>
    <col min="7427" max="7427" width="9.85546875" style="412" bestFit="1" customWidth="1"/>
    <col min="7428" max="7428" width="8.85546875" style="412" bestFit="1" customWidth="1"/>
    <col min="7429" max="7429" width="7.42578125" style="412" bestFit="1" customWidth="1"/>
    <col min="7430" max="7430" width="8.7109375" style="412" customWidth="1"/>
    <col min="7431" max="7431" width="8" style="412" bestFit="1" customWidth="1"/>
    <col min="7432" max="7433" width="7.42578125" style="412" bestFit="1" customWidth="1"/>
    <col min="7434" max="7434" width="8.85546875" style="412" bestFit="1" customWidth="1"/>
    <col min="7435" max="7438" width="8.42578125" style="412" bestFit="1" customWidth="1"/>
    <col min="7439" max="7439" width="8.85546875" style="412" customWidth="1"/>
    <col min="7440" max="7440" width="10.140625" style="412" bestFit="1" customWidth="1"/>
    <col min="7441" max="7680" width="8" style="412"/>
    <col min="7681" max="7681" width="2.85546875" style="412" customWidth="1"/>
    <col min="7682" max="7682" width="32.42578125" style="412" bestFit="1" customWidth="1"/>
    <col min="7683" max="7683" width="9.85546875" style="412" bestFit="1" customWidth="1"/>
    <col min="7684" max="7684" width="8.85546875" style="412" bestFit="1" customWidth="1"/>
    <col min="7685" max="7685" width="7.42578125" style="412" bestFit="1" customWidth="1"/>
    <col min="7686" max="7686" width="8.7109375" style="412" customWidth="1"/>
    <col min="7687" max="7687" width="8" style="412" bestFit="1" customWidth="1"/>
    <col min="7688" max="7689" width="7.42578125" style="412" bestFit="1" customWidth="1"/>
    <col min="7690" max="7690" width="8.85546875" style="412" bestFit="1" customWidth="1"/>
    <col min="7691" max="7694" width="8.42578125" style="412" bestFit="1" customWidth="1"/>
    <col min="7695" max="7695" width="8.85546875" style="412" customWidth="1"/>
    <col min="7696" max="7696" width="10.140625" style="412" bestFit="1" customWidth="1"/>
    <col min="7697" max="7936" width="8" style="412"/>
    <col min="7937" max="7937" width="2.85546875" style="412" customWidth="1"/>
    <col min="7938" max="7938" width="32.42578125" style="412" bestFit="1" customWidth="1"/>
    <col min="7939" max="7939" width="9.85546875" style="412" bestFit="1" customWidth="1"/>
    <col min="7940" max="7940" width="8.85546875" style="412" bestFit="1" customWidth="1"/>
    <col min="7941" max="7941" width="7.42578125" style="412" bestFit="1" customWidth="1"/>
    <col min="7942" max="7942" width="8.7109375" style="412" customWidth="1"/>
    <col min="7943" max="7943" width="8" style="412" bestFit="1" customWidth="1"/>
    <col min="7944" max="7945" width="7.42578125" style="412" bestFit="1" customWidth="1"/>
    <col min="7946" max="7946" width="8.85546875" style="412" bestFit="1" customWidth="1"/>
    <col min="7947" max="7950" width="8.42578125" style="412" bestFit="1" customWidth="1"/>
    <col min="7951" max="7951" width="8.85546875" style="412" customWidth="1"/>
    <col min="7952" max="7952" width="10.140625" style="412" bestFit="1" customWidth="1"/>
    <col min="7953" max="8192" width="8" style="412"/>
    <col min="8193" max="8193" width="2.85546875" style="412" customWidth="1"/>
    <col min="8194" max="8194" width="32.42578125" style="412" bestFit="1" customWidth="1"/>
    <col min="8195" max="8195" width="9.85546875" style="412" bestFit="1" customWidth="1"/>
    <col min="8196" max="8196" width="8.85546875" style="412" bestFit="1" customWidth="1"/>
    <col min="8197" max="8197" width="7.42578125" style="412" bestFit="1" customWidth="1"/>
    <col min="8198" max="8198" width="8.7109375" style="412" customWidth="1"/>
    <col min="8199" max="8199" width="8" style="412" bestFit="1" customWidth="1"/>
    <col min="8200" max="8201" width="7.42578125" style="412" bestFit="1" customWidth="1"/>
    <col min="8202" max="8202" width="8.85546875" style="412" bestFit="1" customWidth="1"/>
    <col min="8203" max="8206" width="8.42578125" style="412" bestFit="1" customWidth="1"/>
    <col min="8207" max="8207" width="8.85546875" style="412" customWidth="1"/>
    <col min="8208" max="8208" width="10.140625" style="412" bestFit="1" customWidth="1"/>
    <col min="8209" max="8448" width="8" style="412"/>
    <col min="8449" max="8449" width="2.85546875" style="412" customWidth="1"/>
    <col min="8450" max="8450" width="32.42578125" style="412" bestFit="1" customWidth="1"/>
    <col min="8451" max="8451" width="9.85546875" style="412" bestFit="1" customWidth="1"/>
    <col min="8452" max="8452" width="8.85546875" style="412" bestFit="1" customWidth="1"/>
    <col min="8453" max="8453" width="7.42578125" style="412" bestFit="1" customWidth="1"/>
    <col min="8454" max="8454" width="8.7109375" style="412" customWidth="1"/>
    <col min="8455" max="8455" width="8" style="412" bestFit="1" customWidth="1"/>
    <col min="8456" max="8457" width="7.42578125" style="412" bestFit="1" customWidth="1"/>
    <col min="8458" max="8458" width="8.85546875" style="412" bestFit="1" customWidth="1"/>
    <col min="8459" max="8462" width="8.42578125" style="412" bestFit="1" customWidth="1"/>
    <col min="8463" max="8463" width="8.85546875" style="412" customWidth="1"/>
    <col min="8464" max="8464" width="10.140625" style="412" bestFit="1" customWidth="1"/>
    <col min="8465" max="8704" width="8" style="412"/>
    <col min="8705" max="8705" width="2.85546875" style="412" customWidth="1"/>
    <col min="8706" max="8706" width="32.42578125" style="412" bestFit="1" customWidth="1"/>
    <col min="8707" max="8707" width="9.85546875" style="412" bestFit="1" customWidth="1"/>
    <col min="8708" max="8708" width="8.85546875" style="412" bestFit="1" customWidth="1"/>
    <col min="8709" max="8709" width="7.42578125" style="412" bestFit="1" customWidth="1"/>
    <col min="8710" max="8710" width="8.7109375" style="412" customWidth="1"/>
    <col min="8711" max="8711" width="8" style="412" bestFit="1" customWidth="1"/>
    <col min="8712" max="8713" width="7.42578125" style="412" bestFit="1" customWidth="1"/>
    <col min="8714" max="8714" width="8.85546875" style="412" bestFit="1" customWidth="1"/>
    <col min="8715" max="8718" width="8.42578125" style="412" bestFit="1" customWidth="1"/>
    <col min="8719" max="8719" width="8.85546875" style="412" customWidth="1"/>
    <col min="8720" max="8720" width="10.140625" style="412" bestFit="1" customWidth="1"/>
    <col min="8721" max="8960" width="8" style="412"/>
    <col min="8961" max="8961" width="2.85546875" style="412" customWidth="1"/>
    <col min="8962" max="8962" width="32.42578125" style="412" bestFit="1" customWidth="1"/>
    <col min="8963" max="8963" width="9.85546875" style="412" bestFit="1" customWidth="1"/>
    <col min="8964" max="8964" width="8.85546875" style="412" bestFit="1" customWidth="1"/>
    <col min="8965" max="8965" width="7.42578125" style="412" bestFit="1" customWidth="1"/>
    <col min="8966" max="8966" width="8.7109375" style="412" customWidth="1"/>
    <col min="8967" max="8967" width="8" style="412" bestFit="1" customWidth="1"/>
    <col min="8968" max="8969" width="7.42578125" style="412" bestFit="1" customWidth="1"/>
    <col min="8970" max="8970" width="8.85546875" style="412" bestFit="1" customWidth="1"/>
    <col min="8971" max="8974" width="8.42578125" style="412" bestFit="1" customWidth="1"/>
    <col min="8975" max="8975" width="8.85546875" style="412" customWidth="1"/>
    <col min="8976" max="8976" width="10.140625" style="412" bestFit="1" customWidth="1"/>
    <col min="8977" max="9216" width="8" style="412"/>
    <col min="9217" max="9217" width="2.85546875" style="412" customWidth="1"/>
    <col min="9218" max="9218" width="32.42578125" style="412" bestFit="1" customWidth="1"/>
    <col min="9219" max="9219" width="9.85546875" style="412" bestFit="1" customWidth="1"/>
    <col min="9220" max="9220" width="8.85546875" style="412" bestFit="1" customWidth="1"/>
    <col min="9221" max="9221" width="7.42578125" style="412" bestFit="1" customWidth="1"/>
    <col min="9222" max="9222" width="8.7109375" style="412" customWidth="1"/>
    <col min="9223" max="9223" width="8" style="412" bestFit="1" customWidth="1"/>
    <col min="9224" max="9225" width="7.42578125" style="412" bestFit="1" customWidth="1"/>
    <col min="9226" max="9226" width="8.85546875" style="412" bestFit="1" customWidth="1"/>
    <col min="9227" max="9230" width="8.42578125" style="412" bestFit="1" customWidth="1"/>
    <col min="9231" max="9231" width="8.85546875" style="412" customWidth="1"/>
    <col min="9232" max="9232" width="10.140625" style="412" bestFit="1" customWidth="1"/>
    <col min="9233" max="9472" width="8" style="412"/>
    <col min="9473" max="9473" width="2.85546875" style="412" customWidth="1"/>
    <col min="9474" max="9474" width="32.42578125" style="412" bestFit="1" customWidth="1"/>
    <col min="9475" max="9475" width="9.85546875" style="412" bestFit="1" customWidth="1"/>
    <col min="9476" max="9476" width="8.85546875" style="412" bestFit="1" customWidth="1"/>
    <col min="9477" max="9477" width="7.42578125" style="412" bestFit="1" customWidth="1"/>
    <col min="9478" max="9478" width="8.7109375" style="412" customWidth="1"/>
    <col min="9479" max="9479" width="8" style="412" bestFit="1" customWidth="1"/>
    <col min="9480" max="9481" width="7.42578125" style="412" bestFit="1" customWidth="1"/>
    <col min="9482" max="9482" width="8.85546875" style="412" bestFit="1" customWidth="1"/>
    <col min="9483" max="9486" width="8.42578125" style="412" bestFit="1" customWidth="1"/>
    <col min="9487" max="9487" width="8.85546875" style="412" customWidth="1"/>
    <col min="9488" max="9488" width="10.140625" style="412" bestFit="1" customWidth="1"/>
    <col min="9489" max="9728" width="8" style="412"/>
    <col min="9729" max="9729" width="2.85546875" style="412" customWidth="1"/>
    <col min="9730" max="9730" width="32.42578125" style="412" bestFit="1" customWidth="1"/>
    <col min="9731" max="9731" width="9.85546875" style="412" bestFit="1" customWidth="1"/>
    <col min="9732" max="9732" width="8.85546875" style="412" bestFit="1" customWidth="1"/>
    <col min="9733" max="9733" width="7.42578125" style="412" bestFit="1" customWidth="1"/>
    <col min="9734" max="9734" width="8.7109375" style="412" customWidth="1"/>
    <col min="9735" max="9735" width="8" style="412" bestFit="1" customWidth="1"/>
    <col min="9736" max="9737" width="7.42578125" style="412" bestFit="1" customWidth="1"/>
    <col min="9738" max="9738" width="8.85546875" style="412" bestFit="1" customWidth="1"/>
    <col min="9739" max="9742" width="8.42578125" style="412" bestFit="1" customWidth="1"/>
    <col min="9743" max="9743" width="8.85546875" style="412" customWidth="1"/>
    <col min="9744" max="9744" width="10.140625" style="412" bestFit="1" customWidth="1"/>
    <col min="9745" max="9984" width="8" style="412"/>
    <col min="9985" max="9985" width="2.85546875" style="412" customWidth="1"/>
    <col min="9986" max="9986" width="32.42578125" style="412" bestFit="1" customWidth="1"/>
    <col min="9987" max="9987" width="9.85546875" style="412" bestFit="1" customWidth="1"/>
    <col min="9988" max="9988" width="8.85546875" style="412" bestFit="1" customWidth="1"/>
    <col min="9989" max="9989" width="7.42578125" style="412" bestFit="1" customWidth="1"/>
    <col min="9990" max="9990" width="8.7109375" style="412" customWidth="1"/>
    <col min="9991" max="9991" width="8" style="412" bestFit="1" customWidth="1"/>
    <col min="9992" max="9993" width="7.42578125" style="412" bestFit="1" customWidth="1"/>
    <col min="9994" max="9994" width="8.85546875" style="412" bestFit="1" customWidth="1"/>
    <col min="9995" max="9998" width="8.42578125" style="412" bestFit="1" customWidth="1"/>
    <col min="9999" max="9999" width="8.85546875" style="412" customWidth="1"/>
    <col min="10000" max="10000" width="10.140625" style="412" bestFit="1" customWidth="1"/>
    <col min="10001" max="10240" width="8" style="412"/>
    <col min="10241" max="10241" width="2.85546875" style="412" customWidth="1"/>
    <col min="10242" max="10242" width="32.42578125" style="412" bestFit="1" customWidth="1"/>
    <col min="10243" max="10243" width="9.85546875" style="412" bestFit="1" customWidth="1"/>
    <col min="10244" max="10244" width="8.85546875" style="412" bestFit="1" customWidth="1"/>
    <col min="10245" max="10245" width="7.42578125" style="412" bestFit="1" customWidth="1"/>
    <col min="10246" max="10246" width="8.7109375" style="412" customWidth="1"/>
    <col min="10247" max="10247" width="8" style="412" bestFit="1" customWidth="1"/>
    <col min="10248" max="10249" width="7.42578125" style="412" bestFit="1" customWidth="1"/>
    <col min="10250" max="10250" width="8.85546875" style="412" bestFit="1" customWidth="1"/>
    <col min="10251" max="10254" width="8.42578125" style="412" bestFit="1" customWidth="1"/>
    <col min="10255" max="10255" width="8.85546875" style="412" customWidth="1"/>
    <col min="10256" max="10256" width="10.140625" style="412" bestFit="1" customWidth="1"/>
    <col min="10257" max="10496" width="8" style="412"/>
    <col min="10497" max="10497" width="2.85546875" style="412" customWidth="1"/>
    <col min="10498" max="10498" width="32.42578125" style="412" bestFit="1" customWidth="1"/>
    <col min="10499" max="10499" width="9.85546875" style="412" bestFit="1" customWidth="1"/>
    <col min="10500" max="10500" width="8.85546875" style="412" bestFit="1" customWidth="1"/>
    <col min="10501" max="10501" width="7.42578125" style="412" bestFit="1" customWidth="1"/>
    <col min="10502" max="10502" width="8.7109375" style="412" customWidth="1"/>
    <col min="10503" max="10503" width="8" style="412" bestFit="1" customWidth="1"/>
    <col min="10504" max="10505" width="7.42578125" style="412" bestFit="1" customWidth="1"/>
    <col min="10506" max="10506" width="8.85546875" style="412" bestFit="1" customWidth="1"/>
    <col min="10507" max="10510" width="8.42578125" style="412" bestFit="1" customWidth="1"/>
    <col min="10511" max="10511" width="8.85546875" style="412" customWidth="1"/>
    <col min="10512" max="10512" width="10.140625" style="412" bestFit="1" customWidth="1"/>
    <col min="10513" max="10752" width="8" style="412"/>
    <col min="10753" max="10753" width="2.85546875" style="412" customWidth="1"/>
    <col min="10754" max="10754" width="32.42578125" style="412" bestFit="1" customWidth="1"/>
    <col min="10755" max="10755" width="9.85546875" style="412" bestFit="1" customWidth="1"/>
    <col min="10756" max="10756" width="8.85546875" style="412" bestFit="1" customWidth="1"/>
    <col min="10757" max="10757" width="7.42578125" style="412" bestFit="1" customWidth="1"/>
    <col min="10758" max="10758" width="8.7109375" style="412" customWidth="1"/>
    <col min="10759" max="10759" width="8" style="412" bestFit="1" customWidth="1"/>
    <col min="10760" max="10761" width="7.42578125" style="412" bestFit="1" customWidth="1"/>
    <col min="10762" max="10762" width="8.85546875" style="412" bestFit="1" customWidth="1"/>
    <col min="10763" max="10766" width="8.42578125" style="412" bestFit="1" customWidth="1"/>
    <col min="10767" max="10767" width="8.85546875" style="412" customWidth="1"/>
    <col min="10768" max="10768" width="10.140625" style="412" bestFit="1" customWidth="1"/>
    <col min="10769" max="11008" width="8" style="412"/>
    <col min="11009" max="11009" width="2.85546875" style="412" customWidth="1"/>
    <col min="11010" max="11010" width="32.42578125" style="412" bestFit="1" customWidth="1"/>
    <col min="11011" max="11011" width="9.85546875" style="412" bestFit="1" customWidth="1"/>
    <col min="11012" max="11012" width="8.85546875" style="412" bestFit="1" customWidth="1"/>
    <col min="11013" max="11013" width="7.42578125" style="412" bestFit="1" customWidth="1"/>
    <col min="11014" max="11014" width="8.7109375" style="412" customWidth="1"/>
    <col min="11015" max="11015" width="8" style="412" bestFit="1" customWidth="1"/>
    <col min="11016" max="11017" width="7.42578125" style="412" bestFit="1" customWidth="1"/>
    <col min="11018" max="11018" width="8.85546875" style="412" bestFit="1" customWidth="1"/>
    <col min="11019" max="11022" width="8.42578125" style="412" bestFit="1" customWidth="1"/>
    <col min="11023" max="11023" width="8.85546875" style="412" customWidth="1"/>
    <col min="11024" max="11024" width="10.140625" style="412" bestFit="1" customWidth="1"/>
    <col min="11025" max="11264" width="8" style="412"/>
    <col min="11265" max="11265" width="2.85546875" style="412" customWidth="1"/>
    <col min="11266" max="11266" width="32.42578125" style="412" bestFit="1" customWidth="1"/>
    <col min="11267" max="11267" width="9.85546875" style="412" bestFit="1" customWidth="1"/>
    <col min="11268" max="11268" width="8.85546875" style="412" bestFit="1" customWidth="1"/>
    <col min="11269" max="11269" width="7.42578125" style="412" bestFit="1" customWidth="1"/>
    <col min="11270" max="11270" width="8.7109375" style="412" customWidth="1"/>
    <col min="11271" max="11271" width="8" style="412" bestFit="1" customWidth="1"/>
    <col min="11272" max="11273" width="7.42578125" style="412" bestFit="1" customWidth="1"/>
    <col min="11274" max="11274" width="8.85546875" style="412" bestFit="1" customWidth="1"/>
    <col min="11275" max="11278" width="8.42578125" style="412" bestFit="1" customWidth="1"/>
    <col min="11279" max="11279" width="8.85546875" style="412" customWidth="1"/>
    <col min="11280" max="11280" width="10.140625" style="412" bestFit="1" customWidth="1"/>
    <col min="11281" max="11520" width="8" style="412"/>
    <col min="11521" max="11521" width="2.85546875" style="412" customWidth="1"/>
    <col min="11522" max="11522" width="32.42578125" style="412" bestFit="1" customWidth="1"/>
    <col min="11523" max="11523" width="9.85546875" style="412" bestFit="1" customWidth="1"/>
    <col min="11524" max="11524" width="8.85546875" style="412" bestFit="1" customWidth="1"/>
    <col min="11525" max="11525" width="7.42578125" style="412" bestFit="1" customWidth="1"/>
    <col min="11526" max="11526" width="8.7109375" style="412" customWidth="1"/>
    <col min="11527" max="11527" width="8" style="412" bestFit="1" customWidth="1"/>
    <col min="11528" max="11529" width="7.42578125" style="412" bestFit="1" customWidth="1"/>
    <col min="11530" max="11530" width="8.85546875" style="412" bestFit="1" customWidth="1"/>
    <col min="11531" max="11534" width="8.42578125" style="412" bestFit="1" customWidth="1"/>
    <col min="11535" max="11535" width="8.85546875" style="412" customWidth="1"/>
    <col min="11536" max="11536" width="10.140625" style="412" bestFit="1" customWidth="1"/>
    <col min="11537" max="11776" width="8" style="412"/>
    <col min="11777" max="11777" width="2.85546875" style="412" customWidth="1"/>
    <col min="11778" max="11778" width="32.42578125" style="412" bestFit="1" customWidth="1"/>
    <col min="11779" max="11779" width="9.85546875" style="412" bestFit="1" customWidth="1"/>
    <col min="11780" max="11780" width="8.85546875" style="412" bestFit="1" customWidth="1"/>
    <col min="11781" max="11781" width="7.42578125" style="412" bestFit="1" customWidth="1"/>
    <col min="11782" max="11782" width="8.7109375" style="412" customWidth="1"/>
    <col min="11783" max="11783" width="8" style="412" bestFit="1" customWidth="1"/>
    <col min="11784" max="11785" width="7.42578125" style="412" bestFit="1" customWidth="1"/>
    <col min="11786" max="11786" width="8.85546875" style="412" bestFit="1" customWidth="1"/>
    <col min="11787" max="11790" width="8.42578125" style="412" bestFit="1" customWidth="1"/>
    <col min="11791" max="11791" width="8.85546875" style="412" customWidth="1"/>
    <col min="11792" max="11792" width="10.140625" style="412" bestFit="1" customWidth="1"/>
    <col min="11793" max="12032" width="8" style="412"/>
    <col min="12033" max="12033" width="2.85546875" style="412" customWidth="1"/>
    <col min="12034" max="12034" width="32.42578125" style="412" bestFit="1" customWidth="1"/>
    <col min="12035" max="12035" width="9.85546875" style="412" bestFit="1" customWidth="1"/>
    <col min="12036" max="12036" width="8.85546875" style="412" bestFit="1" customWidth="1"/>
    <col min="12037" max="12037" width="7.42578125" style="412" bestFit="1" customWidth="1"/>
    <col min="12038" max="12038" width="8.7109375" style="412" customWidth="1"/>
    <col min="12039" max="12039" width="8" style="412" bestFit="1" customWidth="1"/>
    <col min="12040" max="12041" width="7.42578125" style="412" bestFit="1" customWidth="1"/>
    <col min="12042" max="12042" width="8.85546875" style="412" bestFit="1" customWidth="1"/>
    <col min="12043" max="12046" width="8.42578125" style="412" bestFit="1" customWidth="1"/>
    <col min="12047" max="12047" width="8.85546875" style="412" customWidth="1"/>
    <col min="12048" max="12048" width="10.140625" style="412" bestFit="1" customWidth="1"/>
    <col min="12049" max="12288" width="8" style="412"/>
    <col min="12289" max="12289" width="2.85546875" style="412" customWidth="1"/>
    <col min="12290" max="12290" width="32.42578125" style="412" bestFit="1" customWidth="1"/>
    <col min="12291" max="12291" width="9.85546875" style="412" bestFit="1" customWidth="1"/>
    <col min="12292" max="12292" width="8.85546875" style="412" bestFit="1" customWidth="1"/>
    <col min="12293" max="12293" width="7.42578125" style="412" bestFit="1" customWidth="1"/>
    <col min="12294" max="12294" width="8.7109375" style="412" customWidth="1"/>
    <col min="12295" max="12295" width="8" style="412" bestFit="1" customWidth="1"/>
    <col min="12296" max="12297" width="7.42578125" style="412" bestFit="1" customWidth="1"/>
    <col min="12298" max="12298" width="8.85546875" style="412" bestFit="1" customWidth="1"/>
    <col min="12299" max="12302" width="8.42578125" style="412" bestFit="1" customWidth="1"/>
    <col min="12303" max="12303" width="8.85546875" style="412" customWidth="1"/>
    <col min="12304" max="12304" width="10.140625" style="412" bestFit="1" customWidth="1"/>
    <col min="12305" max="12544" width="8" style="412"/>
    <col min="12545" max="12545" width="2.85546875" style="412" customWidth="1"/>
    <col min="12546" max="12546" width="32.42578125" style="412" bestFit="1" customWidth="1"/>
    <col min="12547" max="12547" width="9.85546875" style="412" bestFit="1" customWidth="1"/>
    <col min="12548" max="12548" width="8.85546875" style="412" bestFit="1" customWidth="1"/>
    <col min="12549" max="12549" width="7.42578125" style="412" bestFit="1" customWidth="1"/>
    <col min="12550" max="12550" width="8.7109375" style="412" customWidth="1"/>
    <col min="12551" max="12551" width="8" style="412" bestFit="1" customWidth="1"/>
    <col min="12552" max="12553" width="7.42578125" style="412" bestFit="1" customWidth="1"/>
    <col min="12554" max="12554" width="8.85546875" style="412" bestFit="1" customWidth="1"/>
    <col min="12555" max="12558" width="8.42578125" style="412" bestFit="1" customWidth="1"/>
    <col min="12559" max="12559" width="8.85546875" style="412" customWidth="1"/>
    <col min="12560" max="12560" width="10.140625" style="412" bestFit="1" customWidth="1"/>
    <col min="12561" max="12800" width="8" style="412"/>
    <col min="12801" max="12801" width="2.85546875" style="412" customWidth="1"/>
    <col min="12802" max="12802" width="32.42578125" style="412" bestFit="1" customWidth="1"/>
    <col min="12803" max="12803" width="9.85546875" style="412" bestFit="1" customWidth="1"/>
    <col min="12804" max="12804" width="8.85546875" style="412" bestFit="1" customWidth="1"/>
    <col min="12805" max="12805" width="7.42578125" style="412" bestFit="1" customWidth="1"/>
    <col min="12806" max="12806" width="8.7109375" style="412" customWidth="1"/>
    <col min="12807" max="12807" width="8" style="412" bestFit="1" customWidth="1"/>
    <col min="12808" max="12809" width="7.42578125" style="412" bestFit="1" customWidth="1"/>
    <col min="12810" max="12810" width="8.85546875" style="412" bestFit="1" customWidth="1"/>
    <col min="12811" max="12814" width="8.42578125" style="412" bestFit="1" customWidth="1"/>
    <col min="12815" max="12815" width="8.85546875" style="412" customWidth="1"/>
    <col min="12816" max="12816" width="10.140625" style="412" bestFit="1" customWidth="1"/>
    <col min="12817" max="13056" width="8" style="412"/>
    <col min="13057" max="13057" width="2.85546875" style="412" customWidth="1"/>
    <col min="13058" max="13058" width="32.42578125" style="412" bestFit="1" customWidth="1"/>
    <col min="13059" max="13059" width="9.85546875" style="412" bestFit="1" customWidth="1"/>
    <col min="13060" max="13060" width="8.85546875" style="412" bestFit="1" customWidth="1"/>
    <col min="13061" max="13061" width="7.42578125" style="412" bestFit="1" customWidth="1"/>
    <col min="13062" max="13062" width="8.7109375" style="412" customWidth="1"/>
    <col min="13063" max="13063" width="8" style="412" bestFit="1" customWidth="1"/>
    <col min="13064" max="13065" width="7.42578125" style="412" bestFit="1" customWidth="1"/>
    <col min="13066" max="13066" width="8.85546875" style="412" bestFit="1" customWidth="1"/>
    <col min="13067" max="13070" width="8.42578125" style="412" bestFit="1" customWidth="1"/>
    <col min="13071" max="13071" width="8.85546875" style="412" customWidth="1"/>
    <col min="13072" max="13072" width="10.140625" style="412" bestFit="1" customWidth="1"/>
    <col min="13073" max="13312" width="8" style="412"/>
    <col min="13313" max="13313" width="2.85546875" style="412" customWidth="1"/>
    <col min="13314" max="13314" width="32.42578125" style="412" bestFit="1" customWidth="1"/>
    <col min="13315" max="13315" width="9.85546875" style="412" bestFit="1" customWidth="1"/>
    <col min="13316" max="13316" width="8.85546875" style="412" bestFit="1" customWidth="1"/>
    <col min="13317" max="13317" width="7.42578125" style="412" bestFit="1" customWidth="1"/>
    <col min="13318" max="13318" width="8.7109375" style="412" customWidth="1"/>
    <col min="13319" max="13319" width="8" style="412" bestFit="1" customWidth="1"/>
    <col min="13320" max="13321" width="7.42578125" style="412" bestFit="1" customWidth="1"/>
    <col min="13322" max="13322" width="8.85546875" style="412" bestFit="1" customWidth="1"/>
    <col min="13323" max="13326" width="8.42578125" style="412" bestFit="1" customWidth="1"/>
    <col min="13327" max="13327" width="8.85546875" style="412" customWidth="1"/>
    <col min="13328" max="13328" width="10.140625" style="412" bestFit="1" customWidth="1"/>
    <col min="13329" max="13568" width="8" style="412"/>
    <col min="13569" max="13569" width="2.85546875" style="412" customWidth="1"/>
    <col min="13570" max="13570" width="32.42578125" style="412" bestFit="1" customWidth="1"/>
    <col min="13571" max="13571" width="9.85546875" style="412" bestFit="1" customWidth="1"/>
    <col min="13572" max="13572" width="8.85546875" style="412" bestFit="1" customWidth="1"/>
    <col min="13573" max="13573" width="7.42578125" style="412" bestFit="1" customWidth="1"/>
    <col min="13574" max="13574" width="8.7109375" style="412" customWidth="1"/>
    <col min="13575" max="13575" width="8" style="412" bestFit="1" customWidth="1"/>
    <col min="13576" max="13577" width="7.42578125" style="412" bestFit="1" customWidth="1"/>
    <col min="13578" max="13578" width="8.85546875" style="412" bestFit="1" customWidth="1"/>
    <col min="13579" max="13582" width="8.42578125" style="412" bestFit="1" customWidth="1"/>
    <col min="13583" max="13583" width="8.85546875" style="412" customWidth="1"/>
    <col min="13584" max="13584" width="10.140625" style="412" bestFit="1" customWidth="1"/>
    <col min="13585" max="13824" width="8" style="412"/>
    <col min="13825" max="13825" width="2.85546875" style="412" customWidth="1"/>
    <col min="13826" max="13826" width="32.42578125" style="412" bestFit="1" customWidth="1"/>
    <col min="13827" max="13827" width="9.85546875" style="412" bestFit="1" customWidth="1"/>
    <col min="13828" max="13828" width="8.85546875" style="412" bestFit="1" customWidth="1"/>
    <col min="13829" max="13829" width="7.42578125" style="412" bestFit="1" customWidth="1"/>
    <col min="13830" max="13830" width="8.7109375" style="412" customWidth="1"/>
    <col min="13831" max="13831" width="8" style="412" bestFit="1" customWidth="1"/>
    <col min="13832" max="13833" width="7.42578125" style="412" bestFit="1" customWidth="1"/>
    <col min="13834" max="13834" width="8.85546875" style="412" bestFit="1" customWidth="1"/>
    <col min="13835" max="13838" width="8.42578125" style="412" bestFit="1" customWidth="1"/>
    <col min="13839" max="13839" width="8.85546875" style="412" customWidth="1"/>
    <col min="13840" max="13840" width="10.140625" style="412" bestFit="1" customWidth="1"/>
    <col min="13841" max="14080" width="8" style="412"/>
    <col min="14081" max="14081" width="2.85546875" style="412" customWidth="1"/>
    <col min="14082" max="14082" width="32.42578125" style="412" bestFit="1" customWidth="1"/>
    <col min="14083" max="14083" width="9.85546875" style="412" bestFit="1" customWidth="1"/>
    <col min="14084" max="14084" width="8.85546875" style="412" bestFit="1" customWidth="1"/>
    <col min="14085" max="14085" width="7.42578125" style="412" bestFit="1" customWidth="1"/>
    <col min="14086" max="14086" width="8.7109375" style="412" customWidth="1"/>
    <col min="14087" max="14087" width="8" style="412" bestFit="1" customWidth="1"/>
    <col min="14088" max="14089" width="7.42578125" style="412" bestFit="1" customWidth="1"/>
    <col min="14090" max="14090" width="8.85546875" style="412" bestFit="1" customWidth="1"/>
    <col min="14091" max="14094" width="8.42578125" style="412" bestFit="1" customWidth="1"/>
    <col min="14095" max="14095" width="8.85546875" style="412" customWidth="1"/>
    <col min="14096" max="14096" width="10.140625" style="412" bestFit="1" customWidth="1"/>
    <col min="14097" max="14336" width="8" style="412"/>
    <col min="14337" max="14337" width="2.85546875" style="412" customWidth="1"/>
    <col min="14338" max="14338" width="32.42578125" style="412" bestFit="1" customWidth="1"/>
    <col min="14339" max="14339" width="9.85546875" style="412" bestFit="1" customWidth="1"/>
    <col min="14340" max="14340" width="8.85546875" style="412" bestFit="1" customWidth="1"/>
    <col min="14341" max="14341" width="7.42578125" style="412" bestFit="1" customWidth="1"/>
    <col min="14342" max="14342" width="8.7109375" style="412" customWidth="1"/>
    <col min="14343" max="14343" width="8" style="412" bestFit="1" customWidth="1"/>
    <col min="14344" max="14345" width="7.42578125" style="412" bestFit="1" customWidth="1"/>
    <col min="14346" max="14346" width="8.85546875" style="412" bestFit="1" customWidth="1"/>
    <col min="14347" max="14350" width="8.42578125" style="412" bestFit="1" customWidth="1"/>
    <col min="14351" max="14351" width="8.85546875" style="412" customWidth="1"/>
    <col min="14352" max="14352" width="10.140625" style="412" bestFit="1" customWidth="1"/>
    <col min="14353" max="14592" width="8" style="412"/>
    <col min="14593" max="14593" width="2.85546875" style="412" customWidth="1"/>
    <col min="14594" max="14594" width="32.42578125" style="412" bestFit="1" customWidth="1"/>
    <col min="14595" max="14595" width="9.85546875" style="412" bestFit="1" customWidth="1"/>
    <col min="14596" max="14596" width="8.85546875" style="412" bestFit="1" customWidth="1"/>
    <col min="14597" max="14597" width="7.42578125" style="412" bestFit="1" customWidth="1"/>
    <col min="14598" max="14598" width="8.7109375" style="412" customWidth="1"/>
    <col min="14599" max="14599" width="8" style="412" bestFit="1" customWidth="1"/>
    <col min="14600" max="14601" width="7.42578125" style="412" bestFit="1" customWidth="1"/>
    <col min="14602" max="14602" width="8.85546875" style="412" bestFit="1" customWidth="1"/>
    <col min="14603" max="14606" width="8.42578125" style="412" bestFit="1" customWidth="1"/>
    <col min="14607" max="14607" width="8.85546875" style="412" customWidth="1"/>
    <col min="14608" max="14608" width="10.140625" style="412" bestFit="1" customWidth="1"/>
    <col min="14609" max="14848" width="8" style="412"/>
    <col min="14849" max="14849" width="2.85546875" style="412" customWidth="1"/>
    <col min="14850" max="14850" width="32.42578125" style="412" bestFit="1" customWidth="1"/>
    <col min="14851" max="14851" width="9.85546875" style="412" bestFit="1" customWidth="1"/>
    <col min="14852" max="14852" width="8.85546875" style="412" bestFit="1" customWidth="1"/>
    <col min="14853" max="14853" width="7.42578125" style="412" bestFit="1" customWidth="1"/>
    <col min="14854" max="14854" width="8.7109375" style="412" customWidth="1"/>
    <col min="14855" max="14855" width="8" style="412" bestFit="1" customWidth="1"/>
    <col min="14856" max="14857" width="7.42578125" style="412" bestFit="1" customWidth="1"/>
    <col min="14858" max="14858" width="8.85546875" style="412" bestFit="1" customWidth="1"/>
    <col min="14859" max="14862" width="8.42578125" style="412" bestFit="1" customWidth="1"/>
    <col min="14863" max="14863" width="8.85546875" style="412" customWidth="1"/>
    <col min="14864" max="14864" width="10.140625" style="412" bestFit="1" customWidth="1"/>
    <col min="14865" max="15104" width="8" style="412"/>
    <col min="15105" max="15105" width="2.85546875" style="412" customWidth="1"/>
    <col min="15106" max="15106" width="32.42578125" style="412" bestFit="1" customWidth="1"/>
    <col min="15107" max="15107" width="9.85546875" style="412" bestFit="1" customWidth="1"/>
    <col min="15108" max="15108" width="8.85546875" style="412" bestFit="1" customWidth="1"/>
    <col min="15109" max="15109" width="7.42578125" style="412" bestFit="1" customWidth="1"/>
    <col min="15110" max="15110" width="8.7109375" style="412" customWidth="1"/>
    <col min="15111" max="15111" width="8" style="412" bestFit="1" customWidth="1"/>
    <col min="15112" max="15113" width="7.42578125" style="412" bestFit="1" customWidth="1"/>
    <col min="15114" max="15114" width="8.85546875" style="412" bestFit="1" customWidth="1"/>
    <col min="15115" max="15118" width="8.42578125" style="412" bestFit="1" customWidth="1"/>
    <col min="15119" max="15119" width="8.85546875" style="412" customWidth="1"/>
    <col min="15120" max="15120" width="10.140625" style="412" bestFit="1" customWidth="1"/>
    <col min="15121" max="15360" width="8" style="412"/>
    <col min="15361" max="15361" width="2.85546875" style="412" customWidth="1"/>
    <col min="15362" max="15362" width="32.42578125" style="412" bestFit="1" customWidth="1"/>
    <col min="15363" max="15363" width="9.85546875" style="412" bestFit="1" customWidth="1"/>
    <col min="15364" max="15364" width="8.85546875" style="412" bestFit="1" customWidth="1"/>
    <col min="15365" max="15365" width="7.42578125" style="412" bestFit="1" customWidth="1"/>
    <col min="15366" max="15366" width="8.7109375" style="412" customWidth="1"/>
    <col min="15367" max="15367" width="8" style="412" bestFit="1" customWidth="1"/>
    <col min="15368" max="15369" width="7.42578125" style="412" bestFit="1" customWidth="1"/>
    <col min="15370" max="15370" width="8.85546875" style="412" bestFit="1" customWidth="1"/>
    <col min="15371" max="15374" width="8.42578125" style="412" bestFit="1" customWidth="1"/>
    <col min="15375" max="15375" width="8.85546875" style="412" customWidth="1"/>
    <col min="15376" max="15376" width="10.140625" style="412" bestFit="1" customWidth="1"/>
    <col min="15377" max="15616" width="8" style="412"/>
    <col min="15617" max="15617" width="2.85546875" style="412" customWidth="1"/>
    <col min="15618" max="15618" width="32.42578125" style="412" bestFit="1" customWidth="1"/>
    <col min="15619" max="15619" width="9.85546875" style="412" bestFit="1" customWidth="1"/>
    <col min="15620" max="15620" width="8.85546875" style="412" bestFit="1" customWidth="1"/>
    <col min="15621" max="15621" width="7.42578125" style="412" bestFit="1" customWidth="1"/>
    <col min="15622" max="15622" width="8.7109375" style="412" customWidth="1"/>
    <col min="15623" max="15623" width="8" style="412" bestFit="1" customWidth="1"/>
    <col min="15624" max="15625" width="7.42578125" style="412" bestFit="1" customWidth="1"/>
    <col min="15626" max="15626" width="8.85546875" style="412" bestFit="1" customWidth="1"/>
    <col min="15627" max="15630" width="8.42578125" style="412" bestFit="1" customWidth="1"/>
    <col min="15631" max="15631" width="8.85546875" style="412" customWidth="1"/>
    <col min="15632" max="15632" width="10.140625" style="412" bestFit="1" customWidth="1"/>
    <col min="15633" max="15872" width="8" style="412"/>
    <col min="15873" max="15873" width="2.85546875" style="412" customWidth="1"/>
    <col min="15874" max="15874" width="32.42578125" style="412" bestFit="1" customWidth="1"/>
    <col min="15875" max="15875" width="9.85546875" style="412" bestFit="1" customWidth="1"/>
    <col min="15876" max="15876" width="8.85546875" style="412" bestFit="1" customWidth="1"/>
    <col min="15877" max="15877" width="7.42578125" style="412" bestFit="1" customWidth="1"/>
    <col min="15878" max="15878" width="8.7109375" style="412" customWidth="1"/>
    <col min="15879" max="15879" width="8" style="412" bestFit="1" customWidth="1"/>
    <col min="15880" max="15881" width="7.42578125" style="412" bestFit="1" customWidth="1"/>
    <col min="15882" max="15882" width="8.85546875" style="412" bestFit="1" customWidth="1"/>
    <col min="15883" max="15886" width="8.42578125" style="412" bestFit="1" customWidth="1"/>
    <col min="15887" max="15887" width="8.85546875" style="412" customWidth="1"/>
    <col min="15888" max="15888" width="10.140625" style="412" bestFit="1" customWidth="1"/>
    <col min="15889" max="16128" width="8" style="412"/>
    <col min="16129" max="16129" width="2.85546875" style="412" customWidth="1"/>
    <col min="16130" max="16130" width="32.42578125" style="412" bestFit="1" customWidth="1"/>
    <col min="16131" max="16131" width="9.85546875" style="412" bestFit="1" customWidth="1"/>
    <col min="16132" max="16132" width="8.85546875" style="412" bestFit="1" customWidth="1"/>
    <col min="16133" max="16133" width="7.42578125" style="412" bestFit="1" customWidth="1"/>
    <col min="16134" max="16134" width="8.7109375" style="412" customWidth="1"/>
    <col min="16135" max="16135" width="8" style="412" bestFit="1" customWidth="1"/>
    <col min="16136" max="16137" width="7.42578125" style="412" bestFit="1" customWidth="1"/>
    <col min="16138" max="16138" width="8.85546875" style="412" bestFit="1" customWidth="1"/>
    <col min="16139" max="16142" width="8.42578125" style="412" bestFit="1" customWidth="1"/>
    <col min="16143" max="16143" width="8.85546875" style="412" customWidth="1"/>
    <col min="16144" max="16144" width="10.140625" style="412" bestFit="1" customWidth="1"/>
    <col min="16145" max="16384" width="8" style="412"/>
  </cols>
  <sheetData>
    <row r="1" spans="1:17" s="389" customFormat="1" x14ac:dyDescent="0.2">
      <c r="A1" s="698" t="s">
        <v>1120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Q1" s="390"/>
    </row>
    <row r="2" spans="1:17" s="389" customFormat="1" x14ac:dyDescent="0.2">
      <c r="A2" s="699" t="s">
        <v>475</v>
      </c>
      <c r="B2" s="699"/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699"/>
      <c r="N2" s="699"/>
      <c r="O2" s="699"/>
      <c r="Q2" s="390"/>
    </row>
    <row r="3" spans="1:17" s="389" customFormat="1" x14ac:dyDescent="0.2">
      <c r="A3" s="391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392"/>
      <c r="Q3" s="390"/>
    </row>
    <row r="4" spans="1:17" s="389" customFormat="1" ht="8.25" customHeight="1" x14ac:dyDescent="0.2">
      <c r="A4" s="391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Q4" s="390"/>
    </row>
    <row r="5" spans="1:17" s="389" customFormat="1" x14ac:dyDescent="0.2"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605" t="s">
        <v>29</v>
      </c>
      <c r="Q5" s="390"/>
    </row>
    <row r="6" spans="1:17" s="389" customFormat="1" x14ac:dyDescent="0.2">
      <c r="A6" s="394"/>
      <c r="B6" s="394"/>
      <c r="C6" s="395" t="s">
        <v>441</v>
      </c>
      <c r="D6" s="395" t="s">
        <v>442</v>
      </c>
      <c r="E6" s="395" t="s">
        <v>443</v>
      </c>
      <c r="F6" s="395" t="s">
        <v>444</v>
      </c>
      <c r="G6" s="395" t="s">
        <v>445</v>
      </c>
      <c r="H6" s="395" t="s">
        <v>446</v>
      </c>
      <c r="I6" s="395" t="s">
        <v>447</v>
      </c>
      <c r="J6" s="395" t="s">
        <v>448</v>
      </c>
      <c r="K6" s="395" t="s">
        <v>449</v>
      </c>
      <c r="L6" s="395" t="s">
        <v>450</v>
      </c>
      <c r="M6" s="395" t="s">
        <v>451</v>
      </c>
      <c r="N6" s="395" t="s">
        <v>452</v>
      </c>
      <c r="O6" s="396" t="s">
        <v>253</v>
      </c>
      <c r="Q6" s="390"/>
    </row>
    <row r="7" spans="1:17" s="389" customFormat="1" x14ac:dyDescent="0.2">
      <c r="A7" s="397" t="s">
        <v>248</v>
      </c>
      <c r="B7" s="394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Q7" s="390"/>
    </row>
    <row r="8" spans="1:17" s="389" customFormat="1" x14ac:dyDescent="0.2">
      <c r="A8" s="394">
        <v>1</v>
      </c>
      <c r="B8" s="399" t="s">
        <v>453</v>
      </c>
      <c r="C8" s="398">
        <v>20500</v>
      </c>
      <c r="D8" s="398">
        <v>23500</v>
      </c>
      <c r="E8" s="398">
        <v>25500</v>
      </c>
      <c r="F8" s="398">
        <v>24500</v>
      </c>
      <c r="G8" s="398">
        <v>24100</v>
      </c>
      <c r="H8" s="398">
        <v>23800</v>
      </c>
      <c r="I8" s="398">
        <v>25000</v>
      </c>
      <c r="J8" s="398">
        <v>25000</v>
      </c>
      <c r="K8" s="398">
        <v>23700</v>
      </c>
      <c r="L8" s="398">
        <v>24000</v>
      </c>
      <c r="M8" s="398">
        <v>25600</v>
      </c>
      <c r="N8" s="398">
        <v>22847</v>
      </c>
      <c r="O8" s="400">
        <f t="shared" ref="O8:O16" si="0">SUM(C8:N8)</f>
        <v>288047</v>
      </c>
      <c r="P8" s="393"/>
      <c r="Q8" s="390"/>
    </row>
    <row r="9" spans="1:17" s="389" customFormat="1" x14ac:dyDescent="0.2">
      <c r="A9" s="394">
        <v>2</v>
      </c>
      <c r="B9" s="399" t="s">
        <v>69</v>
      </c>
      <c r="C9" s="398">
        <v>12000</v>
      </c>
      <c r="D9" s="398">
        <v>25000</v>
      </c>
      <c r="E9" s="398">
        <v>272000</v>
      </c>
      <c r="F9" s="398">
        <v>22000</v>
      </c>
      <c r="G9" s="398">
        <v>20000</v>
      </c>
      <c r="H9" s="398">
        <v>11465</v>
      </c>
      <c r="I9" s="398">
        <v>12620</v>
      </c>
      <c r="J9" s="398">
        <v>21543</v>
      </c>
      <c r="K9" s="398">
        <v>313000</v>
      </c>
      <c r="L9" s="398">
        <v>21000</v>
      </c>
      <c r="M9" s="398">
        <v>22000</v>
      </c>
      <c r="N9" s="398">
        <v>85372</v>
      </c>
      <c r="O9" s="400">
        <f t="shared" si="0"/>
        <v>838000</v>
      </c>
      <c r="P9" s="393"/>
      <c r="Q9" s="390"/>
    </row>
    <row r="10" spans="1:17" s="389" customFormat="1" x14ac:dyDescent="0.2">
      <c r="A10" s="394"/>
      <c r="B10" s="399" t="s">
        <v>454</v>
      </c>
      <c r="C10" s="398">
        <v>5500</v>
      </c>
      <c r="D10" s="398">
        <v>20000</v>
      </c>
      <c r="E10" s="398">
        <v>271500</v>
      </c>
      <c r="F10" s="398">
        <v>13000</v>
      </c>
      <c r="G10" s="398">
        <v>16000</v>
      </c>
      <c r="H10" s="398">
        <v>3500</v>
      </c>
      <c r="I10" s="398">
        <v>4500</v>
      </c>
      <c r="J10" s="398">
        <v>17000</v>
      </c>
      <c r="K10" s="398">
        <v>311000</v>
      </c>
      <c r="L10" s="398">
        <v>14000</v>
      </c>
      <c r="M10" s="398">
        <v>15000</v>
      </c>
      <c r="N10" s="398">
        <v>85000</v>
      </c>
      <c r="O10" s="400">
        <f t="shared" si="0"/>
        <v>776000</v>
      </c>
      <c r="P10" s="393"/>
      <c r="Q10" s="390"/>
    </row>
    <row r="11" spans="1:17" s="389" customFormat="1" x14ac:dyDescent="0.2">
      <c r="A11" s="394">
        <v>3</v>
      </c>
      <c r="B11" s="399" t="s">
        <v>80</v>
      </c>
      <c r="C11" s="398">
        <v>19743</v>
      </c>
      <c r="D11" s="398">
        <v>29431</v>
      </c>
      <c r="E11" s="398">
        <v>28000</v>
      </c>
      <c r="F11" s="398">
        <v>45000</v>
      </c>
      <c r="G11" s="398">
        <v>50000</v>
      </c>
      <c r="H11" s="398">
        <v>43600</v>
      </c>
      <c r="I11" s="398">
        <v>40257</v>
      </c>
      <c r="J11" s="398">
        <v>44000</v>
      </c>
      <c r="K11" s="398">
        <v>34000</v>
      </c>
      <c r="L11" s="398">
        <v>38500</v>
      </c>
      <c r="M11" s="398">
        <v>32256</v>
      </c>
      <c r="N11" s="398">
        <v>32195</v>
      </c>
      <c r="O11" s="400">
        <f t="shared" si="0"/>
        <v>436982</v>
      </c>
      <c r="P11" s="393"/>
      <c r="Q11" s="390"/>
    </row>
    <row r="12" spans="1:17" s="389" customFormat="1" x14ac:dyDescent="0.2">
      <c r="A12" s="394">
        <v>4</v>
      </c>
      <c r="B12" s="399" t="s">
        <v>32</v>
      </c>
      <c r="C12" s="398">
        <v>133585</v>
      </c>
      <c r="D12" s="398">
        <v>89060</v>
      </c>
      <c r="E12" s="398">
        <v>89060</v>
      </c>
      <c r="F12" s="398">
        <v>89060</v>
      </c>
      <c r="G12" s="398">
        <v>89060</v>
      </c>
      <c r="H12" s="398">
        <v>89060</v>
      </c>
      <c r="I12" s="398">
        <v>89060</v>
      </c>
      <c r="J12" s="398">
        <v>89060</v>
      </c>
      <c r="K12" s="398">
        <v>89060</v>
      </c>
      <c r="L12" s="398">
        <v>89060</v>
      </c>
      <c r="M12" s="398">
        <v>89060</v>
      </c>
      <c r="N12" s="398">
        <v>89060</v>
      </c>
      <c r="O12" s="400">
        <f t="shared" si="0"/>
        <v>1113245</v>
      </c>
      <c r="P12" s="393"/>
      <c r="Q12" s="390"/>
    </row>
    <row r="13" spans="1:17" s="389" customFormat="1" ht="25.5" x14ac:dyDescent="0.2">
      <c r="A13" s="394">
        <v>5</v>
      </c>
      <c r="B13" s="401" t="s">
        <v>455</v>
      </c>
      <c r="C13" s="398">
        <f t="shared" ref="C13:N13" si="1">SUM(C14:C15)</f>
        <v>11500</v>
      </c>
      <c r="D13" s="398">
        <f t="shared" si="1"/>
        <v>13500</v>
      </c>
      <c r="E13" s="398">
        <f t="shared" si="1"/>
        <v>22500</v>
      </c>
      <c r="F13" s="398">
        <f t="shared" si="1"/>
        <v>14500</v>
      </c>
      <c r="G13" s="398">
        <f t="shared" si="1"/>
        <v>18900</v>
      </c>
      <c r="H13" s="398">
        <f t="shared" si="1"/>
        <v>102500</v>
      </c>
      <c r="I13" s="398">
        <f t="shared" si="1"/>
        <v>18500</v>
      </c>
      <c r="J13" s="398">
        <f t="shared" si="1"/>
        <v>21000</v>
      </c>
      <c r="K13" s="398">
        <f t="shared" si="1"/>
        <v>163975</v>
      </c>
      <c r="L13" s="398">
        <f t="shared" si="1"/>
        <v>133353</v>
      </c>
      <c r="M13" s="398">
        <f t="shared" si="1"/>
        <v>27400</v>
      </c>
      <c r="N13" s="398">
        <f t="shared" si="1"/>
        <v>51903</v>
      </c>
      <c r="O13" s="400">
        <f t="shared" si="0"/>
        <v>599531</v>
      </c>
      <c r="P13" s="393"/>
      <c r="Q13" s="390"/>
    </row>
    <row r="14" spans="1:17" s="389" customFormat="1" x14ac:dyDescent="0.2">
      <c r="A14" s="394"/>
      <c r="B14" s="399" t="s">
        <v>456</v>
      </c>
      <c r="C14" s="398">
        <v>6500</v>
      </c>
      <c r="D14" s="398">
        <v>5500</v>
      </c>
      <c r="E14" s="398">
        <v>10500</v>
      </c>
      <c r="F14" s="398">
        <v>6500</v>
      </c>
      <c r="G14" s="398">
        <v>8900</v>
      </c>
      <c r="H14" s="398">
        <v>12500</v>
      </c>
      <c r="I14" s="398">
        <v>8500</v>
      </c>
      <c r="J14" s="398">
        <v>9000</v>
      </c>
      <c r="K14" s="398">
        <v>78975</v>
      </c>
      <c r="L14" s="398">
        <v>68353</v>
      </c>
      <c r="M14" s="398">
        <v>12400</v>
      </c>
      <c r="N14" s="398">
        <v>8550</v>
      </c>
      <c r="O14" s="400">
        <f t="shared" si="0"/>
        <v>236178</v>
      </c>
      <c r="P14" s="393"/>
      <c r="Q14" s="390"/>
    </row>
    <row r="15" spans="1:17" s="389" customFormat="1" x14ac:dyDescent="0.2">
      <c r="A15" s="394"/>
      <c r="B15" s="399" t="s">
        <v>457</v>
      </c>
      <c r="C15" s="398">
        <v>5000</v>
      </c>
      <c r="D15" s="398">
        <v>8000</v>
      </c>
      <c r="E15" s="398">
        <v>12000</v>
      </c>
      <c r="F15" s="398">
        <v>8000</v>
      </c>
      <c r="G15" s="398">
        <v>10000</v>
      </c>
      <c r="H15" s="398">
        <v>90000</v>
      </c>
      <c r="I15" s="398">
        <v>10000</v>
      </c>
      <c r="J15" s="398">
        <v>12000</v>
      </c>
      <c r="K15" s="398">
        <v>85000</v>
      </c>
      <c r="L15" s="398">
        <v>65000</v>
      </c>
      <c r="M15" s="398">
        <v>15000</v>
      </c>
      <c r="N15" s="398">
        <v>43353</v>
      </c>
      <c r="O15" s="400">
        <f t="shared" si="0"/>
        <v>363353</v>
      </c>
      <c r="P15" s="393"/>
      <c r="Q15" s="390"/>
    </row>
    <row r="16" spans="1:17" s="389" customFormat="1" x14ac:dyDescent="0.2">
      <c r="A16" s="394">
        <v>6</v>
      </c>
      <c r="B16" s="402" t="s">
        <v>3</v>
      </c>
      <c r="C16" s="398">
        <v>0</v>
      </c>
      <c r="D16" s="398">
        <v>0</v>
      </c>
      <c r="E16" s="398">
        <v>0</v>
      </c>
      <c r="F16" s="398">
        <v>0</v>
      </c>
      <c r="G16" s="398">
        <v>0</v>
      </c>
      <c r="H16" s="398">
        <v>26050</v>
      </c>
      <c r="I16" s="398">
        <v>0</v>
      </c>
      <c r="J16" s="398">
        <v>0</v>
      </c>
      <c r="K16" s="398">
        <v>0</v>
      </c>
      <c r="L16" s="398">
        <v>0</v>
      </c>
      <c r="M16" s="398">
        <v>0</v>
      </c>
      <c r="N16" s="398">
        <v>7000</v>
      </c>
      <c r="O16" s="400">
        <f t="shared" si="0"/>
        <v>33050</v>
      </c>
      <c r="P16" s="393"/>
      <c r="Q16" s="390"/>
    </row>
    <row r="17" spans="1:17" s="389" customFormat="1" x14ac:dyDescent="0.2">
      <c r="A17" s="394">
        <v>7</v>
      </c>
      <c r="B17" s="394" t="s">
        <v>458</v>
      </c>
      <c r="C17" s="398">
        <f t="shared" ref="C17:O17" si="2">C8+C9+C11+C12+C13+C16</f>
        <v>197328</v>
      </c>
      <c r="D17" s="398">
        <f t="shared" si="2"/>
        <v>180491</v>
      </c>
      <c r="E17" s="398">
        <f t="shared" si="2"/>
        <v>437060</v>
      </c>
      <c r="F17" s="398">
        <f t="shared" si="2"/>
        <v>195060</v>
      </c>
      <c r="G17" s="398">
        <f t="shared" si="2"/>
        <v>202060</v>
      </c>
      <c r="H17" s="398">
        <f t="shared" si="2"/>
        <v>296475</v>
      </c>
      <c r="I17" s="398">
        <f t="shared" si="2"/>
        <v>185437</v>
      </c>
      <c r="J17" s="398">
        <f t="shared" si="2"/>
        <v>200603</v>
      </c>
      <c r="K17" s="398">
        <f t="shared" si="2"/>
        <v>623735</v>
      </c>
      <c r="L17" s="398">
        <f t="shared" si="2"/>
        <v>305913</v>
      </c>
      <c r="M17" s="398">
        <f t="shared" si="2"/>
        <v>196316</v>
      </c>
      <c r="N17" s="398">
        <f t="shared" si="2"/>
        <v>288377</v>
      </c>
      <c r="O17" s="400">
        <f t="shared" si="2"/>
        <v>3308855</v>
      </c>
      <c r="P17" s="393"/>
      <c r="Q17" s="390"/>
    </row>
    <row r="18" spans="1:17" s="405" customFormat="1" ht="25.5" x14ac:dyDescent="0.2">
      <c r="A18" s="403">
        <v>8</v>
      </c>
      <c r="B18" s="402" t="s">
        <v>459</v>
      </c>
      <c r="C18" s="404">
        <v>449809</v>
      </c>
      <c r="D18" s="404">
        <v>0</v>
      </c>
      <c r="E18" s="404">
        <v>237500</v>
      </c>
      <c r="F18" s="404">
        <v>0</v>
      </c>
      <c r="G18" s="404">
        <v>0</v>
      </c>
      <c r="H18" s="404">
        <v>0</v>
      </c>
      <c r="I18" s="404">
        <v>0</v>
      </c>
      <c r="J18" s="404">
        <v>0</v>
      </c>
      <c r="K18" s="404">
        <v>0</v>
      </c>
      <c r="L18" s="404">
        <v>0</v>
      </c>
      <c r="M18" s="404">
        <v>0</v>
      </c>
      <c r="N18" s="404">
        <v>0</v>
      </c>
      <c r="O18" s="400">
        <f>SUM(C18:N18)</f>
        <v>687309</v>
      </c>
      <c r="P18" s="390"/>
      <c r="Q18" s="390"/>
    </row>
    <row r="19" spans="1:17" s="405" customFormat="1" x14ac:dyDescent="0.2">
      <c r="A19" s="403"/>
      <c r="B19" s="403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390"/>
      <c r="Q19" s="390"/>
    </row>
    <row r="20" spans="1:17" s="389" customFormat="1" x14ac:dyDescent="0.2">
      <c r="A20" s="397">
        <v>9</v>
      </c>
      <c r="B20" s="397" t="s">
        <v>460</v>
      </c>
      <c r="C20" s="406">
        <f t="shared" ref="C20:O20" si="3">C17+C18</f>
        <v>647137</v>
      </c>
      <c r="D20" s="406">
        <f t="shared" si="3"/>
        <v>180491</v>
      </c>
      <c r="E20" s="406">
        <f t="shared" si="3"/>
        <v>674560</v>
      </c>
      <c r="F20" s="406">
        <f t="shared" si="3"/>
        <v>195060</v>
      </c>
      <c r="G20" s="406">
        <f t="shared" si="3"/>
        <v>202060</v>
      </c>
      <c r="H20" s="406">
        <f t="shared" si="3"/>
        <v>296475</v>
      </c>
      <c r="I20" s="406">
        <f t="shared" si="3"/>
        <v>185437</v>
      </c>
      <c r="J20" s="406">
        <f t="shared" si="3"/>
        <v>200603</v>
      </c>
      <c r="K20" s="406">
        <f t="shared" si="3"/>
        <v>623735</v>
      </c>
      <c r="L20" s="406">
        <f t="shared" si="3"/>
        <v>305913</v>
      </c>
      <c r="M20" s="406">
        <f t="shared" si="3"/>
        <v>196316</v>
      </c>
      <c r="N20" s="406">
        <f t="shared" si="3"/>
        <v>288377</v>
      </c>
      <c r="O20" s="406">
        <f t="shared" si="3"/>
        <v>3996164</v>
      </c>
      <c r="P20" s="393"/>
      <c r="Q20" s="390"/>
    </row>
    <row r="21" spans="1:17" s="389" customFormat="1" x14ac:dyDescent="0.2">
      <c r="A21" s="407"/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Q21" s="390"/>
    </row>
    <row r="22" spans="1:17" s="389" customFormat="1" x14ac:dyDescent="0.2">
      <c r="A22" s="397" t="s">
        <v>274</v>
      </c>
      <c r="B22" s="394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10"/>
      <c r="P22" s="411"/>
      <c r="Q22" s="390"/>
    </row>
    <row r="23" spans="1:17" s="389" customFormat="1" x14ac:dyDescent="0.2">
      <c r="A23" s="394">
        <v>10</v>
      </c>
      <c r="B23" s="399" t="s">
        <v>461</v>
      </c>
      <c r="C23" s="398">
        <v>70650</v>
      </c>
      <c r="D23" s="398">
        <v>71250</v>
      </c>
      <c r="E23" s="398">
        <v>70400</v>
      </c>
      <c r="F23" s="398">
        <v>69400</v>
      </c>
      <c r="G23" s="398">
        <v>70650</v>
      </c>
      <c r="H23" s="398">
        <v>67900</v>
      </c>
      <c r="I23" s="398">
        <v>68900</v>
      </c>
      <c r="J23" s="398">
        <v>68900</v>
      </c>
      <c r="K23" s="398">
        <v>67750</v>
      </c>
      <c r="L23" s="398">
        <v>69400</v>
      </c>
      <c r="M23" s="398">
        <v>69700</v>
      </c>
      <c r="N23" s="398">
        <v>66838</v>
      </c>
      <c r="O23" s="400">
        <f>SUM(C23:N23)</f>
        <v>831738</v>
      </c>
      <c r="P23" s="393"/>
      <c r="Q23" s="390"/>
    </row>
    <row r="24" spans="1:17" s="389" customFormat="1" x14ac:dyDescent="0.2">
      <c r="A24" s="394">
        <v>11</v>
      </c>
      <c r="B24" s="399" t="s">
        <v>462</v>
      </c>
      <c r="C24" s="398">
        <v>13528</v>
      </c>
      <c r="D24" s="398">
        <v>13643</v>
      </c>
      <c r="E24" s="398">
        <v>13480</v>
      </c>
      <c r="F24" s="398">
        <v>13288</v>
      </c>
      <c r="G24" s="398">
        <v>13528</v>
      </c>
      <c r="H24" s="398">
        <v>13001</v>
      </c>
      <c r="I24" s="398">
        <v>13193</v>
      </c>
      <c r="J24" s="398">
        <v>13193</v>
      </c>
      <c r="K24" s="398">
        <v>12972</v>
      </c>
      <c r="L24" s="398">
        <v>13288</v>
      </c>
      <c r="M24" s="398">
        <v>13346</v>
      </c>
      <c r="N24" s="398">
        <v>13710</v>
      </c>
      <c r="O24" s="400">
        <f>SUM(C24:N24)</f>
        <v>160170</v>
      </c>
      <c r="P24" s="393"/>
      <c r="Q24" s="390"/>
    </row>
    <row r="25" spans="1:17" s="389" customFormat="1" x14ac:dyDescent="0.2">
      <c r="A25" s="394">
        <v>12</v>
      </c>
      <c r="B25" s="399" t="s">
        <v>463</v>
      </c>
      <c r="C25" s="398">
        <v>83400</v>
      </c>
      <c r="D25" s="398">
        <v>84650</v>
      </c>
      <c r="E25" s="398">
        <v>82200</v>
      </c>
      <c r="F25" s="398">
        <v>93850</v>
      </c>
      <c r="G25" s="398">
        <v>87100</v>
      </c>
      <c r="H25" s="398">
        <v>84650</v>
      </c>
      <c r="I25" s="398">
        <v>85900</v>
      </c>
      <c r="J25" s="398">
        <v>88350</v>
      </c>
      <c r="K25" s="398">
        <v>85900</v>
      </c>
      <c r="L25" s="398">
        <v>87100</v>
      </c>
      <c r="M25" s="398">
        <v>90800</v>
      </c>
      <c r="N25" s="398">
        <v>87943</v>
      </c>
      <c r="O25" s="400">
        <f>SUM(C25:N25)</f>
        <v>1041843</v>
      </c>
      <c r="P25" s="393"/>
      <c r="Q25" s="390"/>
    </row>
    <row r="26" spans="1:17" s="389" customFormat="1" x14ac:dyDescent="0.2">
      <c r="A26" s="394">
        <v>13</v>
      </c>
      <c r="B26" s="399" t="s">
        <v>56</v>
      </c>
      <c r="C26" s="398">
        <v>3500</v>
      </c>
      <c r="D26" s="398">
        <v>3200</v>
      </c>
      <c r="E26" s="398">
        <v>14168</v>
      </c>
      <c r="F26" s="398">
        <v>3500</v>
      </c>
      <c r="G26" s="398">
        <v>3200</v>
      </c>
      <c r="H26" s="398">
        <v>5000</v>
      </c>
      <c r="I26" s="398">
        <v>2895</v>
      </c>
      <c r="J26" s="398">
        <v>3100</v>
      </c>
      <c r="K26" s="398">
        <v>3300</v>
      </c>
      <c r="L26" s="398">
        <v>3100</v>
      </c>
      <c r="M26" s="398">
        <v>4005</v>
      </c>
      <c r="N26" s="398">
        <v>4801</v>
      </c>
      <c r="O26" s="400">
        <f>SUM(C26:N26)</f>
        <v>53769</v>
      </c>
      <c r="P26" s="393"/>
      <c r="Q26" s="390"/>
    </row>
    <row r="27" spans="1:17" s="389" customFormat="1" x14ac:dyDescent="0.2">
      <c r="A27" s="394">
        <v>14</v>
      </c>
      <c r="B27" s="399" t="s">
        <v>464</v>
      </c>
      <c r="C27" s="398">
        <v>52000</v>
      </c>
      <c r="D27" s="398">
        <v>54000</v>
      </c>
      <c r="E27" s="398">
        <v>51000</v>
      </c>
      <c r="F27" s="398">
        <v>51000</v>
      </c>
      <c r="G27" s="398">
        <v>50500</v>
      </c>
      <c r="H27" s="398">
        <v>53500</v>
      </c>
      <c r="I27" s="398">
        <v>58500</v>
      </c>
      <c r="J27" s="398">
        <v>53500</v>
      </c>
      <c r="K27" s="398">
        <v>52500</v>
      </c>
      <c r="L27" s="398">
        <v>53000</v>
      </c>
      <c r="M27" s="398">
        <v>53000</v>
      </c>
      <c r="N27" s="398">
        <v>56532</v>
      </c>
      <c r="O27" s="400">
        <f>SUM(C27:N27)</f>
        <v>639032</v>
      </c>
      <c r="P27" s="393"/>
      <c r="Q27" s="390"/>
    </row>
    <row r="28" spans="1:17" s="389" customFormat="1" x14ac:dyDescent="0.2">
      <c r="A28" s="394">
        <v>15</v>
      </c>
      <c r="B28" s="399" t="s">
        <v>465</v>
      </c>
      <c r="C28" s="398">
        <f t="shared" ref="C28:O28" si="4">C23+C24+C25+C26+C27</f>
        <v>223078</v>
      </c>
      <c r="D28" s="398">
        <f t="shared" si="4"/>
        <v>226743</v>
      </c>
      <c r="E28" s="398">
        <f t="shared" si="4"/>
        <v>231248</v>
      </c>
      <c r="F28" s="398">
        <f t="shared" si="4"/>
        <v>231038</v>
      </c>
      <c r="G28" s="398">
        <f t="shared" si="4"/>
        <v>224978</v>
      </c>
      <c r="H28" s="398">
        <f t="shared" si="4"/>
        <v>224051</v>
      </c>
      <c r="I28" s="398">
        <f t="shared" si="4"/>
        <v>229388</v>
      </c>
      <c r="J28" s="398">
        <f t="shared" si="4"/>
        <v>227043</v>
      </c>
      <c r="K28" s="398">
        <f t="shared" si="4"/>
        <v>222422</v>
      </c>
      <c r="L28" s="398">
        <f t="shared" si="4"/>
        <v>225888</v>
      </c>
      <c r="M28" s="398">
        <f t="shared" si="4"/>
        <v>230851</v>
      </c>
      <c r="N28" s="398">
        <f t="shared" si="4"/>
        <v>229824</v>
      </c>
      <c r="O28" s="400">
        <f t="shared" si="4"/>
        <v>2726552</v>
      </c>
      <c r="P28" s="393"/>
      <c r="Q28" s="390"/>
    </row>
    <row r="29" spans="1:17" s="389" customFormat="1" x14ac:dyDescent="0.2">
      <c r="A29" s="394">
        <v>16</v>
      </c>
      <c r="B29" s="399" t="s">
        <v>24</v>
      </c>
      <c r="C29" s="398">
        <v>39623</v>
      </c>
      <c r="D29" s="398">
        <v>18000</v>
      </c>
      <c r="E29" s="398">
        <v>8500</v>
      </c>
      <c r="F29" s="398">
        <v>12000</v>
      </c>
      <c r="G29" s="398">
        <v>15000</v>
      </c>
      <c r="H29" s="398">
        <v>35000</v>
      </c>
      <c r="I29" s="398">
        <v>6362</v>
      </c>
      <c r="J29" s="398">
        <v>72000</v>
      </c>
      <c r="K29" s="398">
        <v>88151</v>
      </c>
      <c r="L29" s="398">
        <v>16000</v>
      </c>
      <c r="M29" s="398">
        <v>24267</v>
      </c>
      <c r="N29" s="398">
        <v>30543</v>
      </c>
      <c r="O29" s="400">
        <f>SUM(C29:N29)</f>
        <v>365446</v>
      </c>
      <c r="P29" s="393"/>
      <c r="Q29" s="390"/>
    </row>
    <row r="30" spans="1:17" s="389" customFormat="1" x14ac:dyDescent="0.2">
      <c r="A30" s="394">
        <v>17</v>
      </c>
      <c r="B30" s="399" t="s">
        <v>58</v>
      </c>
      <c r="C30" s="398">
        <v>1650</v>
      </c>
      <c r="D30" s="398">
        <v>7500</v>
      </c>
      <c r="E30" s="398">
        <v>23000</v>
      </c>
      <c r="F30" s="398">
        <v>74934</v>
      </c>
      <c r="G30" s="398">
        <v>78000</v>
      </c>
      <c r="H30" s="398">
        <v>85000</v>
      </c>
      <c r="I30" s="398">
        <v>105000</v>
      </c>
      <c r="J30" s="398">
        <v>15000</v>
      </c>
      <c r="K30" s="398">
        <v>45000</v>
      </c>
      <c r="L30" s="398">
        <v>65000</v>
      </c>
      <c r="M30" s="398">
        <v>88000</v>
      </c>
      <c r="N30" s="398">
        <v>68005</v>
      </c>
      <c r="O30" s="400">
        <f>SUM(C30:N30)</f>
        <v>656089</v>
      </c>
      <c r="P30" s="393"/>
      <c r="Q30" s="390"/>
    </row>
    <row r="31" spans="1:17" s="389" customFormat="1" x14ac:dyDescent="0.2">
      <c r="A31" s="394">
        <v>18</v>
      </c>
      <c r="B31" s="399" t="s">
        <v>466</v>
      </c>
      <c r="C31" s="398">
        <v>0</v>
      </c>
      <c r="D31" s="398">
        <v>1500</v>
      </c>
      <c r="E31" s="398">
        <v>1000</v>
      </c>
      <c r="F31" s="398">
        <v>1000</v>
      </c>
      <c r="G31" s="398">
        <v>3500</v>
      </c>
      <c r="H31" s="398">
        <v>1500</v>
      </c>
      <c r="I31" s="398">
        <v>3500</v>
      </c>
      <c r="J31" s="398">
        <v>500</v>
      </c>
      <c r="K31" s="398">
        <v>1710</v>
      </c>
      <c r="L31" s="398">
        <v>2500</v>
      </c>
      <c r="M31" s="398">
        <v>500</v>
      </c>
      <c r="N31" s="398">
        <v>5805</v>
      </c>
      <c r="O31" s="400">
        <f>SUM(C31:N31)</f>
        <v>23015</v>
      </c>
      <c r="P31" s="393"/>
      <c r="Q31" s="390"/>
    </row>
    <row r="32" spans="1:17" s="389" customFormat="1" x14ac:dyDescent="0.2">
      <c r="A32" s="394">
        <v>19</v>
      </c>
      <c r="B32" s="399" t="s">
        <v>467</v>
      </c>
      <c r="C32" s="398">
        <f t="shared" ref="C32:O32" si="5">C29+C30+C31</f>
        <v>41273</v>
      </c>
      <c r="D32" s="398">
        <f t="shared" si="5"/>
        <v>27000</v>
      </c>
      <c r="E32" s="398">
        <f t="shared" si="5"/>
        <v>32500</v>
      </c>
      <c r="F32" s="398">
        <f t="shared" si="5"/>
        <v>87934</v>
      </c>
      <c r="G32" s="398">
        <f t="shared" si="5"/>
        <v>96500</v>
      </c>
      <c r="H32" s="398">
        <f t="shared" si="5"/>
        <v>121500</v>
      </c>
      <c r="I32" s="398">
        <f t="shared" si="5"/>
        <v>114862</v>
      </c>
      <c r="J32" s="398">
        <f t="shared" si="5"/>
        <v>87500</v>
      </c>
      <c r="K32" s="398">
        <f t="shared" si="5"/>
        <v>134861</v>
      </c>
      <c r="L32" s="398">
        <f t="shared" si="5"/>
        <v>83500</v>
      </c>
      <c r="M32" s="398">
        <f t="shared" si="5"/>
        <v>112767</v>
      </c>
      <c r="N32" s="398">
        <f t="shared" si="5"/>
        <v>104353</v>
      </c>
      <c r="O32" s="400">
        <f t="shared" si="5"/>
        <v>1044550</v>
      </c>
      <c r="P32" s="393"/>
      <c r="Q32" s="390"/>
    </row>
    <row r="33" spans="1:17" s="389" customFormat="1" x14ac:dyDescent="0.2">
      <c r="A33" s="394">
        <v>20</v>
      </c>
      <c r="B33" s="399" t="s">
        <v>468</v>
      </c>
      <c r="C33" s="400"/>
      <c r="D33" s="400"/>
      <c r="E33" s="400"/>
      <c r="F33" s="400"/>
      <c r="G33" s="400">
        <v>8000</v>
      </c>
      <c r="H33" s="400">
        <v>8000</v>
      </c>
      <c r="I33" s="400">
        <v>10000</v>
      </c>
      <c r="J33" s="400">
        <v>15000</v>
      </c>
      <c r="K33" s="400">
        <v>10000</v>
      </c>
      <c r="L33" s="400">
        <v>15000</v>
      </c>
      <c r="M33" s="400">
        <v>15595</v>
      </c>
      <c r="N33" s="400">
        <v>81600</v>
      </c>
      <c r="O33" s="400">
        <f>SUM(C33:N33)</f>
        <v>163195</v>
      </c>
      <c r="P33" s="393"/>
      <c r="Q33" s="390"/>
    </row>
    <row r="34" spans="1:17" s="389" customFormat="1" x14ac:dyDescent="0.2">
      <c r="A34" s="394">
        <v>21</v>
      </c>
      <c r="B34" s="399" t="s">
        <v>469</v>
      </c>
      <c r="C34" s="398">
        <f t="shared" ref="C34:O34" si="6">C28+C32+C33</f>
        <v>264351</v>
      </c>
      <c r="D34" s="398">
        <f t="shared" si="6"/>
        <v>253743</v>
      </c>
      <c r="E34" s="398">
        <f t="shared" si="6"/>
        <v>263748</v>
      </c>
      <c r="F34" s="398">
        <f t="shared" si="6"/>
        <v>318972</v>
      </c>
      <c r="G34" s="398">
        <f t="shared" si="6"/>
        <v>329478</v>
      </c>
      <c r="H34" s="398">
        <f t="shared" si="6"/>
        <v>353551</v>
      </c>
      <c r="I34" s="398">
        <f t="shared" si="6"/>
        <v>354250</v>
      </c>
      <c r="J34" s="398">
        <f t="shared" si="6"/>
        <v>329543</v>
      </c>
      <c r="K34" s="398">
        <f t="shared" si="6"/>
        <v>367283</v>
      </c>
      <c r="L34" s="398">
        <f t="shared" si="6"/>
        <v>324388</v>
      </c>
      <c r="M34" s="398">
        <f t="shared" si="6"/>
        <v>359213</v>
      </c>
      <c r="N34" s="398">
        <f t="shared" si="6"/>
        <v>415777</v>
      </c>
      <c r="O34" s="398">
        <f t="shared" si="6"/>
        <v>3934297</v>
      </c>
      <c r="Q34" s="390"/>
    </row>
    <row r="35" spans="1:17" s="405" customFormat="1" ht="25.5" x14ac:dyDescent="0.2">
      <c r="A35" s="403">
        <v>22</v>
      </c>
      <c r="B35" s="402" t="s">
        <v>470</v>
      </c>
      <c r="C35" s="404">
        <v>41199</v>
      </c>
      <c r="D35" s="404">
        <v>0</v>
      </c>
      <c r="E35" s="404">
        <v>5167</v>
      </c>
      <c r="F35" s="404">
        <v>0</v>
      </c>
      <c r="G35" s="404">
        <v>0</v>
      </c>
      <c r="H35" s="404">
        <v>5167</v>
      </c>
      <c r="I35" s="404">
        <v>0</v>
      </c>
      <c r="J35" s="404">
        <v>0</v>
      </c>
      <c r="K35" s="404">
        <v>5167</v>
      </c>
      <c r="L35" s="404">
        <v>0</v>
      </c>
      <c r="M35" s="404">
        <v>0</v>
      </c>
      <c r="N35" s="404">
        <v>5167</v>
      </c>
      <c r="O35" s="400">
        <f>SUM(C35:N35)</f>
        <v>61867</v>
      </c>
      <c r="P35" s="390"/>
      <c r="Q35" s="390"/>
    </row>
    <row r="36" spans="1:17" s="389" customFormat="1" x14ac:dyDescent="0.2">
      <c r="A36" s="397">
        <v>23</v>
      </c>
      <c r="B36" s="397" t="s">
        <v>471</v>
      </c>
      <c r="C36" s="406">
        <f t="shared" ref="C36:O36" si="7">C34+C35</f>
        <v>305550</v>
      </c>
      <c r="D36" s="406">
        <f t="shared" si="7"/>
        <v>253743</v>
      </c>
      <c r="E36" s="406">
        <f t="shared" si="7"/>
        <v>268915</v>
      </c>
      <c r="F36" s="406">
        <f t="shared" si="7"/>
        <v>318972</v>
      </c>
      <c r="G36" s="406">
        <f t="shared" si="7"/>
        <v>329478</v>
      </c>
      <c r="H36" s="406">
        <f t="shared" si="7"/>
        <v>358718</v>
      </c>
      <c r="I36" s="406">
        <f t="shared" si="7"/>
        <v>354250</v>
      </c>
      <c r="J36" s="406">
        <f t="shared" si="7"/>
        <v>329543</v>
      </c>
      <c r="K36" s="406">
        <f t="shared" si="7"/>
        <v>372450</v>
      </c>
      <c r="L36" s="406">
        <f t="shared" si="7"/>
        <v>324388</v>
      </c>
      <c r="M36" s="406">
        <f t="shared" si="7"/>
        <v>359213</v>
      </c>
      <c r="N36" s="406">
        <f t="shared" si="7"/>
        <v>420944</v>
      </c>
      <c r="O36" s="406">
        <f t="shared" si="7"/>
        <v>3996164</v>
      </c>
      <c r="P36" s="393"/>
      <c r="Q36" s="390"/>
    </row>
    <row r="37" spans="1:17" s="389" customFormat="1" x14ac:dyDescent="0.2">
      <c r="A37" s="394">
        <v>24</v>
      </c>
      <c r="B37" s="403" t="s">
        <v>472</v>
      </c>
      <c r="C37" s="398">
        <f t="shared" ref="C37:N37" si="8">C17-C34</f>
        <v>-67023</v>
      </c>
      <c r="D37" s="398">
        <f t="shared" si="8"/>
        <v>-73252</v>
      </c>
      <c r="E37" s="398">
        <f t="shared" si="8"/>
        <v>173312</v>
      </c>
      <c r="F37" s="398">
        <f t="shared" si="8"/>
        <v>-123912</v>
      </c>
      <c r="G37" s="398">
        <f t="shared" si="8"/>
        <v>-127418</v>
      </c>
      <c r="H37" s="398">
        <f t="shared" si="8"/>
        <v>-57076</v>
      </c>
      <c r="I37" s="398">
        <f t="shared" si="8"/>
        <v>-168813</v>
      </c>
      <c r="J37" s="398">
        <f t="shared" si="8"/>
        <v>-128940</v>
      </c>
      <c r="K37" s="398">
        <f t="shared" si="8"/>
        <v>256452</v>
      </c>
      <c r="L37" s="398">
        <f t="shared" si="8"/>
        <v>-18475</v>
      </c>
      <c r="M37" s="398">
        <f t="shared" si="8"/>
        <v>-162897</v>
      </c>
      <c r="N37" s="398">
        <f t="shared" si="8"/>
        <v>-127400</v>
      </c>
      <c r="O37" s="400">
        <f>SUM(C37:N37)</f>
        <v>-625442</v>
      </c>
      <c r="P37" s="393"/>
      <c r="Q37" s="390"/>
    </row>
    <row r="38" spans="1:17" s="389" customFormat="1" x14ac:dyDescent="0.2">
      <c r="A38" s="394">
        <v>25</v>
      </c>
      <c r="B38" s="403" t="s">
        <v>473</v>
      </c>
      <c r="C38" s="398">
        <f t="shared" ref="C38:N38" si="9">C20-C36</f>
        <v>341587</v>
      </c>
      <c r="D38" s="398">
        <f t="shared" si="9"/>
        <v>-73252</v>
      </c>
      <c r="E38" s="398">
        <f t="shared" si="9"/>
        <v>405645</v>
      </c>
      <c r="F38" s="398">
        <f t="shared" si="9"/>
        <v>-123912</v>
      </c>
      <c r="G38" s="398">
        <f t="shared" si="9"/>
        <v>-127418</v>
      </c>
      <c r="H38" s="398">
        <f t="shared" si="9"/>
        <v>-62243</v>
      </c>
      <c r="I38" s="398">
        <f t="shared" si="9"/>
        <v>-168813</v>
      </c>
      <c r="J38" s="398">
        <f t="shared" si="9"/>
        <v>-128940</v>
      </c>
      <c r="K38" s="398">
        <f t="shared" si="9"/>
        <v>251285</v>
      </c>
      <c r="L38" s="398">
        <f t="shared" si="9"/>
        <v>-18475</v>
      </c>
      <c r="M38" s="398">
        <f t="shared" si="9"/>
        <v>-162897</v>
      </c>
      <c r="N38" s="398">
        <f t="shared" si="9"/>
        <v>-132567</v>
      </c>
      <c r="O38" s="400">
        <f>SUM(C38:N38)</f>
        <v>0</v>
      </c>
      <c r="Q38" s="390"/>
    </row>
    <row r="39" spans="1:17" s="389" customFormat="1" x14ac:dyDescent="0.2">
      <c r="A39" s="394">
        <v>26</v>
      </c>
      <c r="B39" s="394" t="s">
        <v>474</v>
      </c>
      <c r="C39" s="398">
        <f>C20-C36</f>
        <v>341587</v>
      </c>
      <c r="D39" s="398">
        <f t="shared" ref="D39:O39" si="10">C39+D20-D36</f>
        <v>268335</v>
      </c>
      <c r="E39" s="398">
        <f t="shared" si="10"/>
        <v>673980</v>
      </c>
      <c r="F39" s="398">
        <f t="shared" si="10"/>
        <v>550068</v>
      </c>
      <c r="G39" s="398">
        <f t="shared" si="10"/>
        <v>422650</v>
      </c>
      <c r="H39" s="398">
        <f t="shared" si="10"/>
        <v>360407</v>
      </c>
      <c r="I39" s="398">
        <f t="shared" si="10"/>
        <v>191594</v>
      </c>
      <c r="J39" s="398">
        <f t="shared" si="10"/>
        <v>62654</v>
      </c>
      <c r="K39" s="398">
        <f t="shared" si="10"/>
        <v>313939</v>
      </c>
      <c r="L39" s="398">
        <f t="shared" si="10"/>
        <v>295464</v>
      </c>
      <c r="M39" s="398">
        <f t="shared" si="10"/>
        <v>132567</v>
      </c>
      <c r="N39" s="398">
        <f t="shared" si="10"/>
        <v>0</v>
      </c>
      <c r="O39" s="398">
        <f t="shared" si="10"/>
        <v>0</v>
      </c>
      <c r="Q39" s="390"/>
    </row>
    <row r="41" spans="1:17" x14ac:dyDescent="0.2"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1"/>
  <sheetViews>
    <sheetView workbookViewId="0">
      <selection sqref="A1:S1"/>
    </sheetView>
  </sheetViews>
  <sheetFormatPr defaultRowHeight="12.75" x14ac:dyDescent="0.2"/>
  <cols>
    <col min="1" max="5" width="9.140625" style="138"/>
    <col min="6" max="6" width="11.28515625" style="138" customWidth="1"/>
    <col min="7" max="8" width="9.140625" style="138"/>
    <col min="9" max="9" width="10.7109375" style="138" customWidth="1"/>
    <col min="10" max="13" width="9.140625" style="138"/>
    <col min="14" max="14" width="6" style="138" bestFit="1" customWidth="1"/>
    <col min="15" max="15" width="7.28515625" style="138" bestFit="1" customWidth="1"/>
    <col min="16" max="261" width="9.140625" style="138"/>
    <col min="262" max="262" width="11.28515625" style="138" customWidth="1"/>
    <col min="263" max="269" width="9.140625" style="138"/>
    <col min="270" max="270" width="6" style="138" bestFit="1" customWidth="1"/>
    <col min="271" max="271" width="7.28515625" style="138" bestFit="1" customWidth="1"/>
    <col min="272" max="517" width="9.140625" style="138"/>
    <col min="518" max="518" width="11.28515625" style="138" customWidth="1"/>
    <col min="519" max="525" width="9.140625" style="138"/>
    <col min="526" max="526" width="6" style="138" bestFit="1" customWidth="1"/>
    <col min="527" max="527" width="7.28515625" style="138" bestFit="1" customWidth="1"/>
    <col min="528" max="773" width="9.140625" style="138"/>
    <col min="774" max="774" width="11.28515625" style="138" customWidth="1"/>
    <col min="775" max="781" width="9.140625" style="138"/>
    <col min="782" max="782" width="6" style="138" bestFit="1" customWidth="1"/>
    <col min="783" max="783" width="7.28515625" style="138" bestFit="1" customWidth="1"/>
    <col min="784" max="1029" width="9.140625" style="138"/>
    <col min="1030" max="1030" width="11.28515625" style="138" customWidth="1"/>
    <col min="1031" max="1037" width="9.140625" style="138"/>
    <col min="1038" max="1038" width="6" style="138" bestFit="1" customWidth="1"/>
    <col min="1039" max="1039" width="7.28515625" style="138" bestFit="1" customWidth="1"/>
    <col min="1040" max="1285" width="9.140625" style="138"/>
    <col min="1286" max="1286" width="11.28515625" style="138" customWidth="1"/>
    <col min="1287" max="1293" width="9.140625" style="138"/>
    <col min="1294" max="1294" width="6" style="138" bestFit="1" customWidth="1"/>
    <col min="1295" max="1295" width="7.28515625" style="138" bestFit="1" customWidth="1"/>
    <col min="1296" max="1541" width="9.140625" style="138"/>
    <col min="1542" max="1542" width="11.28515625" style="138" customWidth="1"/>
    <col min="1543" max="1549" width="9.140625" style="138"/>
    <col min="1550" max="1550" width="6" style="138" bestFit="1" customWidth="1"/>
    <col min="1551" max="1551" width="7.28515625" style="138" bestFit="1" customWidth="1"/>
    <col min="1552" max="1797" width="9.140625" style="138"/>
    <col min="1798" max="1798" width="11.28515625" style="138" customWidth="1"/>
    <col min="1799" max="1805" width="9.140625" style="138"/>
    <col min="1806" max="1806" width="6" style="138" bestFit="1" customWidth="1"/>
    <col min="1807" max="1807" width="7.28515625" style="138" bestFit="1" customWidth="1"/>
    <col min="1808" max="2053" width="9.140625" style="138"/>
    <col min="2054" max="2054" width="11.28515625" style="138" customWidth="1"/>
    <col min="2055" max="2061" width="9.140625" style="138"/>
    <col min="2062" max="2062" width="6" style="138" bestFit="1" customWidth="1"/>
    <col min="2063" max="2063" width="7.28515625" style="138" bestFit="1" customWidth="1"/>
    <col min="2064" max="2309" width="9.140625" style="138"/>
    <col min="2310" max="2310" width="11.28515625" style="138" customWidth="1"/>
    <col min="2311" max="2317" width="9.140625" style="138"/>
    <col min="2318" max="2318" width="6" style="138" bestFit="1" customWidth="1"/>
    <col min="2319" max="2319" width="7.28515625" style="138" bestFit="1" customWidth="1"/>
    <col min="2320" max="2565" width="9.140625" style="138"/>
    <col min="2566" max="2566" width="11.28515625" style="138" customWidth="1"/>
    <col min="2567" max="2573" width="9.140625" style="138"/>
    <col min="2574" max="2574" width="6" style="138" bestFit="1" customWidth="1"/>
    <col min="2575" max="2575" width="7.28515625" style="138" bestFit="1" customWidth="1"/>
    <col min="2576" max="2821" width="9.140625" style="138"/>
    <col min="2822" max="2822" width="11.28515625" style="138" customWidth="1"/>
    <col min="2823" max="2829" width="9.140625" style="138"/>
    <col min="2830" max="2830" width="6" style="138" bestFit="1" customWidth="1"/>
    <col min="2831" max="2831" width="7.28515625" style="138" bestFit="1" customWidth="1"/>
    <col min="2832" max="3077" width="9.140625" style="138"/>
    <col min="3078" max="3078" width="11.28515625" style="138" customWidth="1"/>
    <col min="3079" max="3085" width="9.140625" style="138"/>
    <col min="3086" max="3086" width="6" style="138" bestFit="1" customWidth="1"/>
    <col min="3087" max="3087" width="7.28515625" style="138" bestFit="1" customWidth="1"/>
    <col min="3088" max="3333" width="9.140625" style="138"/>
    <col min="3334" max="3334" width="11.28515625" style="138" customWidth="1"/>
    <col min="3335" max="3341" width="9.140625" style="138"/>
    <col min="3342" max="3342" width="6" style="138" bestFit="1" customWidth="1"/>
    <col min="3343" max="3343" width="7.28515625" style="138" bestFit="1" customWidth="1"/>
    <col min="3344" max="3589" width="9.140625" style="138"/>
    <col min="3590" max="3590" width="11.28515625" style="138" customWidth="1"/>
    <col min="3591" max="3597" width="9.140625" style="138"/>
    <col min="3598" max="3598" width="6" style="138" bestFit="1" customWidth="1"/>
    <col min="3599" max="3599" width="7.28515625" style="138" bestFit="1" customWidth="1"/>
    <col min="3600" max="3845" width="9.140625" style="138"/>
    <col min="3846" max="3846" width="11.28515625" style="138" customWidth="1"/>
    <col min="3847" max="3853" width="9.140625" style="138"/>
    <col min="3854" max="3854" width="6" style="138" bestFit="1" customWidth="1"/>
    <col min="3855" max="3855" width="7.28515625" style="138" bestFit="1" customWidth="1"/>
    <col min="3856" max="4101" width="9.140625" style="138"/>
    <col min="4102" max="4102" width="11.28515625" style="138" customWidth="1"/>
    <col min="4103" max="4109" width="9.140625" style="138"/>
    <col min="4110" max="4110" width="6" style="138" bestFit="1" customWidth="1"/>
    <col min="4111" max="4111" width="7.28515625" style="138" bestFit="1" customWidth="1"/>
    <col min="4112" max="4357" width="9.140625" style="138"/>
    <col min="4358" max="4358" width="11.28515625" style="138" customWidth="1"/>
    <col min="4359" max="4365" width="9.140625" style="138"/>
    <col min="4366" max="4366" width="6" style="138" bestFit="1" customWidth="1"/>
    <col min="4367" max="4367" width="7.28515625" style="138" bestFit="1" customWidth="1"/>
    <col min="4368" max="4613" width="9.140625" style="138"/>
    <col min="4614" max="4614" width="11.28515625" style="138" customWidth="1"/>
    <col min="4615" max="4621" width="9.140625" style="138"/>
    <col min="4622" max="4622" width="6" style="138" bestFit="1" customWidth="1"/>
    <col min="4623" max="4623" width="7.28515625" style="138" bestFit="1" customWidth="1"/>
    <col min="4624" max="4869" width="9.140625" style="138"/>
    <col min="4870" max="4870" width="11.28515625" style="138" customWidth="1"/>
    <col min="4871" max="4877" width="9.140625" style="138"/>
    <col min="4878" max="4878" width="6" style="138" bestFit="1" customWidth="1"/>
    <col min="4879" max="4879" width="7.28515625" style="138" bestFit="1" customWidth="1"/>
    <col min="4880" max="5125" width="9.140625" style="138"/>
    <col min="5126" max="5126" width="11.28515625" style="138" customWidth="1"/>
    <col min="5127" max="5133" width="9.140625" style="138"/>
    <col min="5134" max="5134" width="6" style="138" bestFit="1" customWidth="1"/>
    <col min="5135" max="5135" width="7.28515625" style="138" bestFit="1" customWidth="1"/>
    <col min="5136" max="5381" width="9.140625" style="138"/>
    <col min="5382" max="5382" width="11.28515625" style="138" customWidth="1"/>
    <col min="5383" max="5389" width="9.140625" style="138"/>
    <col min="5390" max="5390" width="6" style="138" bestFit="1" customWidth="1"/>
    <col min="5391" max="5391" width="7.28515625" style="138" bestFit="1" customWidth="1"/>
    <col min="5392" max="5637" width="9.140625" style="138"/>
    <col min="5638" max="5638" width="11.28515625" style="138" customWidth="1"/>
    <col min="5639" max="5645" width="9.140625" style="138"/>
    <col min="5646" max="5646" width="6" style="138" bestFit="1" customWidth="1"/>
    <col min="5647" max="5647" width="7.28515625" style="138" bestFit="1" customWidth="1"/>
    <col min="5648" max="5893" width="9.140625" style="138"/>
    <col min="5894" max="5894" width="11.28515625" style="138" customWidth="1"/>
    <col min="5895" max="5901" width="9.140625" style="138"/>
    <col min="5902" max="5902" width="6" style="138" bestFit="1" customWidth="1"/>
    <col min="5903" max="5903" width="7.28515625" style="138" bestFit="1" customWidth="1"/>
    <col min="5904" max="6149" width="9.140625" style="138"/>
    <col min="6150" max="6150" width="11.28515625" style="138" customWidth="1"/>
    <col min="6151" max="6157" width="9.140625" style="138"/>
    <col min="6158" max="6158" width="6" style="138" bestFit="1" customWidth="1"/>
    <col min="6159" max="6159" width="7.28515625" style="138" bestFit="1" customWidth="1"/>
    <col min="6160" max="6405" width="9.140625" style="138"/>
    <col min="6406" max="6406" width="11.28515625" style="138" customWidth="1"/>
    <col min="6407" max="6413" width="9.140625" style="138"/>
    <col min="6414" max="6414" width="6" style="138" bestFit="1" customWidth="1"/>
    <col min="6415" max="6415" width="7.28515625" style="138" bestFit="1" customWidth="1"/>
    <col min="6416" max="6661" width="9.140625" style="138"/>
    <col min="6662" max="6662" width="11.28515625" style="138" customWidth="1"/>
    <col min="6663" max="6669" width="9.140625" style="138"/>
    <col min="6670" max="6670" width="6" style="138" bestFit="1" customWidth="1"/>
    <col min="6671" max="6671" width="7.28515625" style="138" bestFit="1" customWidth="1"/>
    <col min="6672" max="6917" width="9.140625" style="138"/>
    <col min="6918" max="6918" width="11.28515625" style="138" customWidth="1"/>
    <col min="6919" max="6925" width="9.140625" style="138"/>
    <col min="6926" max="6926" width="6" style="138" bestFit="1" customWidth="1"/>
    <col min="6927" max="6927" width="7.28515625" style="138" bestFit="1" customWidth="1"/>
    <col min="6928" max="7173" width="9.140625" style="138"/>
    <col min="7174" max="7174" width="11.28515625" style="138" customWidth="1"/>
    <col min="7175" max="7181" width="9.140625" style="138"/>
    <col min="7182" max="7182" width="6" style="138" bestFit="1" customWidth="1"/>
    <col min="7183" max="7183" width="7.28515625" style="138" bestFit="1" customWidth="1"/>
    <col min="7184" max="7429" width="9.140625" style="138"/>
    <col min="7430" max="7430" width="11.28515625" style="138" customWidth="1"/>
    <col min="7431" max="7437" width="9.140625" style="138"/>
    <col min="7438" max="7438" width="6" style="138" bestFit="1" customWidth="1"/>
    <col min="7439" max="7439" width="7.28515625" style="138" bestFit="1" customWidth="1"/>
    <col min="7440" max="7685" width="9.140625" style="138"/>
    <col min="7686" max="7686" width="11.28515625" style="138" customWidth="1"/>
    <col min="7687" max="7693" width="9.140625" style="138"/>
    <col min="7694" max="7694" width="6" style="138" bestFit="1" customWidth="1"/>
    <col min="7695" max="7695" width="7.28515625" style="138" bestFit="1" customWidth="1"/>
    <col min="7696" max="7941" width="9.140625" style="138"/>
    <col min="7942" max="7942" width="11.28515625" style="138" customWidth="1"/>
    <col min="7943" max="7949" width="9.140625" style="138"/>
    <col min="7950" max="7950" width="6" style="138" bestFit="1" customWidth="1"/>
    <col min="7951" max="7951" width="7.28515625" style="138" bestFit="1" customWidth="1"/>
    <col min="7952" max="8197" width="9.140625" style="138"/>
    <col min="8198" max="8198" width="11.28515625" style="138" customWidth="1"/>
    <col min="8199" max="8205" width="9.140625" style="138"/>
    <col min="8206" max="8206" width="6" style="138" bestFit="1" customWidth="1"/>
    <col min="8207" max="8207" width="7.28515625" style="138" bestFit="1" customWidth="1"/>
    <col min="8208" max="8453" width="9.140625" style="138"/>
    <col min="8454" max="8454" width="11.28515625" style="138" customWidth="1"/>
    <col min="8455" max="8461" width="9.140625" style="138"/>
    <col min="8462" max="8462" width="6" style="138" bestFit="1" customWidth="1"/>
    <col min="8463" max="8463" width="7.28515625" style="138" bestFit="1" customWidth="1"/>
    <col min="8464" max="8709" width="9.140625" style="138"/>
    <col min="8710" max="8710" width="11.28515625" style="138" customWidth="1"/>
    <col min="8711" max="8717" width="9.140625" style="138"/>
    <col min="8718" max="8718" width="6" style="138" bestFit="1" customWidth="1"/>
    <col min="8719" max="8719" width="7.28515625" style="138" bestFit="1" customWidth="1"/>
    <col min="8720" max="8965" width="9.140625" style="138"/>
    <col min="8966" max="8966" width="11.28515625" style="138" customWidth="1"/>
    <col min="8967" max="8973" width="9.140625" style="138"/>
    <col min="8974" max="8974" width="6" style="138" bestFit="1" customWidth="1"/>
    <col min="8975" max="8975" width="7.28515625" style="138" bestFit="1" customWidth="1"/>
    <col min="8976" max="9221" width="9.140625" style="138"/>
    <col min="9222" max="9222" width="11.28515625" style="138" customWidth="1"/>
    <col min="9223" max="9229" width="9.140625" style="138"/>
    <col min="9230" max="9230" width="6" style="138" bestFit="1" customWidth="1"/>
    <col min="9231" max="9231" width="7.28515625" style="138" bestFit="1" customWidth="1"/>
    <col min="9232" max="9477" width="9.140625" style="138"/>
    <col min="9478" max="9478" width="11.28515625" style="138" customWidth="1"/>
    <col min="9479" max="9485" width="9.140625" style="138"/>
    <col min="9486" max="9486" width="6" style="138" bestFit="1" customWidth="1"/>
    <col min="9487" max="9487" width="7.28515625" style="138" bestFit="1" customWidth="1"/>
    <col min="9488" max="9733" width="9.140625" style="138"/>
    <col min="9734" max="9734" width="11.28515625" style="138" customWidth="1"/>
    <col min="9735" max="9741" width="9.140625" style="138"/>
    <col min="9742" max="9742" width="6" style="138" bestFit="1" customWidth="1"/>
    <col min="9743" max="9743" width="7.28515625" style="138" bestFit="1" customWidth="1"/>
    <col min="9744" max="9989" width="9.140625" style="138"/>
    <col min="9990" max="9990" width="11.28515625" style="138" customWidth="1"/>
    <col min="9991" max="9997" width="9.140625" style="138"/>
    <col min="9998" max="9998" width="6" style="138" bestFit="1" customWidth="1"/>
    <col min="9999" max="9999" width="7.28515625" style="138" bestFit="1" customWidth="1"/>
    <col min="10000" max="10245" width="9.140625" style="138"/>
    <col min="10246" max="10246" width="11.28515625" style="138" customWidth="1"/>
    <col min="10247" max="10253" width="9.140625" style="138"/>
    <col min="10254" max="10254" width="6" style="138" bestFit="1" customWidth="1"/>
    <col min="10255" max="10255" width="7.28515625" style="138" bestFit="1" customWidth="1"/>
    <col min="10256" max="10501" width="9.140625" style="138"/>
    <col min="10502" max="10502" width="11.28515625" style="138" customWidth="1"/>
    <col min="10503" max="10509" width="9.140625" style="138"/>
    <col min="10510" max="10510" width="6" style="138" bestFit="1" customWidth="1"/>
    <col min="10511" max="10511" width="7.28515625" style="138" bestFit="1" customWidth="1"/>
    <col min="10512" max="10757" width="9.140625" style="138"/>
    <col min="10758" max="10758" width="11.28515625" style="138" customWidth="1"/>
    <col min="10759" max="10765" width="9.140625" style="138"/>
    <col min="10766" max="10766" width="6" style="138" bestFit="1" customWidth="1"/>
    <col min="10767" max="10767" width="7.28515625" style="138" bestFit="1" customWidth="1"/>
    <col min="10768" max="11013" width="9.140625" style="138"/>
    <col min="11014" max="11014" width="11.28515625" style="138" customWidth="1"/>
    <col min="11015" max="11021" width="9.140625" style="138"/>
    <col min="11022" max="11022" width="6" style="138" bestFit="1" customWidth="1"/>
    <col min="11023" max="11023" width="7.28515625" style="138" bestFit="1" customWidth="1"/>
    <col min="11024" max="11269" width="9.140625" style="138"/>
    <col min="11270" max="11270" width="11.28515625" style="138" customWidth="1"/>
    <col min="11271" max="11277" width="9.140625" style="138"/>
    <col min="11278" max="11278" width="6" style="138" bestFit="1" customWidth="1"/>
    <col min="11279" max="11279" width="7.28515625" style="138" bestFit="1" customWidth="1"/>
    <col min="11280" max="11525" width="9.140625" style="138"/>
    <col min="11526" max="11526" width="11.28515625" style="138" customWidth="1"/>
    <col min="11527" max="11533" width="9.140625" style="138"/>
    <col min="11534" max="11534" width="6" style="138" bestFit="1" customWidth="1"/>
    <col min="11535" max="11535" width="7.28515625" style="138" bestFit="1" customWidth="1"/>
    <col min="11536" max="11781" width="9.140625" style="138"/>
    <col min="11782" max="11782" width="11.28515625" style="138" customWidth="1"/>
    <col min="11783" max="11789" width="9.140625" style="138"/>
    <col min="11790" max="11790" width="6" style="138" bestFit="1" customWidth="1"/>
    <col min="11791" max="11791" width="7.28515625" style="138" bestFit="1" customWidth="1"/>
    <col min="11792" max="12037" width="9.140625" style="138"/>
    <col min="12038" max="12038" width="11.28515625" style="138" customWidth="1"/>
    <col min="12039" max="12045" width="9.140625" style="138"/>
    <col min="12046" max="12046" width="6" style="138" bestFit="1" customWidth="1"/>
    <col min="12047" max="12047" width="7.28515625" style="138" bestFit="1" customWidth="1"/>
    <col min="12048" max="12293" width="9.140625" style="138"/>
    <col min="12294" max="12294" width="11.28515625" style="138" customWidth="1"/>
    <col min="12295" max="12301" width="9.140625" style="138"/>
    <col min="12302" max="12302" width="6" style="138" bestFit="1" customWidth="1"/>
    <col min="12303" max="12303" width="7.28515625" style="138" bestFit="1" customWidth="1"/>
    <col min="12304" max="12549" width="9.140625" style="138"/>
    <col min="12550" max="12550" width="11.28515625" style="138" customWidth="1"/>
    <col min="12551" max="12557" width="9.140625" style="138"/>
    <col min="12558" max="12558" width="6" style="138" bestFit="1" customWidth="1"/>
    <col min="12559" max="12559" width="7.28515625" style="138" bestFit="1" customWidth="1"/>
    <col min="12560" max="12805" width="9.140625" style="138"/>
    <col min="12806" max="12806" width="11.28515625" style="138" customWidth="1"/>
    <col min="12807" max="12813" width="9.140625" style="138"/>
    <col min="12814" max="12814" width="6" style="138" bestFit="1" customWidth="1"/>
    <col min="12815" max="12815" width="7.28515625" style="138" bestFit="1" customWidth="1"/>
    <col min="12816" max="13061" width="9.140625" style="138"/>
    <col min="13062" max="13062" width="11.28515625" style="138" customWidth="1"/>
    <col min="13063" max="13069" width="9.140625" style="138"/>
    <col min="13070" max="13070" width="6" style="138" bestFit="1" customWidth="1"/>
    <col min="13071" max="13071" width="7.28515625" style="138" bestFit="1" customWidth="1"/>
    <col min="13072" max="13317" width="9.140625" style="138"/>
    <col min="13318" max="13318" width="11.28515625" style="138" customWidth="1"/>
    <col min="13319" max="13325" width="9.140625" style="138"/>
    <col min="13326" max="13326" width="6" style="138" bestFit="1" customWidth="1"/>
    <col min="13327" max="13327" width="7.28515625" style="138" bestFit="1" customWidth="1"/>
    <col min="13328" max="13573" width="9.140625" style="138"/>
    <col min="13574" max="13574" width="11.28515625" style="138" customWidth="1"/>
    <col min="13575" max="13581" width="9.140625" style="138"/>
    <col min="13582" max="13582" width="6" style="138" bestFit="1" customWidth="1"/>
    <col min="13583" max="13583" width="7.28515625" style="138" bestFit="1" customWidth="1"/>
    <col min="13584" max="13829" width="9.140625" style="138"/>
    <col min="13830" max="13830" width="11.28515625" style="138" customWidth="1"/>
    <col min="13831" max="13837" width="9.140625" style="138"/>
    <col min="13838" max="13838" width="6" style="138" bestFit="1" customWidth="1"/>
    <col min="13839" max="13839" width="7.28515625" style="138" bestFit="1" customWidth="1"/>
    <col min="13840" max="14085" width="9.140625" style="138"/>
    <col min="14086" max="14086" width="11.28515625" style="138" customWidth="1"/>
    <col min="14087" max="14093" width="9.140625" style="138"/>
    <col min="14094" max="14094" width="6" style="138" bestFit="1" customWidth="1"/>
    <col min="14095" max="14095" width="7.28515625" style="138" bestFit="1" customWidth="1"/>
    <col min="14096" max="14341" width="9.140625" style="138"/>
    <col min="14342" max="14342" width="11.28515625" style="138" customWidth="1"/>
    <col min="14343" max="14349" width="9.140625" style="138"/>
    <col min="14350" max="14350" width="6" style="138" bestFit="1" customWidth="1"/>
    <col min="14351" max="14351" width="7.28515625" style="138" bestFit="1" customWidth="1"/>
    <col min="14352" max="14597" width="9.140625" style="138"/>
    <col min="14598" max="14598" width="11.28515625" style="138" customWidth="1"/>
    <col min="14599" max="14605" width="9.140625" style="138"/>
    <col min="14606" max="14606" width="6" style="138" bestFit="1" customWidth="1"/>
    <col min="14607" max="14607" width="7.28515625" style="138" bestFit="1" customWidth="1"/>
    <col min="14608" max="14853" width="9.140625" style="138"/>
    <col min="14854" max="14854" width="11.28515625" style="138" customWidth="1"/>
    <col min="14855" max="14861" width="9.140625" style="138"/>
    <col min="14862" max="14862" width="6" style="138" bestFit="1" customWidth="1"/>
    <col min="14863" max="14863" width="7.28515625" style="138" bestFit="1" customWidth="1"/>
    <col min="14864" max="15109" width="9.140625" style="138"/>
    <col min="15110" max="15110" width="11.28515625" style="138" customWidth="1"/>
    <col min="15111" max="15117" width="9.140625" style="138"/>
    <col min="15118" max="15118" width="6" style="138" bestFit="1" customWidth="1"/>
    <col min="15119" max="15119" width="7.28515625" style="138" bestFit="1" customWidth="1"/>
    <col min="15120" max="15365" width="9.140625" style="138"/>
    <col min="15366" max="15366" width="11.28515625" style="138" customWidth="1"/>
    <col min="15367" max="15373" width="9.140625" style="138"/>
    <col min="15374" max="15374" width="6" style="138" bestFit="1" customWidth="1"/>
    <col min="15375" max="15375" width="7.28515625" style="138" bestFit="1" customWidth="1"/>
    <col min="15376" max="15621" width="9.140625" style="138"/>
    <col min="15622" max="15622" width="11.28515625" style="138" customWidth="1"/>
    <col min="15623" max="15629" width="9.140625" style="138"/>
    <col min="15630" max="15630" width="6" style="138" bestFit="1" customWidth="1"/>
    <col min="15631" max="15631" width="7.28515625" style="138" bestFit="1" customWidth="1"/>
    <col min="15632" max="15877" width="9.140625" style="138"/>
    <col min="15878" max="15878" width="11.28515625" style="138" customWidth="1"/>
    <col min="15879" max="15885" width="9.140625" style="138"/>
    <col min="15886" max="15886" width="6" style="138" bestFit="1" customWidth="1"/>
    <col min="15887" max="15887" width="7.28515625" style="138" bestFit="1" customWidth="1"/>
    <col min="15888" max="16133" width="9.140625" style="138"/>
    <col min="16134" max="16134" width="11.28515625" style="138" customWidth="1"/>
    <col min="16135" max="16141" width="9.140625" style="138"/>
    <col min="16142" max="16142" width="6" style="138" bestFit="1" customWidth="1"/>
    <col min="16143" max="16143" width="7.28515625" style="138" bestFit="1" customWidth="1"/>
    <col min="16144" max="16384" width="9.140625" style="138"/>
  </cols>
  <sheetData>
    <row r="1" spans="1:19" x14ac:dyDescent="0.2">
      <c r="A1" s="700" t="s">
        <v>1121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</row>
    <row r="2" spans="1:19" x14ac:dyDescent="0.2">
      <c r="A2" s="701" t="s">
        <v>485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</row>
    <row r="3" spans="1:19" x14ac:dyDescent="0.2">
      <c r="A3" s="701"/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</row>
    <row r="4" spans="1:19" ht="19.5" thickBot="1" x14ac:dyDescent="0.3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5"/>
      <c r="R4" s="412"/>
      <c r="S4" s="416" t="s">
        <v>29</v>
      </c>
    </row>
    <row r="5" spans="1:19" ht="77.25" thickTop="1" x14ac:dyDescent="0.2">
      <c r="A5" s="417"/>
      <c r="B5" s="418"/>
      <c r="C5" s="418"/>
      <c r="D5" s="419"/>
      <c r="E5" s="420" t="s">
        <v>461</v>
      </c>
      <c r="F5" s="421" t="s">
        <v>95</v>
      </c>
      <c r="G5" s="420" t="s">
        <v>31</v>
      </c>
      <c r="H5" s="422" t="s">
        <v>57</v>
      </c>
      <c r="I5" s="422" t="s">
        <v>58</v>
      </c>
      <c r="J5" s="422" t="s">
        <v>24</v>
      </c>
      <c r="K5" s="423" t="s">
        <v>253</v>
      </c>
      <c r="L5" s="424" t="s">
        <v>476</v>
      </c>
      <c r="M5" s="425" t="s">
        <v>477</v>
      </c>
      <c r="N5" s="426" t="s">
        <v>478</v>
      </c>
      <c r="O5" s="426" t="s">
        <v>479</v>
      </c>
      <c r="P5" s="426" t="s">
        <v>480</v>
      </c>
      <c r="Q5" s="427" t="s">
        <v>481</v>
      </c>
      <c r="R5" s="427" t="s">
        <v>253</v>
      </c>
      <c r="S5" s="428" t="s">
        <v>482</v>
      </c>
    </row>
    <row r="6" spans="1:19" x14ac:dyDescent="0.2">
      <c r="A6" s="429" t="s">
        <v>203</v>
      </c>
      <c r="B6" s="430"/>
      <c r="C6" s="430"/>
      <c r="D6" s="431"/>
      <c r="E6" s="404">
        <v>213205</v>
      </c>
      <c r="F6" s="404">
        <v>41312</v>
      </c>
      <c r="G6" s="404">
        <v>28000</v>
      </c>
      <c r="H6" s="404">
        <v>0</v>
      </c>
      <c r="I6" s="404">
        <v>1000</v>
      </c>
      <c r="J6" s="404">
        <v>7000</v>
      </c>
      <c r="K6" s="432">
        <f>SUM(E6:J6)</f>
        <v>290517</v>
      </c>
      <c r="L6" s="433">
        <v>9800</v>
      </c>
      <c r="M6" s="434">
        <v>0</v>
      </c>
      <c r="N6" s="404">
        <v>0</v>
      </c>
      <c r="O6" s="404">
        <v>0</v>
      </c>
      <c r="P6" s="404">
        <v>290123</v>
      </c>
      <c r="Q6" s="404">
        <f>K6-L6-N6-O6-P6-M6</f>
        <v>-9406</v>
      </c>
      <c r="R6" s="404">
        <f>SUM(L6:Q6)</f>
        <v>290517</v>
      </c>
      <c r="S6" s="435">
        <f>P6+Q6</f>
        <v>280717</v>
      </c>
    </row>
    <row r="7" spans="1:19" x14ac:dyDescent="0.2">
      <c r="A7" s="436" t="s">
        <v>483</v>
      </c>
      <c r="B7" s="437"/>
      <c r="C7" s="437"/>
      <c r="D7" s="438"/>
      <c r="E7" s="404">
        <v>148646</v>
      </c>
      <c r="F7" s="404">
        <v>28131</v>
      </c>
      <c r="G7" s="404">
        <v>145000</v>
      </c>
      <c r="H7" s="404">
        <v>0</v>
      </c>
      <c r="I7" s="404">
        <v>4950</v>
      </c>
      <c r="J7" s="404">
        <v>1270</v>
      </c>
      <c r="K7" s="432">
        <f>SUM(E7:J7)</f>
        <v>327997</v>
      </c>
      <c r="L7" s="433">
        <v>87000</v>
      </c>
      <c r="M7" s="434">
        <v>0</v>
      </c>
      <c r="N7" s="404">
        <v>0</v>
      </c>
      <c r="O7" s="404">
        <v>0</v>
      </c>
      <c r="P7" s="404">
        <v>160103</v>
      </c>
      <c r="Q7" s="404">
        <f>K7-L7-N7-O7-P7-M7</f>
        <v>80894</v>
      </c>
      <c r="R7" s="404">
        <f>SUM(L7:Q7)</f>
        <v>327997</v>
      </c>
      <c r="S7" s="435">
        <f>P7+Q7</f>
        <v>240997</v>
      </c>
    </row>
    <row r="8" spans="1:19" x14ac:dyDescent="0.2">
      <c r="A8" s="436" t="s">
        <v>909</v>
      </c>
      <c r="B8" s="437"/>
      <c r="C8" s="437"/>
      <c r="D8" s="438"/>
      <c r="E8" s="404">
        <v>17184</v>
      </c>
      <c r="F8" s="404">
        <v>3351</v>
      </c>
      <c r="G8" s="404">
        <v>17500</v>
      </c>
      <c r="H8" s="404">
        <v>0</v>
      </c>
      <c r="I8" s="404">
        <v>1000</v>
      </c>
      <c r="J8" s="404">
        <v>3160</v>
      </c>
      <c r="K8" s="432">
        <f>SUM(E8:J8)</f>
        <v>42195</v>
      </c>
      <c r="L8" s="433">
        <v>2000</v>
      </c>
      <c r="M8" s="434">
        <v>0</v>
      </c>
      <c r="N8" s="404">
        <v>0</v>
      </c>
      <c r="O8" s="404">
        <v>0</v>
      </c>
      <c r="P8" s="404">
        <v>0</v>
      </c>
      <c r="Q8" s="404">
        <f>K8-L8-N8-O8-P8-M8</f>
        <v>40195</v>
      </c>
      <c r="R8" s="404">
        <f>SUM(L8:Q8)</f>
        <v>42195</v>
      </c>
      <c r="S8" s="435">
        <f>P8+Q8</f>
        <v>40195</v>
      </c>
    </row>
    <row r="9" spans="1:19" ht="13.5" thickBot="1" x14ac:dyDescent="0.25">
      <c r="A9" s="629" t="s">
        <v>54</v>
      </c>
      <c r="B9" s="630"/>
      <c r="C9" s="630"/>
      <c r="D9" s="631"/>
      <c r="E9" s="439">
        <v>297506</v>
      </c>
      <c r="F9" s="439">
        <v>58883</v>
      </c>
      <c r="G9" s="439">
        <v>80000</v>
      </c>
      <c r="H9" s="439">
        <v>0</v>
      </c>
      <c r="I9" s="439">
        <v>8650</v>
      </c>
      <c r="J9" s="439">
        <v>0</v>
      </c>
      <c r="K9" s="440">
        <f>SUM(E9:J9)</f>
        <v>445039</v>
      </c>
      <c r="L9" s="441">
        <v>8000</v>
      </c>
      <c r="M9" s="442">
        <v>0</v>
      </c>
      <c r="N9" s="439">
        <v>0</v>
      </c>
      <c r="O9" s="439">
        <v>0</v>
      </c>
      <c r="P9" s="439">
        <v>222222</v>
      </c>
      <c r="Q9" s="439">
        <f>K9-L9-N9-O9-P9-M9</f>
        <v>214817</v>
      </c>
      <c r="R9" s="439">
        <f>SUM(L9:Q9)</f>
        <v>445039</v>
      </c>
      <c r="S9" s="443">
        <f>P9+Q9</f>
        <v>437039</v>
      </c>
    </row>
    <row r="10" spans="1:19" ht="14.25" thickTop="1" thickBot="1" x14ac:dyDescent="0.25">
      <c r="A10" s="702" t="s">
        <v>28</v>
      </c>
      <c r="B10" s="703"/>
      <c r="C10" s="703"/>
      <c r="D10" s="704"/>
      <c r="E10" s="444">
        <f t="shared" ref="E10:S10" si="0">SUM(E6:E9)</f>
        <v>676541</v>
      </c>
      <c r="F10" s="444">
        <f t="shared" si="0"/>
        <v>131677</v>
      </c>
      <c r="G10" s="444">
        <f t="shared" si="0"/>
        <v>270500</v>
      </c>
      <c r="H10" s="444">
        <f t="shared" si="0"/>
        <v>0</v>
      </c>
      <c r="I10" s="444">
        <f t="shared" si="0"/>
        <v>15600</v>
      </c>
      <c r="J10" s="444">
        <f t="shared" si="0"/>
        <v>11430</v>
      </c>
      <c r="K10" s="445">
        <f t="shared" si="0"/>
        <v>1105748</v>
      </c>
      <c r="L10" s="446">
        <f t="shared" si="0"/>
        <v>106800</v>
      </c>
      <c r="M10" s="444">
        <f t="shared" si="0"/>
        <v>0</v>
      </c>
      <c r="N10" s="444">
        <f t="shared" si="0"/>
        <v>0</v>
      </c>
      <c r="O10" s="444">
        <f t="shared" si="0"/>
        <v>0</v>
      </c>
      <c r="P10" s="444">
        <f t="shared" si="0"/>
        <v>672448</v>
      </c>
      <c r="Q10" s="444">
        <f t="shared" si="0"/>
        <v>326500</v>
      </c>
      <c r="R10" s="444">
        <f t="shared" si="0"/>
        <v>1105748</v>
      </c>
      <c r="S10" s="445">
        <f t="shared" si="0"/>
        <v>998948</v>
      </c>
    </row>
    <row r="11" spans="1:19" ht="13.5" thickTop="1" x14ac:dyDescent="0.2"/>
  </sheetData>
  <mergeCells count="3">
    <mergeCell ref="A1:S1"/>
    <mergeCell ref="A2:S3"/>
    <mergeCell ref="A10:D10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4"/>
  <sheetViews>
    <sheetView workbookViewId="0">
      <selection sqref="A1:I1"/>
    </sheetView>
  </sheetViews>
  <sheetFormatPr defaultColWidth="9.140625" defaultRowHeight="12.75" x14ac:dyDescent="0.2"/>
  <cols>
    <col min="1" max="6" width="9.140625" style="138"/>
    <col min="7" max="7" width="10.140625" style="138" bestFit="1" customWidth="1"/>
    <col min="8" max="16384" width="9.140625" style="138"/>
  </cols>
  <sheetData>
    <row r="1" spans="1:9" ht="15.75" x14ac:dyDescent="0.25">
      <c r="A1" s="705" t="s">
        <v>1122</v>
      </c>
      <c r="B1" s="705"/>
      <c r="C1" s="705"/>
      <c r="D1" s="705"/>
      <c r="E1" s="705"/>
      <c r="F1" s="705"/>
      <c r="G1" s="705"/>
      <c r="H1" s="705"/>
      <c r="I1" s="705"/>
    </row>
    <row r="2" spans="1:9" ht="15.75" x14ac:dyDescent="0.25">
      <c r="A2" s="296"/>
      <c r="B2" s="296"/>
      <c r="C2" s="296"/>
      <c r="D2" s="296"/>
      <c r="E2" s="296"/>
      <c r="F2" s="296"/>
      <c r="G2" s="297"/>
      <c r="H2" s="296"/>
    </row>
    <row r="3" spans="1:9" ht="15.75" x14ac:dyDescent="0.25">
      <c r="A3" s="706" t="s">
        <v>320</v>
      </c>
      <c r="B3" s="706"/>
      <c r="C3" s="706"/>
      <c r="D3" s="706"/>
      <c r="E3" s="706"/>
      <c r="F3" s="706"/>
      <c r="G3" s="706"/>
      <c r="H3" s="706"/>
    </row>
    <row r="4" spans="1:9" ht="15.75" x14ac:dyDescent="0.25">
      <c r="A4" s="706" t="s">
        <v>321</v>
      </c>
      <c r="B4" s="706"/>
      <c r="C4" s="706"/>
      <c r="D4" s="706"/>
      <c r="E4" s="706"/>
      <c r="F4" s="706"/>
      <c r="G4" s="706"/>
      <c r="H4" s="298"/>
    </row>
    <row r="5" spans="1:9" ht="15.75" x14ac:dyDescent="0.25">
      <c r="A5" s="299"/>
      <c r="B5" s="299"/>
      <c r="C5" s="299"/>
      <c r="D5" s="299"/>
      <c r="E5" s="299"/>
      <c r="F5" s="299"/>
      <c r="G5" s="300"/>
      <c r="H5" s="146"/>
    </row>
    <row r="6" spans="1:9" ht="15.75" x14ac:dyDescent="0.25">
      <c r="A6" s="146"/>
      <c r="B6" s="146"/>
      <c r="C6" s="146"/>
      <c r="D6" s="146"/>
      <c r="E6" s="146"/>
      <c r="F6" s="146"/>
      <c r="G6" s="297" t="s">
        <v>29</v>
      </c>
      <c r="H6" s="146"/>
    </row>
    <row r="7" spans="1:9" ht="15.75" x14ac:dyDescent="0.25">
      <c r="A7" s="146" t="s">
        <v>322</v>
      </c>
      <c r="B7" s="146"/>
      <c r="C7" s="146"/>
      <c r="D7" s="146"/>
      <c r="E7" s="146"/>
      <c r="F7" s="146"/>
      <c r="G7" s="301">
        <v>744</v>
      </c>
      <c r="H7" s="146"/>
    </row>
    <row r="8" spans="1:9" ht="15.75" x14ac:dyDescent="0.25">
      <c r="A8" s="146" t="s">
        <v>323</v>
      </c>
      <c r="B8" s="146"/>
      <c r="C8" s="146"/>
      <c r="D8" s="146"/>
      <c r="E8" s="146"/>
      <c r="F8" s="146"/>
      <c r="G8" s="301">
        <v>550</v>
      </c>
      <c r="H8" s="146"/>
    </row>
    <row r="9" spans="1:9" ht="15.75" x14ac:dyDescent="0.25">
      <c r="A9" s="146" t="s">
        <v>324</v>
      </c>
      <c r="B9" s="146"/>
      <c r="C9" s="146"/>
      <c r="D9" s="146"/>
      <c r="E9" s="146"/>
      <c r="F9" s="146"/>
      <c r="G9" s="301">
        <v>2500</v>
      </c>
      <c r="H9" s="146"/>
    </row>
    <row r="10" spans="1:9" ht="15.75" x14ac:dyDescent="0.25">
      <c r="A10" s="146" t="s">
        <v>325</v>
      </c>
      <c r="B10" s="146"/>
      <c r="C10" s="146"/>
      <c r="D10" s="146"/>
      <c r="E10" s="146"/>
      <c r="F10" s="146"/>
      <c r="G10" s="301">
        <v>465</v>
      </c>
      <c r="H10" s="146"/>
    </row>
    <row r="11" spans="1:9" ht="15.75" x14ac:dyDescent="0.25">
      <c r="A11" s="302" t="s">
        <v>326</v>
      </c>
      <c r="B11" s="146"/>
      <c r="C11" s="146"/>
      <c r="D11" s="146"/>
      <c r="E11" s="146"/>
      <c r="F11" s="146"/>
      <c r="G11" s="301"/>
      <c r="H11" s="146"/>
    </row>
    <row r="12" spans="1:9" ht="15.75" x14ac:dyDescent="0.25">
      <c r="A12" s="146" t="s">
        <v>327</v>
      </c>
      <c r="B12" s="146"/>
      <c r="C12" s="146"/>
      <c r="D12" s="146"/>
      <c r="E12" s="146"/>
      <c r="F12" s="146"/>
      <c r="G12" s="301">
        <v>14700</v>
      </c>
      <c r="H12" s="146"/>
    </row>
    <row r="13" spans="1:9" ht="15.75" x14ac:dyDescent="0.25">
      <c r="A13" s="146" t="s">
        <v>328</v>
      </c>
      <c r="B13" s="146"/>
      <c r="C13" s="146"/>
      <c r="D13" s="146"/>
      <c r="E13" s="146"/>
      <c r="F13" s="146"/>
      <c r="G13" s="301">
        <v>1043</v>
      </c>
      <c r="H13" s="146"/>
    </row>
    <row r="14" spans="1:9" ht="15.75" x14ac:dyDescent="0.25">
      <c r="A14" s="146"/>
      <c r="B14" s="146"/>
      <c r="C14" s="146"/>
      <c r="D14" s="146"/>
      <c r="E14" s="146"/>
      <c r="F14" s="146"/>
      <c r="G14" s="301"/>
      <c r="H14" s="146"/>
    </row>
    <row r="15" spans="1:9" ht="15.75" x14ac:dyDescent="0.25">
      <c r="A15" s="298" t="s">
        <v>28</v>
      </c>
      <c r="B15" s="146"/>
      <c r="C15" s="146"/>
      <c r="D15" s="146"/>
      <c r="E15" s="146"/>
      <c r="F15" s="146"/>
      <c r="G15" s="303">
        <f>SUM(G7:G13)</f>
        <v>20002</v>
      </c>
      <c r="H15" s="146"/>
    </row>
    <row r="16" spans="1:9" ht="15.75" x14ac:dyDescent="0.25">
      <c r="A16" s="146"/>
      <c r="B16" s="146"/>
      <c r="C16" s="146"/>
      <c r="D16" s="146"/>
      <c r="E16" s="146"/>
      <c r="F16" s="146"/>
      <c r="G16" s="301"/>
      <c r="H16" s="146"/>
    </row>
    <row r="17" spans="1:10" ht="15.75" x14ac:dyDescent="0.25">
      <c r="A17" s="146"/>
      <c r="B17" s="146"/>
      <c r="C17" s="146"/>
      <c r="D17" s="146"/>
      <c r="E17" s="146"/>
      <c r="F17" s="146"/>
      <c r="G17" s="301"/>
      <c r="H17" s="146"/>
    </row>
    <row r="18" spans="1:10" ht="15.75" x14ac:dyDescent="0.25">
      <c r="A18" s="632" t="s">
        <v>329</v>
      </c>
      <c r="B18" s="632"/>
      <c r="C18" s="632"/>
      <c r="D18" s="632"/>
      <c r="E18" s="632"/>
      <c r="F18" s="632"/>
      <c r="G18" s="633">
        <v>3864</v>
      </c>
      <c r="H18" s="632"/>
      <c r="J18" s="146"/>
    </row>
    <row r="19" spans="1:10" ht="15.75" x14ac:dyDescent="0.25">
      <c r="A19" s="632"/>
      <c r="B19" s="632"/>
      <c r="C19" s="632"/>
      <c r="D19" s="632"/>
      <c r="E19" s="632"/>
      <c r="F19" s="632"/>
      <c r="G19" s="633"/>
      <c r="H19" s="632"/>
    </row>
    <row r="20" spans="1:10" ht="15.75" x14ac:dyDescent="0.25">
      <c r="A20" s="632" t="s">
        <v>330</v>
      </c>
      <c r="B20" s="632"/>
      <c r="C20" s="632"/>
      <c r="D20" s="632"/>
      <c r="E20" s="632"/>
      <c r="F20" s="632"/>
      <c r="G20" s="633">
        <v>200</v>
      </c>
      <c r="H20" s="632"/>
    </row>
    <row r="21" spans="1:10" ht="15.75" x14ac:dyDescent="0.25">
      <c r="A21" s="632"/>
      <c r="B21" s="632"/>
      <c r="C21" s="632"/>
      <c r="D21" s="632"/>
      <c r="E21" s="632"/>
      <c r="F21" s="632"/>
      <c r="G21" s="633"/>
      <c r="H21" s="632"/>
    </row>
    <row r="22" spans="1:10" ht="15.75" x14ac:dyDescent="0.25">
      <c r="A22" s="632" t="s">
        <v>1076</v>
      </c>
      <c r="B22" s="632"/>
      <c r="C22" s="632"/>
      <c r="D22" s="632"/>
      <c r="E22" s="632"/>
      <c r="F22" s="632"/>
      <c r="G22" s="633"/>
      <c r="H22" s="632"/>
    </row>
    <row r="23" spans="1:10" ht="15.75" x14ac:dyDescent="0.25">
      <c r="A23" s="634" t="s">
        <v>1077</v>
      </c>
      <c r="B23" s="123"/>
      <c r="C23" s="123"/>
      <c r="D23" s="123"/>
      <c r="E23" s="123"/>
      <c r="F23" s="123"/>
      <c r="G23" s="635"/>
      <c r="H23" s="123"/>
    </row>
    <row r="24" spans="1:10" ht="15.75" x14ac:dyDescent="0.25">
      <c r="A24" s="634" t="s">
        <v>331</v>
      </c>
      <c r="B24" s="123"/>
      <c r="C24" s="123"/>
      <c r="D24" s="123"/>
      <c r="E24" s="123"/>
      <c r="F24" s="123"/>
      <c r="G24" s="635"/>
      <c r="H24" s="123"/>
    </row>
    <row r="25" spans="1:10" x14ac:dyDescent="0.2">
      <c r="A25" s="123"/>
      <c r="B25" s="123"/>
      <c r="C25" s="123"/>
      <c r="D25" s="123"/>
      <c r="E25" s="123"/>
      <c r="F25" s="123"/>
      <c r="G25" s="635"/>
      <c r="H25" s="123"/>
    </row>
    <row r="26" spans="1:10" x14ac:dyDescent="0.2">
      <c r="A26" s="123"/>
      <c r="B26" s="123"/>
      <c r="C26" s="123"/>
      <c r="D26" s="123"/>
      <c r="E26" s="123"/>
      <c r="F26" s="123"/>
      <c r="G26" s="635"/>
      <c r="H26" s="123"/>
    </row>
    <row r="27" spans="1:10" x14ac:dyDescent="0.2">
      <c r="A27" s="123"/>
      <c r="B27" s="123"/>
      <c r="C27" s="123"/>
      <c r="D27" s="123"/>
      <c r="E27" s="123"/>
      <c r="F27" s="123"/>
      <c r="G27" s="635"/>
      <c r="H27" s="123"/>
    </row>
    <row r="28" spans="1:10" x14ac:dyDescent="0.2">
      <c r="A28" s="123"/>
      <c r="B28" s="123"/>
      <c r="C28" s="123"/>
      <c r="D28" s="123"/>
      <c r="E28" s="123"/>
      <c r="F28" s="123"/>
      <c r="G28" s="635"/>
      <c r="H28" s="123"/>
    </row>
    <row r="29" spans="1:10" x14ac:dyDescent="0.2">
      <c r="A29" s="123"/>
      <c r="B29" s="123"/>
      <c r="C29" s="123"/>
      <c r="D29" s="123"/>
      <c r="E29" s="123"/>
      <c r="F29" s="123"/>
      <c r="G29" s="635"/>
      <c r="H29" s="123"/>
    </row>
    <row r="30" spans="1:10" x14ac:dyDescent="0.2">
      <c r="A30" s="123"/>
      <c r="B30" s="123"/>
      <c r="C30" s="123"/>
      <c r="D30" s="123"/>
      <c r="E30" s="123"/>
      <c r="F30" s="123"/>
      <c r="G30" s="635"/>
      <c r="H30" s="123"/>
    </row>
    <row r="31" spans="1:10" x14ac:dyDescent="0.2">
      <c r="A31" s="123"/>
      <c r="B31" s="123"/>
      <c r="C31" s="123"/>
      <c r="D31" s="123"/>
      <c r="E31" s="123"/>
      <c r="F31" s="123"/>
      <c r="G31" s="635"/>
      <c r="H31" s="123"/>
    </row>
    <row r="32" spans="1:10" x14ac:dyDescent="0.2">
      <c r="A32" s="123"/>
      <c r="B32" s="123"/>
      <c r="C32" s="123"/>
      <c r="D32" s="123"/>
      <c r="E32" s="123"/>
      <c r="F32" s="123"/>
      <c r="G32" s="123"/>
      <c r="H32" s="123"/>
    </row>
    <row r="33" spans="1:8" x14ac:dyDescent="0.2">
      <c r="A33" s="123"/>
      <c r="B33" s="123"/>
      <c r="C33" s="123"/>
      <c r="D33" s="123"/>
      <c r="E33" s="123"/>
      <c r="F33" s="123"/>
      <c r="G33" s="123"/>
      <c r="H33" s="123"/>
    </row>
    <row r="34" spans="1:8" x14ac:dyDescent="0.2">
      <c r="A34" s="123"/>
      <c r="B34" s="123"/>
      <c r="C34" s="123"/>
      <c r="D34" s="123"/>
      <c r="E34" s="123"/>
      <c r="F34" s="123"/>
      <c r="G34" s="123"/>
      <c r="H34" s="123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70"/>
  <sheetViews>
    <sheetView zoomScaleNormal="100" workbookViewId="0">
      <selection sqref="A1:G1"/>
    </sheetView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5.7109375" style="123" customWidth="1"/>
    <col min="4" max="4" width="12.42578125" style="123" customWidth="1"/>
    <col min="5" max="5" width="14.140625" style="123" customWidth="1"/>
    <col min="6" max="6" width="14.5703125" style="123" customWidth="1"/>
    <col min="7" max="7" width="16.140625" style="123" customWidth="1"/>
    <col min="8" max="16384" width="9.140625" style="138"/>
  </cols>
  <sheetData>
    <row r="1" spans="1:7" ht="12.75" customHeight="1" x14ac:dyDescent="0.25">
      <c r="A1" s="642" t="s">
        <v>1123</v>
      </c>
      <c r="B1" s="642"/>
      <c r="C1" s="642"/>
      <c r="D1" s="642"/>
      <c r="E1" s="642"/>
      <c r="F1" s="642"/>
      <c r="G1" s="642"/>
    </row>
    <row r="2" spans="1:7" ht="15" x14ac:dyDescent="0.25">
      <c r="A2" s="213"/>
      <c r="B2" s="214"/>
      <c r="C2" s="214"/>
      <c r="D2" s="214"/>
      <c r="E2" s="214"/>
      <c r="F2" s="214"/>
      <c r="G2" s="255"/>
    </row>
    <row r="3" spans="1:7" ht="13.5" x14ac:dyDescent="0.25">
      <c r="A3" s="708" t="s">
        <v>247</v>
      </c>
      <c r="B3" s="708"/>
      <c r="C3" s="708"/>
      <c r="D3" s="708"/>
      <c r="E3" s="708"/>
      <c r="F3" s="708"/>
      <c r="G3" s="708"/>
    </row>
    <row r="4" spans="1:7" ht="13.5" x14ac:dyDescent="0.25">
      <c r="A4" s="213"/>
      <c r="B4" s="215"/>
      <c r="C4" s="213"/>
      <c r="D4" s="216"/>
      <c r="E4" s="217"/>
      <c r="F4" s="216"/>
      <c r="G4" s="216"/>
    </row>
    <row r="5" spans="1:7" ht="15.75" x14ac:dyDescent="0.25">
      <c r="A5" s="709" t="s">
        <v>248</v>
      </c>
      <c r="B5" s="709"/>
      <c r="C5" s="709"/>
      <c r="D5" s="709"/>
      <c r="E5" s="709"/>
      <c r="F5" s="709"/>
      <c r="G5" s="709"/>
    </row>
    <row r="6" spans="1:7" ht="13.5" x14ac:dyDescent="0.2">
      <c r="A6" s="218"/>
      <c r="B6" s="223"/>
      <c r="C6" s="224"/>
      <c r="D6" s="223"/>
      <c r="E6" s="217"/>
      <c r="F6" s="223"/>
      <c r="G6" s="225" t="s">
        <v>249</v>
      </c>
    </row>
    <row r="7" spans="1:7" ht="13.5" x14ac:dyDescent="0.2">
      <c r="A7" s="226" t="s">
        <v>250</v>
      </c>
      <c r="B7" s="220" t="s">
        <v>251</v>
      </c>
      <c r="C7" s="220" t="s">
        <v>252</v>
      </c>
      <c r="D7" s="220" t="s">
        <v>285</v>
      </c>
      <c r="E7" s="220" t="s">
        <v>286</v>
      </c>
      <c r="F7" s="220" t="s">
        <v>287</v>
      </c>
      <c r="G7" s="227" t="s">
        <v>253</v>
      </c>
    </row>
    <row r="8" spans="1:7" ht="13.5" x14ac:dyDescent="0.2">
      <c r="A8" s="226"/>
      <c r="B8" s="220"/>
      <c r="C8" s="220"/>
      <c r="D8" s="220"/>
      <c r="E8" s="220"/>
      <c r="F8" s="220"/>
      <c r="G8" s="227"/>
    </row>
    <row r="9" spans="1:7" ht="25.5" x14ac:dyDescent="0.2">
      <c r="A9" s="228">
        <v>1</v>
      </c>
      <c r="B9" s="229" t="s">
        <v>255</v>
      </c>
      <c r="C9" s="230" t="s">
        <v>256</v>
      </c>
      <c r="D9" s="220"/>
      <c r="E9" s="220"/>
      <c r="F9" s="220"/>
      <c r="G9" s="227"/>
    </row>
    <row r="10" spans="1:7" ht="13.5" x14ac:dyDescent="0.2">
      <c r="A10" s="226"/>
      <c r="B10" s="231" t="s">
        <v>36</v>
      </c>
      <c r="C10" s="220"/>
      <c r="D10" s="220"/>
      <c r="E10" s="220"/>
      <c r="F10" s="220"/>
      <c r="G10" s="227"/>
    </row>
    <row r="11" spans="1:7" ht="13.5" x14ac:dyDescent="0.2">
      <c r="A11" s="226"/>
      <c r="B11" s="232" t="s">
        <v>254</v>
      </c>
      <c r="C11" s="233"/>
      <c r="D11" s="234">
        <v>141990461</v>
      </c>
      <c r="E11" s="234">
        <v>1434246</v>
      </c>
      <c r="F11" s="234">
        <v>0</v>
      </c>
      <c r="G11" s="216">
        <f>SUM(D11:F11)</f>
        <v>143424707</v>
      </c>
    </row>
    <row r="12" spans="1:7" ht="13.5" x14ac:dyDescent="0.2">
      <c r="A12" s="226"/>
      <c r="B12" s="232" t="s">
        <v>289</v>
      </c>
      <c r="C12" s="233"/>
      <c r="D12" s="234">
        <v>0</v>
      </c>
      <c r="E12" s="234">
        <v>14347380</v>
      </c>
      <c r="F12" s="234">
        <v>0</v>
      </c>
      <c r="G12" s="216">
        <f>SUM(D12:F12)</f>
        <v>14347380</v>
      </c>
    </row>
    <row r="13" spans="1:7" ht="13.5" x14ac:dyDescent="0.25">
      <c r="A13" s="235"/>
      <c r="B13" s="236" t="s">
        <v>30</v>
      </c>
      <c r="C13" s="237"/>
      <c r="D13" s="238">
        <f>SUM(D11:D12)</f>
        <v>141990461</v>
      </c>
      <c r="E13" s="238">
        <f t="shared" ref="E13:F13" si="0">SUM(E11:E12)</f>
        <v>15781626</v>
      </c>
      <c r="F13" s="238">
        <f t="shared" si="0"/>
        <v>0</v>
      </c>
      <c r="G13" s="238">
        <f>SUM(G11:G12)</f>
        <v>157772087</v>
      </c>
    </row>
    <row r="14" spans="1:7" ht="13.5" x14ac:dyDescent="0.2">
      <c r="A14" s="226"/>
      <c r="B14" s="220"/>
      <c r="C14" s="220"/>
      <c r="D14" s="220"/>
      <c r="E14" s="220"/>
      <c r="F14" s="220"/>
      <c r="G14" s="227"/>
    </row>
    <row r="15" spans="1:7" ht="25.5" x14ac:dyDescent="0.2">
      <c r="A15" s="228">
        <v>2</v>
      </c>
      <c r="B15" s="229" t="s">
        <v>257</v>
      </c>
      <c r="C15" s="230" t="s">
        <v>258</v>
      </c>
      <c r="D15" s="220"/>
      <c r="E15" s="220"/>
      <c r="F15" s="220"/>
      <c r="G15" s="227"/>
    </row>
    <row r="16" spans="1:7" ht="13.5" x14ac:dyDescent="0.2">
      <c r="A16" s="226"/>
      <c r="B16" s="231" t="s">
        <v>36</v>
      </c>
      <c r="C16" s="220"/>
      <c r="D16" s="220"/>
      <c r="E16" s="220"/>
      <c r="F16" s="220"/>
      <c r="G16" s="227"/>
    </row>
    <row r="17" spans="1:7" ht="13.5" x14ac:dyDescent="0.2">
      <c r="A17" s="226"/>
      <c r="B17" s="232" t="s">
        <v>254</v>
      </c>
      <c r="C17" s="233"/>
      <c r="D17" s="234">
        <v>67384779</v>
      </c>
      <c r="E17" s="234">
        <v>165100</v>
      </c>
      <c r="F17" s="234">
        <v>0</v>
      </c>
      <c r="G17" s="216">
        <f>SUM(D17:F17)</f>
        <v>67549879</v>
      </c>
    </row>
    <row r="18" spans="1:7" ht="13.5" x14ac:dyDescent="0.2">
      <c r="A18" s="226"/>
      <c r="B18" s="232" t="s">
        <v>289</v>
      </c>
      <c r="C18" s="233"/>
      <c r="D18" s="234">
        <v>9475165</v>
      </c>
      <c r="E18" s="234">
        <v>0</v>
      </c>
      <c r="F18" s="234">
        <v>0</v>
      </c>
      <c r="G18" s="216">
        <f>SUM(D18:F18)</f>
        <v>9475165</v>
      </c>
    </row>
    <row r="19" spans="1:7" ht="13.5" x14ac:dyDescent="0.25">
      <c r="A19" s="235"/>
      <c r="B19" s="236" t="s">
        <v>30</v>
      </c>
      <c r="C19" s="237"/>
      <c r="D19" s="238">
        <f>SUM(D17:D18)</f>
        <v>76859944</v>
      </c>
      <c r="E19" s="238">
        <f t="shared" ref="E19:F19" si="1">SUM(E17:E18)</f>
        <v>165100</v>
      </c>
      <c r="F19" s="238">
        <f t="shared" si="1"/>
        <v>0</v>
      </c>
      <c r="G19" s="238">
        <f>SUM(G17:G18)</f>
        <v>77025044</v>
      </c>
    </row>
    <row r="20" spans="1:7" ht="13.5" x14ac:dyDescent="0.2">
      <c r="A20" s="226"/>
      <c r="B20" s="220"/>
      <c r="C20" s="220"/>
      <c r="D20" s="220"/>
      <c r="E20" s="220"/>
      <c r="F20" s="220"/>
      <c r="G20" s="227"/>
    </row>
    <row r="21" spans="1:7" ht="38.25" x14ac:dyDescent="0.2">
      <c r="A21" s="228">
        <v>3</v>
      </c>
      <c r="B21" s="229" t="s">
        <v>259</v>
      </c>
      <c r="C21" s="230" t="s">
        <v>260</v>
      </c>
      <c r="D21" s="220"/>
      <c r="E21" s="220"/>
      <c r="F21" s="220"/>
      <c r="G21" s="227"/>
    </row>
    <row r="22" spans="1:7" ht="13.5" x14ac:dyDescent="0.2">
      <c r="A22" s="226"/>
      <c r="B22" s="231" t="s">
        <v>36</v>
      </c>
      <c r="C22" s="220"/>
      <c r="D22" s="220"/>
      <c r="E22" s="220"/>
      <c r="F22" s="220"/>
      <c r="G22" s="227"/>
    </row>
    <row r="23" spans="1:7" ht="13.5" x14ac:dyDescent="0.2">
      <c r="A23" s="226"/>
      <c r="B23" s="232" t="s">
        <v>254</v>
      </c>
      <c r="C23" s="233"/>
      <c r="D23" s="234">
        <v>8474064</v>
      </c>
      <c r="E23" s="234">
        <v>0</v>
      </c>
      <c r="F23" s="234">
        <v>720596</v>
      </c>
      <c r="G23" s="216">
        <f>SUM(D23:F23)</f>
        <v>9194660</v>
      </c>
    </row>
    <row r="24" spans="1:7" s="243" customFormat="1" ht="13.5" x14ac:dyDescent="0.25">
      <c r="A24" s="239"/>
      <c r="B24" s="240" t="s">
        <v>30</v>
      </c>
      <c r="C24" s="241"/>
      <c r="D24" s="242">
        <f>SUM(D23:D23)</f>
        <v>8474064</v>
      </c>
      <c r="E24" s="242">
        <f>SUM(E23:E23)</f>
        <v>0</v>
      </c>
      <c r="F24" s="242">
        <f>SUM(F23:F23)</f>
        <v>720596</v>
      </c>
      <c r="G24" s="242">
        <f>SUM(G23:G23)</f>
        <v>9194660</v>
      </c>
    </row>
    <row r="25" spans="1:7" ht="13.5" x14ac:dyDescent="0.2">
      <c r="A25" s="226"/>
      <c r="B25" s="220"/>
      <c r="C25" s="220"/>
      <c r="D25" s="220"/>
      <c r="E25" s="220"/>
      <c r="F25" s="220"/>
      <c r="G25" s="227"/>
    </row>
    <row r="26" spans="1:7" ht="38.25" x14ac:dyDescent="0.2">
      <c r="A26" s="228">
        <v>4</v>
      </c>
      <c r="B26" s="229" t="s">
        <v>261</v>
      </c>
      <c r="C26" s="230" t="s">
        <v>262</v>
      </c>
      <c r="D26" s="220"/>
      <c r="E26" s="220"/>
      <c r="F26" s="220"/>
      <c r="G26" s="227"/>
    </row>
    <row r="27" spans="1:7" ht="13.5" x14ac:dyDescent="0.2">
      <c r="A27" s="226"/>
      <c r="B27" s="231" t="s">
        <v>36</v>
      </c>
      <c r="C27" s="220"/>
      <c r="D27" s="220"/>
      <c r="E27" s="220"/>
      <c r="F27" s="220"/>
      <c r="G27" s="227"/>
    </row>
    <row r="28" spans="1:7" ht="13.5" x14ac:dyDescent="0.2">
      <c r="A28" s="226"/>
      <c r="B28" s="232" t="s">
        <v>254</v>
      </c>
      <c r="C28" s="233"/>
      <c r="D28" s="234">
        <v>12798978</v>
      </c>
      <c r="E28" s="234">
        <v>0</v>
      </c>
      <c r="F28" s="234">
        <v>3939282</v>
      </c>
      <c r="G28" s="234">
        <f>SUM(D28:F28)</f>
        <v>16738260</v>
      </c>
    </row>
    <row r="29" spans="1:7" ht="13.5" x14ac:dyDescent="0.25">
      <c r="A29" s="239"/>
      <c r="B29" s="240" t="s">
        <v>30</v>
      </c>
      <c r="C29" s="241"/>
      <c r="D29" s="242">
        <f>SUM(D28:D28)</f>
        <v>12798978</v>
      </c>
      <c r="E29" s="242">
        <f>SUM(E28:E28)</f>
        <v>0</v>
      </c>
      <c r="F29" s="242">
        <f>SUM(F28:F28)</f>
        <v>3939282</v>
      </c>
      <c r="G29" s="242">
        <f>SUM(G28:G28)</f>
        <v>16738260</v>
      </c>
    </row>
    <row r="30" spans="1:7" ht="13.5" x14ac:dyDescent="0.2">
      <c r="A30" s="226"/>
      <c r="B30" s="220"/>
      <c r="C30" s="220"/>
      <c r="D30" s="220"/>
      <c r="E30" s="220"/>
      <c r="F30" s="220"/>
      <c r="G30" s="227"/>
    </row>
    <row r="31" spans="1:7" ht="38.25" x14ac:dyDescent="0.2">
      <c r="A31" s="228">
        <v>5</v>
      </c>
      <c r="B31" s="229" t="s">
        <v>263</v>
      </c>
      <c r="C31" s="230" t="s">
        <v>264</v>
      </c>
      <c r="D31" s="220"/>
      <c r="E31" s="220"/>
      <c r="F31" s="220"/>
      <c r="G31" s="227"/>
    </row>
    <row r="32" spans="1:7" ht="13.5" x14ac:dyDescent="0.2">
      <c r="A32" s="226"/>
      <c r="B32" s="231" t="s">
        <v>36</v>
      </c>
      <c r="C32" s="220"/>
      <c r="D32" s="220"/>
      <c r="E32" s="220"/>
      <c r="F32" s="220"/>
      <c r="G32" s="227"/>
    </row>
    <row r="33" spans="1:7" ht="13.5" x14ac:dyDescent="0.2">
      <c r="A33" s="226"/>
      <c r="B33" s="232" t="s">
        <v>254</v>
      </c>
      <c r="C33" s="233"/>
      <c r="D33" s="234">
        <v>6255276</v>
      </c>
      <c r="E33" s="234">
        <v>0</v>
      </c>
      <c r="F33" s="234">
        <v>1587184</v>
      </c>
      <c r="G33" s="216">
        <f>SUM(D33:F33)</f>
        <v>7842460</v>
      </c>
    </row>
    <row r="34" spans="1:7" ht="13.5" x14ac:dyDescent="0.25">
      <c r="A34" s="239"/>
      <c r="B34" s="240" t="s">
        <v>30</v>
      </c>
      <c r="C34" s="241"/>
      <c r="D34" s="242">
        <f>SUM(D33:D33)</f>
        <v>6255276</v>
      </c>
      <c r="E34" s="242">
        <f>SUM(E33:E33)</f>
        <v>0</v>
      </c>
      <c r="F34" s="242">
        <f>SUM(F33:F33)</f>
        <v>1587184</v>
      </c>
      <c r="G34" s="242">
        <f>SUM(G33:G33)</f>
        <v>7842460</v>
      </c>
    </row>
    <row r="35" spans="1:7" ht="13.5" x14ac:dyDescent="0.2">
      <c r="A35" s="226"/>
      <c r="B35" s="220"/>
      <c r="C35" s="220"/>
      <c r="D35" s="220"/>
      <c r="E35" s="220"/>
      <c r="F35" s="220"/>
      <c r="G35" s="227"/>
    </row>
    <row r="36" spans="1:7" ht="25.5" x14ac:dyDescent="0.2">
      <c r="A36" s="228">
        <v>6</v>
      </c>
      <c r="B36" s="229" t="s">
        <v>265</v>
      </c>
      <c r="C36" s="230" t="s">
        <v>266</v>
      </c>
      <c r="D36" s="220"/>
      <c r="E36" s="220"/>
      <c r="F36" s="220"/>
      <c r="G36" s="227"/>
    </row>
    <row r="37" spans="1:7" ht="13.5" x14ac:dyDescent="0.2">
      <c r="A37" s="226"/>
      <c r="B37" s="231" t="s">
        <v>36</v>
      </c>
      <c r="C37" s="220"/>
      <c r="D37" s="220"/>
      <c r="E37" s="220"/>
      <c r="F37" s="220"/>
      <c r="G37" s="227"/>
    </row>
    <row r="38" spans="1:7" ht="13.5" x14ac:dyDescent="0.2">
      <c r="A38" s="226"/>
      <c r="B38" s="232" t="s">
        <v>254</v>
      </c>
      <c r="C38" s="233"/>
      <c r="D38" s="234">
        <v>21453020</v>
      </c>
      <c r="E38" s="234">
        <v>0</v>
      </c>
      <c r="F38" s="234">
        <v>0</v>
      </c>
      <c r="G38" s="234">
        <f>SUM(D38:F38)</f>
        <v>21453020</v>
      </c>
    </row>
    <row r="39" spans="1:7" ht="13.5" x14ac:dyDescent="0.25">
      <c r="A39" s="239"/>
      <c r="B39" s="240" t="s">
        <v>30</v>
      </c>
      <c r="C39" s="241"/>
      <c r="D39" s="242">
        <f>SUM(D38:D38)</f>
        <v>21453020</v>
      </c>
      <c r="E39" s="242">
        <f>SUM(E38:E38)</f>
        <v>0</v>
      </c>
      <c r="F39" s="242">
        <f>SUM(F38:F38)</f>
        <v>0</v>
      </c>
      <c r="G39" s="242">
        <f>SUM(G38:G38)</f>
        <v>21453020</v>
      </c>
    </row>
    <row r="40" spans="1:7" ht="13.5" x14ac:dyDescent="0.25">
      <c r="A40" s="218"/>
      <c r="B40" s="219"/>
      <c r="C40" s="220"/>
      <c r="D40" s="221"/>
      <c r="E40" s="221"/>
      <c r="F40" s="221"/>
      <c r="G40" s="221"/>
    </row>
    <row r="41" spans="1:7" ht="13.5" x14ac:dyDescent="0.2">
      <c r="A41" s="228">
        <v>7</v>
      </c>
      <c r="B41" s="229" t="s">
        <v>267</v>
      </c>
      <c r="C41" s="230" t="s">
        <v>268</v>
      </c>
      <c r="D41" s="220"/>
      <c r="E41" s="220"/>
      <c r="F41" s="220"/>
      <c r="G41" s="227"/>
    </row>
    <row r="42" spans="1:7" ht="13.5" x14ac:dyDescent="0.2">
      <c r="A42" s="226"/>
      <c r="B42" s="231" t="s">
        <v>36</v>
      </c>
      <c r="C42" s="220"/>
      <c r="D42" s="220"/>
      <c r="E42" s="220"/>
      <c r="F42" s="220"/>
      <c r="G42" s="227"/>
    </row>
    <row r="43" spans="1:7" ht="13.5" x14ac:dyDescent="0.2">
      <c r="A43" s="226"/>
      <c r="B43" s="232" t="s">
        <v>254</v>
      </c>
      <c r="C43" s="233"/>
      <c r="D43" s="234">
        <v>78366000</v>
      </c>
      <c r="E43" s="234">
        <v>78975000</v>
      </c>
      <c r="F43" s="234">
        <v>1710000</v>
      </c>
      <c r="G43" s="234">
        <f>SUM(D43:F43)</f>
        <v>159051000</v>
      </c>
    </row>
    <row r="44" spans="1:7" ht="13.5" x14ac:dyDescent="0.25">
      <c r="A44" s="239"/>
      <c r="B44" s="240" t="s">
        <v>30</v>
      </c>
      <c r="C44" s="241"/>
      <c r="D44" s="242">
        <f>SUM(D43:D43)</f>
        <v>78366000</v>
      </c>
      <c r="E44" s="242">
        <f>SUM(E43:E43)</f>
        <v>78975000</v>
      </c>
      <c r="F44" s="242">
        <f>SUM(F43:F43)</f>
        <v>1710000</v>
      </c>
      <c r="G44" s="242">
        <f>SUM(G43:G43)</f>
        <v>159051000</v>
      </c>
    </row>
    <row r="45" spans="1:7" ht="13.5" x14ac:dyDescent="0.25">
      <c r="A45" s="218"/>
      <c r="B45" s="219"/>
      <c r="C45" s="220"/>
      <c r="D45" s="221"/>
      <c r="E45" s="221"/>
      <c r="F45" s="221"/>
      <c r="G45" s="221"/>
    </row>
    <row r="46" spans="1:7" ht="13.5" x14ac:dyDescent="0.2">
      <c r="A46" s="228">
        <v>8</v>
      </c>
      <c r="B46" s="229" t="s">
        <v>269</v>
      </c>
      <c r="C46" s="230" t="s">
        <v>270</v>
      </c>
      <c r="D46" s="220"/>
      <c r="E46" s="220"/>
      <c r="F46" s="220"/>
      <c r="G46" s="227"/>
    </row>
    <row r="47" spans="1:7" ht="13.5" x14ac:dyDescent="0.2">
      <c r="A47" s="226"/>
      <c r="B47" s="231" t="s">
        <v>36</v>
      </c>
      <c r="C47" s="220"/>
      <c r="D47" s="220"/>
      <c r="E47" s="220"/>
      <c r="F47" s="220"/>
      <c r="G47" s="227"/>
    </row>
    <row r="48" spans="1:7" ht="13.5" x14ac:dyDescent="0.2">
      <c r="A48" s="226"/>
      <c r="B48" s="232" t="s">
        <v>254</v>
      </c>
      <c r="C48" s="233"/>
      <c r="D48" s="234">
        <v>62570637</v>
      </c>
      <c r="E48" s="234">
        <v>68353178</v>
      </c>
      <c r="F48" s="234">
        <v>3224950</v>
      </c>
      <c r="G48" s="234">
        <f>SUM(D48:F48)</f>
        <v>134148765</v>
      </c>
    </row>
    <row r="49" spans="1:7" ht="13.5" x14ac:dyDescent="0.25">
      <c r="A49" s="239"/>
      <c r="B49" s="240" t="s">
        <v>30</v>
      </c>
      <c r="C49" s="241"/>
      <c r="D49" s="242">
        <f>SUM(D48:D48)</f>
        <v>62570637</v>
      </c>
      <c r="E49" s="242">
        <f>SUM(E48:E48)</f>
        <v>68353178</v>
      </c>
      <c r="F49" s="242">
        <f>SUM(F48:F48)</f>
        <v>3224950</v>
      </c>
      <c r="G49" s="242">
        <f>SUM(G48:G48)</f>
        <v>134148765</v>
      </c>
    </row>
    <row r="50" spans="1:7" ht="13.5" x14ac:dyDescent="0.25">
      <c r="A50" s="218"/>
      <c r="B50" s="219"/>
      <c r="C50" s="220"/>
      <c r="D50" s="221"/>
      <c r="E50" s="221"/>
      <c r="F50" s="221"/>
      <c r="G50" s="221"/>
    </row>
    <row r="51" spans="1:7" ht="25.5" x14ac:dyDescent="0.2">
      <c r="A51" s="228">
        <v>9</v>
      </c>
      <c r="B51" s="229" t="s">
        <v>271</v>
      </c>
      <c r="C51" s="230" t="s">
        <v>272</v>
      </c>
      <c r="D51" s="220"/>
      <c r="E51" s="220"/>
      <c r="F51" s="220"/>
      <c r="G51" s="227"/>
    </row>
    <row r="52" spans="1:7" ht="13.5" x14ac:dyDescent="0.2">
      <c r="A52" s="226"/>
      <c r="B52" s="231" t="s">
        <v>36</v>
      </c>
      <c r="C52" s="220"/>
      <c r="D52" s="220"/>
      <c r="E52" s="220"/>
      <c r="F52" s="220"/>
      <c r="G52" s="227"/>
    </row>
    <row r="53" spans="1:7" ht="13.5" x14ac:dyDescent="0.2">
      <c r="A53" s="226"/>
      <c r="B53" s="232" t="s">
        <v>254</v>
      </c>
      <c r="C53" s="233"/>
      <c r="D53" s="234">
        <v>183273300</v>
      </c>
      <c r="E53" s="234">
        <v>3851245</v>
      </c>
      <c r="F53" s="234">
        <v>0</v>
      </c>
      <c r="G53" s="234">
        <f>SUM(D53:F53)</f>
        <v>187124545</v>
      </c>
    </row>
    <row r="54" spans="1:7" ht="13.5" x14ac:dyDescent="0.2">
      <c r="A54" s="226"/>
      <c r="B54" s="232" t="s">
        <v>289</v>
      </c>
      <c r="C54" s="233"/>
      <c r="D54" s="234">
        <v>0</v>
      </c>
      <c r="E54" s="234">
        <v>5237866</v>
      </c>
      <c r="F54" s="234">
        <v>0</v>
      </c>
      <c r="G54" s="234">
        <v>5237956</v>
      </c>
    </row>
    <row r="55" spans="1:7" ht="13.5" x14ac:dyDescent="0.25">
      <c r="A55" s="239"/>
      <c r="B55" s="240" t="s">
        <v>30</v>
      </c>
      <c r="C55" s="241"/>
      <c r="D55" s="242">
        <f>SUM(D53:D54)</f>
        <v>183273300</v>
      </c>
      <c r="E55" s="242">
        <f t="shared" ref="E55:F55" si="2">SUM(E53:E54)</f>
        <v>9089111</v>
      </c>
      <c r="F55" s="242">
        <f t="shared" si="2"/>
        <v>0</v>
      </c>
      <c r="G55" s="242">
        <f>SUM(G53:G54)</f>
        <v>192362501</v>
      </c>
    </row>
    <row r="56" spans="1:7" ht="13.5" x14ac:dyDescent="0.25">
      <c r="A56" s="218"/>
      <c r="B56" s="219"/>
      <c r="C56" s="220"/>
      <c r="D56" s="221"/>
      <c r="E56" s="221"/>
      <c r="F56" s="221"/>
      <c r="G56" s="221"/>
    </row>
    <row r="57" spans="1:7" x14ac:dyDescent="0.2">
      <c r="A57" s="228">
        <v>10</v>
      </c>
      <c r="B57" s="229" t="s">
        <v>333</v>
      </c>
      <c r="C57" s="305" t="s">
        <v>334</v>
      </c>
    </row>
    <row r="58" spans="1:7" ht="13.5" x14ac:dyDescent="0.25">
      <c r="A58" s="218"/>
      <c r="B58" s="304"/>
      <c r="C58" s="220"/>
    </row>
    <row r="59" spans="1:7" ht="13.5" x14ac:dyDescent="0.25">
      <c r="A59" s="218"/>
      <c r="B59" s="231" t="s">
        <v>36</v>
      </c>
      <c r="C59" s="220"/>
      <c r="D59" s="221"/>
      <c r="E59" s="221"/>
      <c r="F59" s="221"/>
      <c r="G59" s="221"/>
    </row>
    <row r="60" spans="1:7" ht="13.5" x14ac:dyDescent="0.25">
      <c r="A60" s="218"/>
      <c r="B60" s="306" t="s">
        <v>335</v>
      </c>
      <c r="C60" s="220"/>
      <c r="D60" s="221">
        <v>0</v>
      </c>
      <c r="E60" s="315">
        <v>88239210</v>
      </c>
      <c r="F60" s="221">
        <v>0</v>
      </c>
      <c r="G60" s="221">
        <v>88239210</v>
      </c>
    </row>
    <row r="61" spans="1:7" ht="13.5" x14ac:dyDescent="0.25">
      <c r="A61" s="307"/>
      <c r="B61" s="308" t="s">
        <v>30</v>
      </c>
      <c r="C61" s="241"/>
      <c r="D61" s="242">
        <v>0</v>
      </c>
      <c r="E61" s="242">
        <v>88239210</v>
      </c>
      <c r="F61" s="242">
        <v>0</v>
      </c>
      <c r="G61" s="242">
        <v>88239210</v>
      </c>
    </row>
    <row r="62" spans="1:7" ht="13.5" x14ac:dyDescent="0.25">
      <c r="A62" s="243"/>
      <c r="B62" s="309"/>
      <c r="C62" s="220"/>
      <c r="D62" s="220"/>
      <c r="E62" s="220"/>
      <c r="F62" s="220"/>
      <c r="G62" s="310"/>
    </row>
    <row r="63" spans="1:7" ht="38.25" x14ac:dyDescent="0.2">
      <c r="A63" s="228">
        <v>11</v>
      </c>
      <c r="B63" s="312" t="s">
        <v>336</v>
      </c>
      <c r="C63" s="230" t="s">
        <v>337</v>
      </c>
      <c r="F63" s="220"/>
      <c r="G63" s="310"/>
    </row>
    <row r="64" spans="1:7" ht="13.5" x14ac:dyDescent="0.2">
      <c r="A64" s="311"/>
      <c r="B64" s="312"/>
      <c r="C64" s="230"/>
      <c r="F64" s="220"/>
      <c r="G64" s="310"/>
    </row>
    <row r="65" spans="1:7" ht="13.5" x14ac:dyDescent="0.2">
      <c r="A65" s="311"/>
      <c r="B65" s="313" t="s">
        <v>36</v>
      </c>
      <c r="C65" s="230"/>
      <c r="F65" s="220"/>
      <c r="G65" s="310"/>
    </row>
    <row r="66" spans="1:7" ht="13.5" x14ac:dyDescent="0.2">
      <c r="A66" s="243"/>
      <c r="B66" s="306" t="s">
        <v>335</v>
      </c>
      <c r="C66" s="220"/>
      <c r="D66" s="316">
        <v>0</v>
      </c>
      <c r="E66" s="317">
        <v>232664000</v>
      </c>
      <c r="F66" s="225">
        <v>0</v>
      </c>
      <c r="G66" s="318">
        <v>232664000</v>
      </c>
    </row>
    <row r="67" spans="1:7" ht="13.5" x14ac:dyDescent="0.25">
      <c r="A67" s="307"/>
      <c r="B67" s="308" t="s">
        <v>30</v>
      </c>
      <c r="C67" s="241"/>
      <c r="D67" s="319">
        <v>0</v>
      </c>
      <c r="E67" s="319">
        <v>232664000</v>
      </c>
      <c r="F67" s="320">
        <v>0</v>
      </c>
      <c r="G67" s="321">
        <v>232664000</v>
      </c>
    </row>
    <row r="68" spans="1:7" ht="13.5" x14ac:dyDescent="0.2">
      <c r="A68" s="226"/>
      <c r="B68" s="220"/>
      <c r="C68" s="220"/>
      <c r="D68" s="220"/>
      <c r="E68" s="220"/>
      <c r="F68" s="220"/>
      <c r="G68" s="227"/>
    </row>
    <row r="69" spans="1:7" ht="15.75" x14ac:dyDescent="0.25">
      <c r="A69" s="244"/>
      <c r="B69" s="707" t="s">
        <v>273</v>
      </c>
      <c r="C69" s="707"/>
      <c r="D69" s="245">
        <f>D13+D19+D24+D29+D39+D34+D44+D49+D55+D61+D67</f>
        <v>592041680</v>
      </c>
      <c r="E69" s="245">
        <f t="shared" ref="E69:G69" si="3">E13+E19+E24+E29+E39+E34+E44+E49+E55+E61+E67</f>
        <v>493267225</v>
      </c>
      <c r="F69" s="245">
        <f t="shared" si="3"/>
        <v>11182012</v>
      </c>
      <c r="G69" s="245">
        <f t="shared" si="3"/>
        <v>1096491007</v>
      </c>
    </row>
    <row r="70" spans="1:7" x14ac:dyDescent="0.2">
      <c r="A70" s="218"/>
      <c r="B70" s="246"/>
      <c r="C70" s="218"/>
      <c r="D70" s="247"/>
      <c r="E70" s="217"/>
      <c r="F70" s="247"/>
      <c r="G70" s="216"/>
    </row>
    <row r="71" spans="1:7" ht="15.75" x14ac:dyDescent="0.25">
      <c r="A71" s="709" t="s">
        <v>274</v>
      </c>
      <c r="B71" s="709"/>
      <c r="C71" s="709"/>
      <c r="D71" s="709"/>
      <c r="E71" s="709"/>
      <c r="F71" s="709"/>
      <c r="G71" s="709"/>
    </row>
    <row r="72" spans="1:7" ht="13.5" x14ac:dyDescent="0.25">
      <c r="A72" s="710" t="s">
        <v>249</v>
      </c>
      <c r="B72" s="710"/>
      <c r="C72" s="710"/>
      <c r="D72" s="710"/>
      <c r="E72" s="710"/>
      <c r="F72" s="710"/>
      <c r="G72" s="710"/>
    </row>
    <row r="73" spans="1:7" ht="13.5" x14ac:dyDescent="0.25">
      <c r="A73" s="226" t="s">
        <v>250</v>
      </c>
      <c r="B73" s="248" t="s">
        <v>251</v>
      </c>
      <c r="C73" s="220" t="s">
        <v>252</v>
      </c>
      <c r="D73" s="220" t="s">
        <v>285</v>
      </c>
      <c r="E73" s="220" t="s">
        <v>286</v>
      </c>
      <c r="F73" s="220" t="s">
        <v>287</v>
      </c>
      <c r="G73" s="227" t="s">
        <v>253</v>
      </c>
    </row>
    <row r="74" spans="1:7" x14ac:dyDescent="0.2">
      <c r="A74" s="218"/>
      <c r="B74" s="249"/>
      <c r="C74" s="218"/>
      <c r="D74" s="250"/>
      <c r="E74" s="217"/>
      <c r="F74" s="250"/>
      <c r="G74" s="216"/>
    </row>
    <row r="75" spans="1:7" ht="25.5" x14ac:dyDescent="0.25">
      <c r="A75" s="228">
        <v>1</v>
      </c>
      <c r="B75" s="229" t="s">
        <v>255</v>
      </c>
      <c r="C75" s="230" t="s">
        <v>256</v>
      </c>
      <c r="D75" s="221"/>
      <c r="E75" s="222"/>
      <c r="F75" s="221"/>
      <c r="G75" s="222"/>
    </row>
    <row r="76" spans="1:7" x14ac:dyDescent="0.2">
      <c r="A76" s="218"/>
      <c r="B76" s="231" t="s">
        <v>36</v>
      </c>
      <c r="C76" s="218"/>
      <c r="D76" s="234"/>
      <c r="E76" s="216"/>
      <c r="F76" s="234"/>
      <c r="G76" s="216"/>
    </row>
    <row r="77" spans="1:7" x14ac:dyDescent="0.2">
      <c r="A77" s="218"/>
      <c r="B77" s="232" t="s">
        <v>275</v>
      </c>
      <c r="C77" s="233" t="s">
        <v>280</v>
      </c>
      <c r="D77" s="234">
        <v>119175161</v>
      </c>
      <c r="E77" s="216">
        <v>36083926</v>
      </c>
      <c r="F77" s="234">
        <v>0</v>
      </c>
      <c r="G77" s="216">
        <f>SUM(D77:F77)</f>
        <v>155259087</v>
      </c>
    </row>
    <row r="78" spans="1:7" x14ac:dyDescent="0.2">
      <c r="A78" s="218"/>
      <c r="B78" s="232"/>
      <c r="C78" s="233" t="s">
        <v>278</v>
      </c>
      <c r="D78" s="234">
        <v>0</v>
      </c>
      <c r="E78" s="216">
        <f>1524000+319000+543000+127000</f>
        <v>2513000</v>
      </c>
      <c r="F78" s="234">
        <v>0</v>
      </c>
      <c r="G78" s="216">
        <f>SUM(D78:F78)</f>
        <v>2513000</v>
      </c>
    </row>
    <row r="79" spans="1:7" ht="13.5" x14ac:dyDescent="0.25">
      <c r="A79" s="235"/>
      <c r="B79" s="236" t="s">
        <v>30</v>
      </c>
      <c r="C79" s="237"/>
      <c r="D79" s="238">
        <f>SUM(D77:D78)</f>
        <v>119175161</v>
      </c>
      <c r="E79" s="238">
        <f>SUM(E77:E78)</f>
        <v>38596926</v>
      </c>
      <c r="F79" s="238">
        <f>SUM(F77:F78)</f>
        <v>0</v>
      </c>
      <c r="G79" s="238">
        <f>SUM(G77:G78)</f>
        <v>157772087</v>
      </c>
    </row>
    <row r="80" spans="1:7" ht="13.5" x14ac:dyDescent="0.25">
      <c r="A80" s="218"/>
      <c r="B80" s="219"/>
      <c r="C80" s="220"/>
      <c r="D80" s="221"/>
      <c r="E80" s="221"/>
      <c r="F80" s="221"/>
      <c r="G80" s="221"/>
    </row>
    <row r="81" spans="1:7" ht="25.5" x14ac:dyDescent="0.25">
      <c r="A81" s="228">
        <v>2</v>
      </c>
      <c r="B81" s="229" t="s">
        <v>257</v>
      </c>
      <c r="C81" s="230" t="s">
        <v>258</v>
      </c>
      <c r="D81" s="221"/>
      <c r="E81" s="222"/>
      <c r="F81" s="221"/>
      <c r="G81" s="222"/>
    </row>
    <row r="82" spans="1:7" x14ac:dyDescent="0.2">
      <c r="A82" s="218"/>
      <c r="B82" s="231" t="s">
        <v>36</v>
      </c>
      <c r="C82" s="218"/>
      <c r="D82" s="234"/>
      <c r="E82" s="216"/>
      <c r="F82" s="234"/>
      <c r="G82" s="216"/>
    </row>
    <row r="83" spans="1:7" x14ac:dyDescent="0.2">
      <c r="A83" s="218"/>
      <c r="B83" s="232" t="s">
        <v>275</v>
      </c>
      <c r="C83" s="233" t="s">
        <v>280</v>
      </c>
      <c r="D83" s="216">
        <v>76032944</v>
      </c>
      <c r="E83" s="216">
        <v>0</v>
      </c>
      <c r="F83" s="234">
        <v>0</v>
      </c>
      <c r="G83" s="216">
        <f>SUM(D83:F83)</f>
        <v>76032944</v>
      </c>
    </row>
    <row r="84" spans="1:7" x14ac:dyDescent="0.2">
      <c r="A84" s="218"/>
      <c r="B84" s="232"/>
      <c r="C84" s="233" t="s">
        <v>278</v>
      </c>
      <c r="D84" s="216">
        <v>992100</v>
      </c>
      <c r="E84" s="216">
        <v>0</v>
      </c>
      <c r="F84" s="234">
        <v>0</v>
      </c>
      <c r="G84" s="216">
        <f>SUM(D84:F84)</f>
        <v>992100</v>
      </c>
    </row>
    <row r="85" spans="1:7" ht="13.5" x14ac:dyDescent="0.25">
      <c r="A85" s="235"/>
      <c r="B85" s="236" t="s">
        <v>30</v>
      </c>
      <c r="C85" s="237"/>
      <c r="D85" s="238">
        <f>SUM(D83:D84)</f>
        <v>77025044</v>
      </c>
      <c r="E85" s="238">
        <f>SUM(E83:E84)</f>
        <v>0</v>
      </c>
      <c r="F85" s="238">
        <f>SUM(F83:F84)</f>
        <v>0</v>
      </c>
      <c r="G85" s="238">
        <f>SUM(G83:G84)</f>
        <v>77025044</v>
      </c>
    </row>
    <row r="86" spans="1:7" ht="13.5" x14ac:dyDescent="0.25">
      <c r="A86" s="218"/>
      <c r="B86" s="219"/>
      <c r="C86" s="220"/>
      <c r="D86" s="221"/>
      <c r="E86" s="221"/>
      <c r="F86" s="221"/>
      <c r="G86" s="221"/>
    </row>
    <row r="87" spans="1:7" ht="38.25" x14ac:dyDescent="0.25">
      <c r="A87" s="228">
        <v>3</v>
      </c>
      <c r="B87" s="229" t="s">
        <v>259</v>
      </c>
      <c r="C87" s="230" t="s">
        <v>260</v>
      </c>
      <c r="D87" s="221"/>
      <c r="E87" s="222"/>
      <c r="F87" s="221"/>
      <c r="G87" s="222"/>
    </row>
    <row r="88" spans="1:7" x14ac:dyDescent="0.2">
      <c r="A88" s="218"/>
      <c r="B88" s="231" t="s">
        <v>36</v>
      </c>
      <c r="C88" s="218"/>
      <c r="D88" s="234"/>
      <c r="E88" s="216"/>
      <c r="F88" s="234"/>
      <c r="G88" s="216"/>
    </row>
    <row r="89" spans="1:7" x14ac:dyDescent="0.2">
      <c r="A89" s="218"/>
      <c r="B89" s="232" t="s">
        <v>275</v>
      </c>
      <c r="C89" s="233" t="s">
        <v>276</v>
      </c>
      <c r="D89" s="234">
        <v>949754</v>
      </c>
      <c r="E89" s="216">
        <v>1500243</v>
      </c>
      <c r="F89" s="234">
        <v>1028023</v>
      </c>
      <c r="G89" s="216">
        <f>SUM(D89:F89)</f>
        <v>3478020</v>
      </c>
    </row>
    <row r="90" spans="1:7" x14ac:dyDescent="0.2">
      <c r="A90" s="218"/>
      <c r="B90" s="232"/>
      <c r="C90" s="233" t="s">
        <v>277</v>
      </c>
      <c r="D90" s="234">
        <v>185202</v>
      </c>
      <c r="E90" s="216">
        <v>292547</v>
      </c>
      <c r="F90" s="234">
        <v>179904</v>
      </c>
      <c r="G90" s="216">
        <f t="shared" ref="G90:G92" si="4">SUM(D90:F90)</f>
        <v>657653</v>
      </c>
    </row>
    <row r="91" spans="1:7" x14ac:dyDescent="0.2">
      <c r="A91" s="218"/>
      <c r="B91" s="232"/>
      <c r="C91" s="233" t="s">
        <v>278</v>
      </c>
      <c r="D91" s="234">
        <v>0</v>
      </c>
      <c r="E91" s="216">
        <v>2654392</v>
      </c>
      <c r="F91" s="234">
        <v>1769595</v>
      </c>
      <c r="G91" s="216">
        <f t="shared" si="4"/>
        <v>4423987</v>
      </c>
    </row>
    <row r="92" spans="1:7" s="252" customFormat="1" x14ac:dyDescent="0.2">
      <c r="A92" s="218"/>
      <c r="B92" s="251"/>
      <c r="C92" s="233" t="s">
        <v>281</v>
      </c>
      <c r="D92" s="234">
        <v>0</v>
      </c>
      <c r="E92" s="216">
        <v>0</v>
      </c>
      <c r="F92" s="234">
        <v>635000</v>
      </c>
      <c r="G92" s="216">
        <f t="shared" si="4"/>
        <v>635000</v>
      </c>
    </row>
    <row r="93" spans="1:7" s="254" customFormat="1" ht="13.5" x14ac:dyDescent="0.25">
      <c r="A93" s="241"/>
      <c r="B93" s="240" t="s">
        <v>30</v>
      </c>
      <c r="C93" s="253"/>
      <c r="D93" s="242">
        <f>SUM(D89:D92)</f>
        <v>1134956</v>
      </c>
      <c r="E93" s="242">
        <f>SUM(E89:E92)</f>
        <v>4447182</v>
      </c>
      <c r="F93" s="242">
        <f>SUM(F89:F92)</f>
        <v>3612522</v>
      </c>
      <c r="G93" s="242">
        <f>SUM(G89:G92)</f>
        <v>9194660</v>
      </c>
    </row>
    <row r="94" spans="1:7" ht="13.5" x14ac:dyDescent="0.25">
      <c r="A94" s="218"/>
      <c r="B94" s="219"/>
      <c r="C94" s="220"/>
      <c r="D94" s="221"/>
      <c r="E94" s="221"/>
      <c r="F94" s="221"/>
      <c r="G94" s="221"/>
    </row>
    <row r="95" spans="1:7" ht="38.25" x14ac:dyDescent="0.25">
      <c r="A95" s="228">
        <v>4</v>
      </c>
      <c r="B95" s="229" t="s">
        <v>261</v>
      </c>
      <c r="C95" s="230" t="s">
        <v>262</v>
      </c>
      <c r="D95" s="221"/>
      <c r="E95" s="222"/>
      <c r="F95" s="221"/>
      <c r="G95" s="222"/>
    </row>
    <row r="96" spans="1:7" x14ac:dyDescent="0.2">
      <c r="A96" s="218"/>
      <c r="B96" s="231" t="s">
        <v>36</v>
      </c>
      <c r="C96" s="218"/>
      <c r="D96" s="234"/>
      <c r="E96" s="216"/>
      <c r="F96" s="234"/>
      <c r="G96" s="216"/>
    </row>
    <row r="97" spans="1:7" x14ac:dyDescent="0.2">
      <c r="A97" s="218"/>
      <c r="B97" s="232" t="s">
        <v>275</v>
      </c>
      <c r="C97" s="233" t="s">
        <v>276</v>
      </c>
      <c r="D97" s="234">
        <v>937640</v>
      </c>
      <c r="E97" s="216">
        <v>2770994</v>
      </c>
      <c r="F97" s="234">
        <v>1878773</v>
      </c>
      <c r="G97" s="216">
        <f>SUM(D97:F97)</f>
        <v>5587407</v>
      </c>
    </row>
    <row r="98" spans="1:7" x14ac:dyDescent="0.2">
      <c r="A98" s="218"/>
      <c r="B98" s="232"/>
      <c r="C98" s="233" t="s">
        <v>277</v>
      </c>
      <c r="D98" s="234">
        <v>182840</v>
      </c>
      <c r="E98" s="216">
        <v>540344</v>
      </c>
      <c r="F98" s="234">
        <v>328785</v>
      </c>
      <c r="G98" s="216">
        <f t="shared" ref="G98:G100" si="5">SUM(D98:F98)</f>
        <v>1051969</v>
      </c>
    </row>
    <row r="99" spans="1:7" x14ac:dyDescent="0.2">
      <c r="A99" s="218"/>
      <c r="B99" s="232"/>
      <c r="C99" s="233" t="s">
        <v>278</v>
      </c>
      <c r="D99" s="234">
        <v>0</v>
      </c>
      <c r="E99" s="216">
        <v>3773330</v>
      </c>
      <c r="F99" s="234">
        <v>2515554</v>
      </c>
      <c r="G99" s="216">
        <f t="shared" si="5"/>
        <v>6288884</v>
      </c>
    </row>
    <row r="100" spans="1:7" x14ac:dyDescent="0.2">
      <c r="A100" s="218"/>
      <c r="B100" s="232"/>
      <c r="C100" s="233" t="s">
        <v>281</v>
      </c>
      <c r="D100" s="234">
        <v>0</v>
      </c>
      <c r="E100" s="216">
        <v>0</v>
      </c>
      <c r="F100" s="234">
        <v>3810000</v>
      </c>
      <c r="G100" s="216">
        <f t="shared" si="5"/>
        <v>3810000</v>
      </c>
    </row>
    <row r="101" spans="1:7" ht="13.5" x14ac:dyDescent="0.25">
      <c r="A101" s="239"/>
      <c r="B101" s="240" t="s">
        <v>30</v>
      </c>
      <c r="C101" s="241"/>
      <c r="D101" s="242">
        <f>SUM(D97:D100)</f>
        <v>1120480</v>
      </c>
      <c r="E101" s="242">
        <f>SUM(E97:E100)</f>
        <v>7084668</v>
      </c>
      <c r="F101" s="242">
        <f>SUM(F97:F100)</f>
        <v>8533112</v>
      </c>
      <c r="G101" s="242">
        <f>SUM(G97:G100)</f>
        <v>16738260</v>
      </c>
    </row>
    <row r="102" spans="1:7" ht="13.5" x14ac:dyDescent="0.25">
      <c r="A102" s="218"/>
      <c r="B102" s="219"/>
      <c r="C102" s="220"/>
      <c r="D102" s="221"/>
      <c r="E102" s="221"/>
      <c r="F102" s="221"/>
      <c r="G102" s="221"/>
    </row>
    <row r="103" spans="1:7" ht="38.25" x14ac:dyDescent="0.25">
      <c r="A103" s="228">
        <v>5</v>
      </c>
      <c r="B103" s="229" t="s">
        <v>263</v>
      </c>
      <c r="C103" s="230" t="s">
        <v>264</v>
      </c>
      <c r="D103" s="221"/>
      <c r="E103" s="222"/>
      <c r="F103" s="221"/>
      <c r="G103" s="222"/>
    </row>
    <row r="104" spans="1:7" x14ac:dyDescent="0.2">
      <c r="A104" s="218"/>
      <c r="B104" s="231" t="s">
        <v>36</v>
      </c>
      <c r="C104" s="218"/>
      <c r="D104" s="234"/>
      <c r="E104" s="216"/>
      <c r="F104" s="234"/>
      <c r="G104" s="216"/>
    </row>
    <row r="105" spans="1:7" x14ac:dyDescent="0.2">
      <c r="A105" s="218"/>
      <c r="B105" s="232" t="s">
        <v>275</v>
      </c>
      <c r="C105" s="233" t="s">
        <v>276</v>
      </c>
      <c r="D105" s="234">
        <v>843407</v>
      </c>
      <c r="E105" s="216">
        <v>1595936</v>
      </c>
      <c r="F105" s="234">
        <v>1082067</v>
      </c>
      <c r="G105" s="216">
        <f>SUM(D105:F105)</f>
        <v>3521410</v>
      </c>
    </row>
    <row r="106" spans="1:7" x14ac:dyDescent="0.2">
      <c r="A106" s="218"/>
      <c r="B106" s="232"/>
      <c r="C106" s="233" t="s">
        <v>277</v>
      </c>
      <c r="D106" s="234">
        <v>164465</v>
      </c>
      <c r="E106" s="216">
        <v>311208</v>
      </c>
      <c r="F106" s="234">
        <v>189362</v>
      </c>
      <c r="G106" s="216">
        <f t="shared" ref="G106:G108" si="6">SUM(D106:F106)</f>
        <v>665035</v>
      </c>
    </row>
    <row r="107" spans="1:7" x14ac:dyDescent="0.2">
      <c r="A107" s="218"/>
      <c r="B107" s="232"/>
      <c r="C107" s="233" t="s">
        <v>278</v>
      </c>
      <c r="D107" s="234">
        <v>0</v>
      </c>
      <c r="E107" s="216">
        <v>1279209</v>
      </c>
      <c r="F107" s="234">
        <v>852806</v>
      </c>
      <c r="G107" s="216">
        <f t="shared" si="6"/>
        <v>2132015</v>
      </c>
    </row>
    <row r="108" spans="1:7" x14ac:dyDescent="0.2">
      <c r="A108" s="218"/>
      <c r="B108" s="232"/>
      <c r="C108" s="233" t="s">
        <v>281</v>
      </c>
      <c r="D108" s="234">
        <v>0</v>
      </c>
      <c r="E108" s="216">
        <v>0</v>
      </c>
      <c r="F108" s="234">
        <v>1524000</v>
      </c>
      <c r="G108" s="216">
        <f t="shared" si="6"/>
        <v>1524000</v>
      </c>
    </row>
    <row r="109" spans="1:7" ht="13.5" x14ac:dyDescent="0.25">
      <c r="A109" s="239"/>
      <c r="B109" s="240" t="s">
        <v>30</v>
      </c>
      <c r="C109" s="241"/>
      <c r="D109" s="242">
        <f>SUM(D105:D108)</f>
        <v>1007872</v>
      </c>
      <c r="E109" s="242">
        <f>SUM(E105:E108)</f>
        <v>3186353</v>
      </c>
      <c r="F109" s="242">
        <f>SUM(F105:F108)</f>
        <v>3648235</v>
      </c>
      <c r="G109" s="242">
        <f>SUM(G105:G108)</f>
        <v>7842460</v>
      </c>
    </row>
    <row r="110" spans="1:7" ht="13.5" x14ac:dyDescent="0.25">
      <c r="A110" s="218"/>
      <c r="B110" s="219"/>
      <c r="C110" s="220"/>
      <c r="D110" s="221"/>
      <c r="E110" s="221"/>
      <c r="F110" s="221"/>
      <c r="G110" s="221"/>
    </row>
    <row r="111" spans="1:7" ht="25.5" x14ac:dyDescent="0.25">
      <c r="A111" s="228">
        <v>6</v>
      </c>
      <c r="B111" s="229" t="s">
        <v>265</v>
      </c>
      <c r="C111" s="230" t="s">
        <v>266</v>
      </c>
      <c r="D111" s="221"/>
      <c r="E111" s="222"/>
      <c r="F111" s="221"/>
      <c r="G111" s="222"/>
    </row>
    <row r="112" spans="1:7" x14ac:dyDescent="0.2">
      <c r="A112" s="218"/>
      <c r="B112" s="231" t="s">
        <v>36</v>
      </c>
      <c r="C112" s="218"/>
      <c r="D112" s="234"/>
      <c r="E112" s="216"/>
      <c r="F112" s="234"/>
      <c r="G112" s="216"/>
    </row>
    <row r="113" spans="1:7" x14ac:dyDescent="0.2">
      <c r="A113" s="218"/>
      <c r="B113" s="232" t="s">
        <v>275</v>
      </c>
      <c r="C113" s="233" t="s">
        <v>278</v>
      </c>
      <c r="D113" s="234">
        <v>16252627</v>
      </c>
      <c r="E113" s="216">
        <v>4332364</v>
      </c>
      <c r="F113" s="234">
        <v>868029</v>
      </c>
      <c r="G113" s="216">
        <f>SUM(D113:F113)</f>
        <v>21453020</v>
      </c>
    </row>
    <row r="114" spans="1:7" ht="13.5" x14ac:dyDescent="0.25">
      <c r="A114" s="235"/>
      <c r="B114" s="236" t="s">
        <v>30</v>
      </c>
      <c r="C114" s="237"/>
      <c r="D114" s="238">
        <f>SUM(D113:D113)</f>
        <v>16252627</v>
      </c>
      <c r="E114" s="238">
        <f>SUM(E113:E113)</f>
        <v>4332364</v>
      </c>
      <c r="F114" s="238">
        <f>SUM(F113:F113)</f>
        <v>868029</v>
      </c>
      <c r="G114" s="238">
        <f>SUM(G113:G113)</f>
        <v>21453020</v>
      </c>
    </row>
    <row r="115" spans="1:7" ht="13.5" x14ac:dyDescent="0.25">
      <c r="A115" s="218"/>
      <c r="B115" s="219"/>
      <c r="C115" s="220"/>
      <c r="D115" s="221"/>
      <c r="E115" s="221"/>
      <c r="F115" s="221"/>
      <c r="G115" s="221"/>
    </row>
    <row r="116" spans="1:7" ht="13.5" x14ac:dyDescent="0.25">
      <c r="A116" s="228">
        <v>7</v>
      </c>
      <c r="B116" s="229" t="s">
        <v>267</v>
      </c>
      <c r="C116" s="230" t="s">
        <v>268</v>
      </c>
      <c r="D116" s="221"/>
      <c r="E116" s="222"/>
      <c r="F116" s="221"/>
      <c r="G116" s="222"/>
    </row>
    <row r="117" spans="1:7" x14ac:dyDescent="0.2">
      <c r="A117" s="218"/>
      <c r="B117" s="231" t="s">
        <v>36</v>
      </c>
      <c r="C117" s="218"/>
      <c r="D117" s="234"/>
      <c r="E117" s="216"/>
      <c r="F117" s="234"/>
      <c r="G117" s="216"/>
    </row>
    <row r="118" spans="1:7" x14ac:dyDescent="0.2">
      <c r="A118" s="218"/>
      <c r="B118" s="232" t="s">
        <v>275</v>
      </c>
      <c r="C118" s="233" t="s">
        <v>276</v>
      </c>
      <c r="D118" s="234">
        <v>13272000</v>
      </c>
      <c r="E118" s="216">
        <v>21284000</v>
      </c>
      <c r="F118" s="234">
        <v>1466000</v>
      </c>
      <c r="G118" s="216">
        <f>SUM(D118:F118)</f>
        <v>36022000</v>
      </c>
    </row>
    <row r="119" spans="1:7" x14ac:dyDescent="0.2">
      <c r="A119" s="218"/>
      <c r="B119" s="232"/>
      <c r="C119" s="233" t="s">
        <v>277</v>
      </c>
      <c r="D119" s="234">
        <v>2588000</v>
      </c>
      <c r="E119" s="216">
        <v>3176000</v>
      </c>
      <c r="F119" s="234">
        <v>244000</v>
      </c>
      <c r="G119" s="216">
        <f t="shared" ref="G119:G121" si="7">SUM(D119:F119)</f>
        <v>6008000</v>
      </c>
    </row>
    <row r="120" spans="1:7" x14ac:dyDescent="0.2">
      <c r="A120" s="218"/>
      <c r="B120" s="232"/>
      <c r="C120" s="233" t="s">
        <v>278</v>
      </c>
      <c r="D120" s="234">
        <v>47332000</v>
      </c>
      <c r="E120" s="216">
        <v>67431000</v>
      </c>
      <c r="F120" s="234">
        <v>0</v>
      </c>
      <c r="G120" s="216">
        <f t="shared" si="7"/>
        <v>114763000</v>
      </c>
    </row>
    <row r="121" spans="1:7" x14ac:dyDescent="0.2">
      <c r="A121" s="218"/>
      <c r="B121" s="232"/>
      <c r="C121" s="233" t="s">
        <v>279</v>
      </c>
      <c r="D121" s="234">
        <v>0</v>
      </c>
      <c r="E121" s="216">
        <v>2258000</v>
      </c>
      <c r="F121" s="234">
        <v>0</v>
      </c>
      <c r="G121" s="216">
        <f t="shared" si="7"/>
        <v>2258000</v>
      </c>
    </row>
    <row r="122" spans="1:7" s="254" customFormat="1" ht="13.5" x14ac:dyDescent="0.25">
      <c r="A122" s="241"/>
      <c r="B122" s="240" t="s">
        <v>30</v>
      </c>
      <c r="C122" s="253"/>
      <c r="D122" s="242">
        <f>SUM(D118:D121)</f>
        <v>63192000</v>
      </c>
      <c r="E122" s="242">
        <f>SUM(E118:E121)</f>
        <v>94149000</v>
      </c>
      <c r="F122" s="242">
        <f>SUM(F118:F121)</f>
        <v>1710000</v>
      </c>
      <c r="G122" s="242">
        <f>SUM(G118:G121)</f>
        <v>159051000</v>
      </c>
    </row>
    <row r="123" spans="1:7" ht="13.5" x14ac:dyDescent="0.25">
      <c r="A123" s="218"/>
      <c r="B123" s="219"/>
      <c r="C123" s="220"/>
      <c r="D123" s="221"/>
      <c r="E123" s="221"/>
      <c r="F123" s="221"/>
      <c r="G123" s="221"/>
    </row>
    <row r="124" spans="1:7" ht="25.5" x14ac:dyDescent="0.25">
      <c r="A124" s="228">
        <v>8</v>
      </c>
      <c r="B124" s="229" t="s">
        <v>269</v>
      </c>
      <c r="C124" s="230" t="s">
        <v>270</v>
      </c>
      <c r="D124" s="221"/>
      <c r="E124" s="222"/>
      <c r="F124" s="221"/>
      <c r="G124" s="222"/>
    </row>
    <row r="125" spans="1:7" x14ac:dyDescent="0.2">
      <c r="A125" s="218"/>
      <c r="B125" s="231" t="s">
        <v>36</v>
      </c>
      <c r="C125" s="218"/>
      <c r="D125" s="234"/>
      <c r="E125" s="216"/>
      <c r="F125" s="234"/>
      <c r="G125" s="216"/>
    </row>
    <row r="126" spans="1:7" x14ac:dyDescent="0.2">
      <c r="A126" s="218"/>
      <c r="B126" s="232" t="s">
        <v>275</v>
      </c>
      <c r="C126" s="233" t="s">
        <v>276</v>
      </c>
      <c r="D126" s="234">
        <v>16792066</v>
      </c>
      <c r="E126" s="216">
        <v>23768141</v>
      </c>
      <c r="F126" s="234">
        <v>1652050</v>
      </c>
      <c r="G126" s="216">
        <f>SUM(D126:F126)</f>
        <v>42212257</v>
      </c>
    </row>
    <row r="127" spans="1:7" x14ac:dyDescent="0.2">
      <c r="A127" s="218"/>
      <c r="B127" s="232"/>
      <c r="C127" s="233" t="s">
        <v>277</v>
      </c>
      <c r="D127" s="234">
        <v>3242028</v>
      </c>
      <c r="E127" s="216">
        <v>4595012</v>
      </c>
      <c r="F127" s="234">
        <v>315520</v>
      </c>
      <c r="G127" s="216">
        <f t="shared" ref="G127:G129" si="8">SUM(D127:F127)</f>
        <v>8152560</v>
      </c>
    </row>
    <row r="128" spans="1:7" x14ac:dyDescent="0.2">
      <c r="A128" s="218"/>
      <c r="B128" s="232"/>
      <c r="C128" s="233" t="s">
        <v>278</v>
      </c>
      <c r="D128" s="234">
        <v>19697131</v>
      </c>
      <c r="E128" s="216">
        <v>62037059</v>
      </c>
      <c r="F128" s="234">
        <v>1257380</v>
      </c>
      <c r="G128" s="216">
        <f t="shared" si="8"/>
        <v>82991570</v>
      </c>
    </row>
    <row r="129" spans="1:7" x14ac:dyDescent="0.2">
      <c r="A129" s="218"/>
      <c r="B129" s="232"/>
      <c r="C129" s="233" t="s">
        <v>279</v>
      </c>
      <c r="D129" s="234">
        <v>0</v>
      </c>
      <c r="E129" s="216">
        <v>792378</v>
      </c>
      <c r="F129" s="234">
        <v>0</v>
      </c>
      <c r="G129" s="216">
        <f t="shared" si="8"/>
        <v>792378</v>
      </c>
    </row>
    <row r="130" spans="1:7" s="254" customFormat="1" ht="13.5" x14ac:dyDescent="0.25">
      <c r="A130" s="241"/>
      <c r="B130" s="240" t="s">
        <v>30</v>
      </c>
      <c r="C130" s="253"/>
      <c r="D130" s="242">
        <f>SUM(D126:D129)</f>
        <v>39731225</v>
      </c>
      <c r="E130" s="242">
        <f>SUM(E126:E129)</f>
        <v>91192590</v>
      </c>
      <c r="F130" s="242">
        <f>SUM(F126:F129)</f>
        <v>3224950</v>
      </c>
      <c r="G130" s="242">
        <f>SUM(G126:G129)</f>
        <v>134148765</v>
      </c>
    </row>
    <row r="131" spans="1:7" ht="13.5" x14ac:dyDescent="0.25">
      <c r="A131" s="218"/>
      <c r="B131" s="219"/>
      <c r="C131" s="220"/>
      <c r="D131" s="221"/>
      <c r="E131" s="221"/>
      <c r="F131" s="221"/>
      <c r="G131" s="221"/>
    </row>
    <row r="132" spans="1:7" ht="25.5" x14ac:dyDescent="0.25">
      <c r="A132" s="228">
        <v>9</v>
      </c>
      <c r="B132" s="229" t="s">
        <v>271</v>
      </c>
      <c r="C132" s="230" t="s">
        <v>272</v>
      </c>
      <c r="D132" s="221"/>
      <c r="E132" s="222"/>
      <c r="F132" s="221"/>
      <c r="G132" s="222"/>
    </row>
    <row r="133" spans="1:7" x14ac:dyDescent="0.2">
      <c r="A133" s="218"/>
      <c r="B133" s="231" t="s">
        <v>36</v>
      </c>
      <c r="C133" s="218"/>
      <c r="D133" s="234"/>
      <c r="E133" s="216"/>
      <c r="F133" s="234"/>
      <c r="G133" s="216"/>
    </row>
    <row r="134" spans="1:7" x14ac:dyDescent="0.2">
      <c r="A134" s="218"/>
      <c r="B134" s="232" t="s">
        <v>275</v>
      </c>
      <c r="C134" s="233" t="s">
        <v>276</v>
      </c>
      <c r="D134" s="234">
        <v>0</v>
      </c>
      <c r="E134" s="216">
        <v>0</v>
      </c>
      <c r="F134" s="234">
        <v>0</v>
      </c>
      <c r="G134" s="216">
        <f>SUM(D134:F134)</f>
        <v>0</v>
      </c>
    </row>
    <row r="135" spans="1:7" x14ac:dyDescent="0.2">
      <c r="A135" s="218"/>
      <c r="B135" s="232"/>
      <c r="C135" s="233" t="s">
        <v>277</v>
      </c>
      <c r="D135" s="234">
        <v>0</v>
      </c>
      <c r="E135" s="216">
        <v>0</v>
      </c>
      <c r="F135" s="234">
        <f>F134*0.21</f>
        <v>0</v>
      </c>
      <c r="G135" s="216">
        <f t="shared" ref="G135:G140" si="9">SUM(D135:F135)</f>
        <v>0</v>
      </c>
    </row>
    <row r="136" spans="1:7" x14ac:dyDescent="0.2">
      <c r="A136" s="218"/>
      <c r="B136" s="232"/>
      <c r="C136" s="233" t="s">
        <v>278</v>
      </c>
      <c r="D136" s="234">
        <v>0</v>
      </c>
      <c r="E136" s="216">
        <v>2997907</v>
      </c>
      <c r="F136" s="234">
        <v>0</v>
      </c>
      <c r="G136" s="216">
        <f t="shared" si="9"/>
        <v>2997907</v>
      </c>
    </row>
    <row r="137" spans="1:7" x14ac:dyDescent="0.2">
      <c r="A137" s="218"/>
      <c r="B137" s="232"/>
      <c r="C137" s="233" t="s">
        <v>282</v>
      </c>
      <c r="D137" s="234">
        <v>9200000</v>
      </c>
      <c r="E137" s="216">
        <v>0</v>
      </c>
      <c r="F137" s="234">
        <v>0</v>
      </c>
      <c r="G137" s="216">
        <f t="shared" si="9"/>
        <v>9200000</v>
      </c>
    </row>
    <row r="138" spans="1:7" x14ac:dyDescent="0.2">
      <c r="A138" s="218"/>
      <c r="B138" s="232"/>
      <c r="C138" s="233" t="s">
        <v>283</v>
      </c>
      <c r="D138" s="234">
        <v>0</v>
      </c>
      <c r="E138" s="216">
        <v>159306147</v>
      </c>
      <c r="F138" s="234">
        <v>0</v>
      </c>
      <c r="G138" s="216">
        <f t="shared" si="9"/>
        <v>159306147</v>
      </c>
    </row>
    <row r="139" spans="1:7" x14ac:dyDescent="0.2">
      <c r="A139" s="218"/>
      <c r="B139" s="232"/>
      <c r="C139" s="233" t="s">
        <v>279</v>
      </c>
      <c r="D139" s="234">
        <v>9414981</v>
      </c>
      <c r="E139" s="216">
        <v>9443466</v>
      </c>
      <c r="F139" s="234">
        <v>0</v>
      </c>
      <c r="G139" s="216">
        <f t="shared" si="9"/>
        <v>18858447</v>
      </c>
    </row>
    <row r="140" spans="1:7" s="252" customFormat="1" x14ac:dyDescent="0.2">
      <c r="A140" s="218"/>
      <c r="B140" s="251"/>
      <c r="C140" s="233" t="s">
        <v>281</v>
      </c>
      <c r="D140" s="234">
        <v>0</v>
      </c>
      <c r="E140" s="216">
        <v>2000000</v>
      </c>
      <c r="F140" s="234">
        <v>0</v>
      </c>
      <c r="G140" s="216">
        <f t="shared" si="9"/>
        <v>2000000</v>
      </c>
    </row>
    <row r="141" spans="1:7" s="254" customFormat="1" ht="13.5" x14ac:dyDescent="0.25">
      <c r="A141" s="241"/>
      <c r="B141" s="240" t="s">
        <v>30</v>
      </c>
      <c r="C141" s="253"/>
      <c r="D141" s="242">
        <f>SUM(D134:D140)</f>
        <v>18614981</v>
      </c>
      <c r="E141" s="242">
        <f>SUM(E134:E140)</f>
        <v>173747520</v>
      </c>
      <c r="F141" s="242">
        <f>SUM(F134:F140)</f>
        <v>0</v>
      </c>
      <c r="G141" s="242">
        <f>SUM(G134:G140)</f>
        <v>192362501</v>
      </c>
    </row>
    <row r="142" spans="1:7" s="254" customFormat="1" ht="13.5" x14ac:dyDescent="0.25">
      <c r="A142" s="220"/>
      <c r="B142" s="304"/>
      <c r="C142" s="314"/>
      <c r="D142" s="221"/>
      <c r="E142" s="221"/>
      <c r="F142" s="221"/>
      <c r="G142" s="221"/>
    </row>
    <row r="143" spans="1:7" ht="13.5" x14ac:dyDescent="0.2">
      <c r="A143" s="228">
        <v>11</v>
      </c>
      <c r="B143" s="229" t="s">
        <v>333</v>
      </c>
      <c r="C143" s="230" t="s">
        <v>334</v>
      </c>
      <c r="D143" s="220"/>
      <c r="E143" s="220"/>
      <c r="F143" s="220"/>
      <c r="G143" s="227"/>
    </row>
    <row r="144" spans="1:7" ht="13.5" x14ac:dyDescent="0.2">
      <c r="A144" s="226"/>
      <c r="B144" s="231" t="s">
        <v>36</v>
      </c>
      <c r="C144" s="220"/>
      <c r="D144" s="220"/>
      <c r="E144" s="220"/>
      <c r="F144" s="220"/>
      <c r="G144" s="227"/>
    </row>
    <row r="145" spans="1:7" ht="13.5" x14ac:dyDescent="0.2">
      <c r="A145" s="226"/>
      <c r="B145" s="232" t="s">
        <v>338</v>
      </c>
      <c r="C145" s="233" t="s">
        <v>276</v>
      </c>
      <c r="D145" s="234">
        <v>0</v>
      </c>
      <c r="E145" s="216">
        <v>0</v>
      </c>
      <c r="F145" s="234">
        <v>0</v>
      </c>
      <c r="G145" s="216">
        <v>0</v>
      </c>
    </row>
    <row r="146" spans="1:7" ht="13.5" x14ac:dyDescent="0.25">
      <c r="A146" s="218"/>
      <c r="B146" s="304"/>
      <c r="C146" s="233" t="s">
        <v>277</v>
      </c>
      <c r="D146" s="234">
        <v>0</v>
      </c>
      <c r="E146" s="216">
        <v>0</v>
      </c>
      <c r="F146" s="234">
        <f>F145*0.21</f>
        <v>0</v>
      </c>
      <c r="G146" s="216">
        <f t="shared" ref="G146:G151" si="10">SUM(D146:F146)</f>
        <v>0</v>
      </c>
    </row>
    <row r="147" spans="1:7" ht="13.5" x14ac:dyDescent="0.25">
      <c r="A147" s="218"/>
      <c r="B147" s="304"/>
      <c r="C147" s="233" t="s">
        <v>278</v>
      </c>
      <c r="D147" s="234">
        <v>0</v>
      </c>
      <c r="E147" s="216">
        <v>2739210</v>
      </c>
      <c r="F147" s="234">
        <v>0</v>
      </c>
      <c r="G147" s="216">
        <f t="shared" si="10"/>
        <v>2739210</v>
      </c>
    </row>
    <row r="148" spans="1:7" x14ac:dyDescent="0.2">
      <c r="A148" s="228"/>
      <c r="B148" s="229"/>
      <c r="C148" s="233" t="s">
        <v>282</v>
      </c>
      <c r="D148" s="234">
        <v>1500000</v>
      </c>
      <c r="E148" s="216">
        <v>0</v>
      </c>
      <c r="F148" s="234">
        <v>0</v>
      </c>
      <c r="G148" s="216">
        <f t="shared" si="10"/>
        <v>1500000</v>
      </c>
    </row>
    <row r="149" spans="1:7" ht="13.5" x14ac:dyDescent="0.25">
      <c r="A149" s="218"/>
      <c r="B149" s="304"/>
      <c r="C149" s="233" t="s">
        <v>283</v>
      </c>
      <c r="D149" s="234">
        <v>0</v>
      </c>
      <c r="E149" s="216">
        <v>79500000</v>
      </c>
      <c r="F149" s="234">
        <v>0</v>
      </c>
      <c r="G149" s="216">
        <f t="shared" si="10"/>
        <v>79500000</v>
      </c>
    </row>
    <row r="150" spans="1:7" x14ac:dyDescent="0.2">
      <c r="A150" s="218"/>
      <c r="B150" s="231"/>
      <c r="C150" s="233" t="s">
        <v>279</v>
      </c>
      <c r="D150" s="234">
        <v>0</v>
      </c>
      <c r="E150" s="216">
        <v>2900050</v>
      </c>
      <c r="F150" s="234">
        <v>0</v>
      </c>
      <c r="G150" s="216">
        <f t="shared" si="10"/>
        <v>2900050</v>
      </c>
    </row>
    <row r="151" spans="1:7" x14ac:dyDescent="0.2">
      <c r="A151" s="218"/>
      <c r="B151" s="306"/>
      <c r="C151" s="233" t="s">
        <v>281</v>
      </c>
      <c r="D151" s="234">
        <v>0</v>
      </c>
      <c r="E151" s="216">
        <v>1000000</v>
      </c>
      <c r="F151" s="234">
        <v>0</v>
      </c>
      <c r="G151" s="216">
        <f t="shared" si="10"/>
        <v>1000000</v>
      </c>
    </row>
    <row r="152" spans="1:7" ht="13.5" x14ac:dyDescent="0.25">
      <c r="A152" s="307"/>
      <c r="B152" s="308" t="s">
        <v>30</v>
      </c>
      <c r="C152" s="253"/>
      <c r="D152" s="242">
        <f>SUM(D145:D151)</f>
        <v>1500000</v>
      </c>
      <c r="E152" s="242">
        <f>SUM(E145:E151)</f>
        <v>86139260</v>
      </c>
      <c r="F152" s="242">
        <f>SUM(F145:F151)</f>
        <v>0</v>
      </c>
      <c r="G152" s="242">
        <f>SUM(G145:G151)</f>
        <v>87639260</v>
      </c>
    </row>
    <row r="153" spans="1:7" ht="13.5" x14ac:dyDescent="0.25">
      <c r="A153" s="243"/>
      <c r="B153" s="309"/>
      <c r="C153" s="220"/>
      <c r="D153" s="220"/>
      <c r="E153" s="220"/>
      <c r="F153" s="220"/>
      <c r="G153" s="310"/>
    </row>
    <row r="154" spans="1:7" ht="38.25" x14ac:dyDescent="0.2">
      <c r="A154" s="228">
        <v>12</v>
      </c>
      <c r="B154" s="312" t="s">
        <v>336</v>
      </c>
      <c r="C154" s="230" t="s">
        <v>337</v>
      </c>
      <c r="F154" s="220"/>
      <c r="G154" s="310"/>
    </row>
    <row r="155" spans="1:7" ht="13.5" x14ac:dyDescent="0.2">
      <c r="A155" s="311"/>
      <c r="B155" s="313" t="s">
        <v>36</v>
      </c>
      <c r="C155" s="230"/>
      <c r="F155" s="220"/>
      <c r="G155" s="310"/>
    </row>
    <row r="156" spans="1:7" x14ac:dyDescent="0.2">
      <c r="A156" s="311"/>
      <c r="B156" s="232" t="s">
        <v>338</v>
      </c>
      <c r="C156" s="233" t="s">
        <v>276</v>
      </c>
      <c r="D156" s="234">
        <v>0</v>
      </c>
      <c r="E156" s="216">
        <v>0</v>
      </c>
      <c r="F156" s="234">
        <v>0</v>
      </c>
      <c r="G156" s="216">
        <f>SUM(D156:F156)</f>
        <v>0</v>
      </c>
    </row>
    <row r="157" spans="1:7" ht="13.5" x14ac:dyDescent="0.25">
      <c r="A157" s="243"/>
      <c r="B157" s="304"/>
      <c r="C157" s="233" t="s">
        <v>277</v>
      </c>
      <c r="D157" s="234">
        <v>0</v>
      </c>
      <c r="E157" s="216">
        <v>0</v>
      </c>
      <c r="F157" s="234">
        <f>F156*0.21</f>
        <v>0</v>
      </c>
      <c r="G157" s="216">
        <f t="shared" ref="G157:G162" si="11">SUM(D157:F157)</f>
        <v>0</v>
      </c>
    </row>
    <row r="158" spans="1:7" ht="13.5" x14ac:dyDescent="0.25">
      <c r="A158" s="243"/>
      <c r="B158" s="304"/>
      <c r="C158" s="233" t="s">
        <v>278</v>
      </c>
      <c r="D158" s="234">
        <v>0</v>
      </c>
      <c r="E158" s="216">
        <v>8814600</v>
      </c>
      <c r="F158" s="234">
        <v>0</v>
      </c>
      <c r="G158" s="216">
        <f t="shared" si="11"/>
        <v>8814600</v>
      </c>
    </row>
    <row r="159" spans="1:7" x14ac:dyDescent="0.2">
      <c r="B159" s="229"/>
      <c r="C159" s="233" t="s">
        <v>282</v>
      </c>
      <c r="D159" s="234">
        <v>0</v>
      </c>
      <c r="E159" s="216">
        <v>5000000</v>
      </c>
      <c r="F159" s="234">
        <v>0</v>
      </c>
      <c r="G159" s="216">
        <f t="shared" si="11"/>
        <v>5000000</v>
      </c>
    </row>
    <row r="160" spans="1:7" ht="13.5" x14ac:dyDescent="0.25">
      <c r="B160" s="304"/>
      <c r="C160" s="233" t="s">
        <v>283</v>
      </c>
      <c r="D160" s="234">
        <v>0</v>
      </c>
      <c r="E160" s="216">
        <v>204249400</v>
      </c>
      <c r="F160" s="234">
        <v>0</v>
      </c>
      <c r="G160" s="216">
        <f t="shared" si="11"/>
        <v>204249400</v>
      </c>
    </row>
    <row r="161" spans="1:7" x14ac:dyDescent="0.2">
      <c r="B161" s="231"/>
      <c r="C161" s="233" t="s">
        <v>279</v>
      </c>
      <c r="D161" s="234">
        <v>0</v>
      </c>
      <c r="E161" s="216">
        <v>16600000</v>
      </c>
      <c r="F161" s="234">
        <v>0</v>
      </c>
      <c r="G161" s="216">
        <f t="shared" si="11"/>
        <v>16600000</v>
      </c>
    </row>
    <row r="162" spans="1:7" x14ac:dyDescent="0.2">
      <c r="B162" s="306"/>
      <c r="C162" s="233" t="s">
        <v>281</v>
      </c>
      <c r="D162" s="234">
        <v>0</v>
      </c>
      <c r="E162" s="216">
        <v>3000000</v>
      </c>
      <c r="F162" s="234">
        <v>0</v>
      </c>
      <c r="G162" s="216">
        <f t="shared" si="11"/>
        <v>3000000</v>
      </c>
    </row>
    <row r="163" spans="1:7" ht="13.5" x14ac:dyDescent="0.25">
      <c r="B163" s="308" t="s">
        <v>30</v>
      </c>
      <c r="C163" s="253"/>
      <c r="D163" s="242">
        <f>SUM(D156:D162)</f>
        <v>0</v>
      </c>
      <c r="E163" s="242">
        <f>SUM(E156:E162)</f>
        <v>237664000</v>
      </c>
      <c r="F163" s="242">
        <f>SUM(F156:F162)</f>
        <v>0</v>
      </c>
      <c r="G163" s="242">
        <f>SUM(G156:G162)</f>
        <v>237664000</v>
      </c>
    </row>
    <row r="164" spans="1:7" s="254" customFormat="1" ht="13.5" x14ac:dyDescent="0.25">
      <c r="A164" s="220"/>
      <c r="B164" s="304"/>
      <c r="C164" s="314"/>
      <c r="D164" s="221"/>
      <c r="E164" s="221"/>
      <c r="F164" s="221"/>
      <c r="G164" s="221"/>
    </row>
    <row r="165" spans="1:7" s="254" customFormat="1" ht="13.5" x14ac:dyDescent="0.25">
      <c r="A165" s="220"/>
      <c r="B165" s="304"/>
      <c r="C165" s="314"/>
      <c r="D165" s="221"/>
      <c r="E165" s="221"/>
      <c r="F165" s="221"/>
      <c r="G165" s="221"/>
    </row>
    <row r="166" spans="1:7" ht="13.5" x14ac:dyDescent="0.25">
      <c r="A166" s="218"/>
      <c r="B166" s="219"/>
      <c r="C166" s="220"/>
      <c r="D166" s="221"/>
      <c r="E166" s="221"/>
      <c r="F166" s="221"/>
      <c r="G166" s="221"/>
    </row>
    <row r="167" spans="1:7" ht="15.75" x14ac:dyDescent="0.25">
      <c r="A167" s="707" t="s">
        <v>284</v>
      </c>
      <c r="B167" s="707"/>
      <c r="C167" s="707"/>
      <c r="D167" s="245">
        <f>D79+D85+D109+D114+D93+D101+D122+D130+D141+D152+D163</f>
        <v>338754346</v>
      </c>
      <c r="E167" s="245">
        <f t="shared" ref="E167:G167" si="12">E79+E85+E109+E114+E93+E101+E122+E130+E141+E152+E163</f>
        <v>740539863</v>
      </c>
      <c r="F167" s="245">
        <f t="shared" si="12"/>
        <v>21596848</v>
      </c>
      <c r="G167" s="245">
        <f t="shared" si="12"/>
        <v>1100891057</v>
      </c>
    </row>
    <row r="168" spans="1:7" x14ac:dyDescent="0.2">
      <c r="A168" s="213"/>
      <c r="B168" s="217"/>
      <c r="C168" s="213"/>
      <c r="D168" s="216"/>
      <c r="E168" s="217"/>
      <c r="F168" s="216"/>
      <c r="G168" s="216"/>
    </row>
    <row r="169" spans="1:7" x14ac:dyDescent="0.2">
      <c r="A169" s="213"/>
      <c r="B169" s="217"/>
      <c r="C169" s="213"/>
      <c r="D169" s="216"/>
      <c r="E169" s="217"/>
      <c r="F169" s="216"/>
      <c r="G169" s="216"/>
    </row>
    <row r="170" spans="1:7" x14ac:dyDescent="0.2">
      <c r="A170" s="213"/>
      <c r="B170" s="217"/>
      <c r="C170" s="213"/>
      <c r="D170" s="216"/>
      <c r="E170" s="217"/>
      <c r="F170" s="216"/>
      <c r="G170" s="216"/>
    </row>
  </sheetData>
  <mergeCells count="7">
    <mergeCell ref="A167:C167"/>
    <mergeCell ref="A1:G1"/>
    <mergeCell ref="A3:G3"/>
    <mergeCell ref="A5:G5"/>
    <mergeCell ref="B69:C69"/>
    <mergeCell ref="A71:G71"/>
    <mergeCell ref="A72:G72"/>
  </mergeCells>
  <pageMargins left="0.70866141732283472" right="0.70866141732283472" top="0.55118110236220474" bottom="0.55118110236220474" header="0.31496062992125984" footer="0.31496062992125984"/>
  <pageSetup paperSize="9" scale="93" fitToHeight="0" orientation="landscape" r:id="rId1"/>
  <rowBreaks count="2" manualBreakCount="2">
    <brk id="32" max="6" man="1"/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1"/>
  <sheetViews>
    <sheetView view="pageBreakPreview" zoomScale="85" zoomScaleNormal="80" zoomScaleSheetLayoutView="85" workbookViewId="0">
      <selection activeCell="G1" sqref="G1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9.5703125" style="9" bestFit="1" customWidth="1"/>
    <col min="9" max="16384" width="9.140625" style="9"/>
  </cols>
  <sheetData>
    <row r="1" spans="1:8" s="11" customFormat="1" x14ac:dyDescent="0.25">
      <c r="A1" s="151"/>
      <c r="B1" s="151"/>
      <c r="C1" s="151"/>
      <c r="D1" s="150"/>
      <c r="E1" s="150"/>
      <c r="F1" s="150"/>
      <c r="G1" s="209" t="s">
        <v>1111</v>
      </c>
    </row>
    <row r="2" spans="1:8" s="11" customFormat="1" x14ac:dyDescent="0.25">
      <c r="A2" s="151"/>
      <c r="B2" s="175"/>
      <c r="C2" s="175"/>
      <c r="D2" s="175"/>
      <c r="E2" s="175"/>
      <c r="F2" s="175"/>
      <c r="G2" s="175"/>
    </row>
    <row r="3" spans="1:8" s="10" customFormat="1" x14ac:dyDescent="0.25">
      <c r="A3" s="152"/>
      <c r="B3" s="152"/>
      <c r="C3" s="152" t="s">
        <v>36</v>
      </c>
      <c r="D3" s="150"/>
      <c r="E3" s="150"/>
      <c r="F3" s="150"/>
      <c r="G3" s="150"/>
    </row>
    <row r="4" spans="1:8" s="10" customFormat="1" ht="17.25" thickBot="1" x14ac:dyDescent="0.3">
      <c r="A4" s="176"/>
      <c r="B4" s="176"/>
      <c r="C4" s="176" t="s">
        <v>915</v>
      </c>
      <c r="D4" s="154"/>
      <c r="E4" s="154"/>
      <c r="F4" s="154"/>
      <c r="G4" s="154"/>
    </row>
    <row r="5" spans="1:8" s="10" customFormat="1" ht="33.75" customHeight="1" thickBot="1" x14ac:dyDescent="0.3">
      <c r="A5" s="177"/>
      <c r="B5" s="178"/>
      <c r="C5" s="179"/>
      <c r="D5" s="639" t="s">
        <v>242</v>
      </c>
      <c r="E5" s="640"/>
      <c r="F5" s="640"/>
      <c r="G5" s="641"/>
    </row>
    <row r="6" spans="1:8" s="47" customFormat="1" ht="45.75" thickBot="1" x14ac:dyDescent="0.3">
      <c r="A6" s="180"/>
      <c r="B6" s="181"/>
      <c r="C6" s="182"/>
      <c r="D6" s="159" t="s">
        <v>29</v>
      </c>
      <c r="E6" s="160" t="s">
        <v>49</v>
      </c>
      <c r="F6" s="161" t="s">
        <v>50</v>
      </c>
      <c r="G6" s="162" t="s">
        <v>51</v>
      </c>
    </row>
    <row r="7" spans="1:8" s="10" customFormat="1" x14ac:dyDescent="0.25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</row>
    <row r="8" spans="1:8" s="10" customFormat="1" x14ac:dyDescent="0.25">
      <c r="A8" s="169"/>
      <c r="B8" s="188"/>
      <c r="C8" s="64"/>
      <c r="D8" s="77"/>
      <c r="E8" s="31"/>
      <c r="F8" s="31"/>
      <c r="G8" s="97"/>
    </row>
    <row r="9" spans="1:8" s="10" customFormat="1" x14ac:dyDescent="0.25">
      <c r="A9" s="169">
        <v>101</v>
      </c>
      <c r="B9" s="188"/>
      <c r="C9" s="200" t="s">
        <v>203</v>
      </c>
      <c r="D9" s="167"/>
      <c r="E9" s="31"/>
      <c r="F9" s="31"/>
      <c r="G9" s="97"/>
      <c r="H9" s="79"/>
    </row>
    <row r="10" spans="1:8" s="10" customFormat="1" x14ac:dyDescent="0.25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79"/>
    </row>
    <row r="11" spans="1:8" s="10" customFormat="1" x14ac:dyDescent="0.25">
      <c r="A11" s="189"/>
      <c r="B11" s="40" t="s">
        <v>15</v>
      </c>
      <c r="C11" s="63" t="s">
        <v>63</v>
      </c>
      <c r="D11" s="83">
        <v>41312</v>
      </c>
      <c r="E11" s="28">
        <v>41312</v>
      </c>
      <c r="F11" s="28"/>
      <c r="G11" s="98"/>
      <c r="H11" s="79"/>
    </row>
    <row r="12" spans="1:8" s="10" customFormat="1" x14ac:dyDescent="0.25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79"/>
    </row>
    <row r="13" spans="1:8" s="10" customFormat="1" x14ac:dyDescent="0.25">
      <c r="A13" s="189"/>
      <c r="B13" s="40" t="s">
        <v>23</v>
      </c>
      <c r="C13" s="63" t="s">
        <v>58</v>
      </c>
      <c r="D13" s="83"/>
      <c r="E13" s="28"/>
      <c r="F13" s="28"/>
      <c r="G13" s="98"/>
      <c r="H13" s="79"/>
    </row>
    <row r="14" spans="1:8" s="10" customFormat="1" x14ac:dyDescent="0.25">
      <c r="A14" s="189"/>
      <c r="B14" s="40"/>
      <c r="C14" s="63" t="s">
        <v>206</v>
      </c>
      <c r="D14" s="83">
        <v>1000</v>
      </c>
      <c r="E14" s="28">
        <v>1000</v>
      </c>
      <c r="F14" s="28"/>
      <c r="G14" s="98"/>
      <c r="H14" s="79"/>
    </row>
    <row r="15" spans="1:8" s="20" customFormat="1" x14ac:dyDescent="0.25">
      <c r="A15" s="190"/>
      <c r="B15" s="191"/>
      <c r="C15" s="192" t="s">
        <v>60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95">
        <f t="shared" si="0"/>
        <v>0</v>
      </c>
      <c r="H15" s="79"/>
    </row>
    <row r="16" spans="1:8" s="20" customFormat="1" x14ac:dyDescent="0.25">
      <c r="A16" s="190"/>
      <c r="B16" s="40" t="s">
        <v>25</v>
      </c>
      <c r="C16" s="63" t="s">
        <v>24</v>
      </c>
      <c r="D16" s="85"/>
      <c r="E16" s="38"/>
      <c r="F16" s="38"/>
      <c r="G16" s="102"/>
      <c r="H16" s="79"/>
    </row>
    <row r="17" spans="1:8" s="20" customFormat="1" x14ac:dyDescent="0.25">
      <c r="A17" s="190"/>
      <c r="B17" s="40"/>
      <c r="C17" s="63" t="s">
        <v>927</v>
      </c>
      <c r="D17" s="83">
        <v>5000</v>
      </c>
      <c r="E17" s="28">
        <v>5000</v>
      </c>
      <c r="F17" s="38"/>
      <c r="G17" s="102"/>
      <c r="H17" s="79"/>
    </row>
    <row r="18" spans="1:8" s="20" customFormat="1" x14ac:dyDescent="0.25">
      <c r="A18" s="190"/>
      <c r="B18" s="40"/>
      <c r="C18" s="63" t="s">
        <v>928</v>
      </c>
      <c r="D18" s="83">
        <v>1000</v>
      </c>
      <c r="E18" s="28">
        <v>1000</v>
      </c>
      <c r="F18" s="38"/>
      <c r="G18" s="102"/>
      <c r="H18" s="79"/>
    </row>
    <row r="19" spans="1:8" s="20" customFormat="1" x14ac:dyDescent="0.25">
      <c r="A19" s="190"/>
      <c r="B19" s="40"/>
      <c r="C19" s="63" t="s">
        <v>929</v>
      </c>
      <c r="D19" s="83">
        <v>1000</v>
      </c>
      <c r="E19" s="28">
        <v>1000</v>
      </c>
      <c r="F19" s="38"/>
      <c r="G19" s="102"/>
      <c r="H19" s="79"/>
    </row>
    <row r="20" spans="1:8" s="20" customFormat="1" x14ac:dyDescent="0.25">
      <c r="A20" s="190"/>
      <c r="B20" s="40"/>
      <c r="C20" s="192" t="s">
        <v>178</v>
      </c>
      <c r="D20" s="85">
        <f>SUM(D17:D19)</f>
        <v>7000</v>
      </c>
      <c r="E20" s="38">
        <f t="shared" ref="E20:G20" si="1">SUM(E17:E19)</f>
        <v>7000</v>
      </c>
      <c r="F20" s="38">
        <f t="shared" si="1"/>
        <v>0</v>
      </c>
      <c r="G20" s="295">
        <f t="shared" si="1"/>
        <v>0</v>
      </c>
      <c r="H20" s="79"/>
    </row>
    <row r="21" spans="1:8" s="10" customFormat="1" x14ac:dyDescent="0.25">
      <c r="A21" s="189"/>
      <c r="B21" s="40"/>
      <c r="C21" s="64" t="s">
        <v>12</v>
      </c>
      <c r="D21" s="86">
        <f>D10+D11+D12+D15+D20</f>
        <v>290517</v>
      </c>
      <c r="E21" s="48">
        <f>E10+E11+E12+E15+E20</f>
        <v>290517</v>
      </c>
      <c r="F21" s="48">
        <f>F10+F11+F12+F15+F20</f>
        <v>0</v>
      </c>
      <c r="G21" s="100">
        <f>G10+G11+G12+G15+G20</f>
        <v>0</v>
      </c>
      <c r="H21" s="79"/>
    </row>
    <row r="22" spans="1:8" s="10" customFormat="1" x14ac:dyDescent="0.25">
      <c r="A22" s="189"/>
      <c r="B22" s="40"/>
      <c r="C22" s="63"/>
      <c r="D22" s="63"/>
      <c r="E22" s="29"/>
      <c r="F22" s="29"/>
      <c r="G22" s="30"/>
      <c r="H22" s="79"/>
    </row>
    <row r="23" spans="1:8" s="10" customFormat="1" x14ac:dyDescent="0.25">
      <c r="A23" s="169">
        <v>102</v>
      </c>
      <c r="B23" s="188"/>
      <c r="C23" s="64" t="s">
        <v>53</v>
      </c>
      <c r="D23" s="25"/>
      <c r="E23" s="32"/>
      <c r="F23" s="32"/>
      <c r="G23" s="101"/>
      <c r="H23" s="79"/>
    </row>
    <row r="24" spans="1:8" s="10" customFormat="1" x14ac:dyDescent="0.25">
      <c r="A24" s="189"/>
      <c r="B24" s="40" t="s">
        <v>10</v>
      </c>
      <c r="C24" s="63" t="s">
        <v>26</v>
      </c>
      <c r="D24" s="83">
        <v>148646</v>
      </c>
      <c r="E24" s="28">
        <v>148646</v>
      </c>
      <c r="F24" s="28"/>
      <c r="G24" s="98"/>
      <c r="H24" s="79"/>
    </row>
    <row r="25" spans="1:8" s="10" customFormat="1" x14ac:dyDescent="0.25">
      <c r="A25" s="189"/>
      <c r="B25" s="40" t="s">
        <v>15</v>
      </c>
      <c r="C25" s="63" t="s">
        <v>63</v>
      </c>
      <c r="D25" s="83">
        <v>28131</v>
      </c>
      <c r="E25" s="28">
        <v>28131</v>
      </c>
      <c r="F25" s="28"/>
      <c r="G25" s="98"/>
      <c r="H25" s="79"/>
    </row>
    <row r="26" spans="1:8" s="10" customFormat="1" x14ac:dyDescent="0.25">
      <c r="A26" s="189"/>
      <c r="B26" s="40" t="s">
        <v>16</v>
      </c>
      <c r="C26" s="63" t="s">
        <v>31</v>
      </c>
      <c r="D26" s="83">
        <v>145000</v>
      </c>
      <c r="E26" s="28">
        <v>145000</v>
      </c>
      <c r="F26" s="28"/>
      <c r="G26" s="98"/>
      <c r="H26" s="79"/>
    </row>
    <row r="27" spans="1:8" s="10" customFormat="1" x14ac:dyDescent="0.25">
      <c r="A27" s="189"/>
      <c r="B27" s="40" t="s">
        <v>23</v>
      </c>
      <c r="C27" s="63" t="s">
        <v>58</v>
      </c>
      <c r="D27" s="83"/>
      <c r="E27" s="28"/>
      <c r="F27" s="28"/>
      <c r="G27" s="98"/>
      <c r="H27" s="79"/>
    </row>
    <row r="28" spans="1:8" s="10" customFormat="1" x14ac:dyDescent="0.25">
      <c r="A28" s="189"/>
      <c r="B28" s="40"/>
      <c r="C28" s="63" t="s">
        <v>970</v>
      </c>
      <c r="D28" s="83">
        <v>3000</v>
      </c>
      <c r="E28" s="28">
        <v>3000</v>
      </c>
      <c r="F28" s="28"/>
      <c r="G28" s="104"/>
      <c r="H28" s="79"/>
    </row>
    <row r="29" spans="1:8" s="10" customFormat="1" x14ac:dyDescent="0.25">
      <c r="A29" s="189"/>
      <c r="B29" s="40"/>
      <c r="C29" s="63" t="s">
        <v>971</v>
      </c>
      <c r="D29" s="83">
        <v>1500</v>
      </c>
      <c r="E29" s="28">
        <v>1500</v>
      </c>
      <c r="F29" s="28"/>
      <c r="G29" s="104"/>
      <c r="H29" s="79"/>
    </row>
    <row r="30" spans="1:8" s="10" customFormat="1" x14ac:dyDescent="0.25">
      <c r="A30" s="189"/>
      <c r="B30" s="40"/>
      <c r="C30" s="63" t="s">
        <v>972</v>
      </c>
      <c r="D30" s="83">
        <v>450</v>
      </c>
      <c r="E30" s="28">
        <v>450</v>
      </c>
      <c r="F30" s="28"/>
      <c r="G30" s="104"/>
      <c r="H30" s="79"/>
    </row>
    <row r="31" spans="1:8" s="20" customFormat="1" x14ac:dyDescent="0.25">
      <c r="A31" s="190"/>
      <c r="B31" s="191"/>
      <c r="C31" s="192" t="s">
        <v>60</v>
      </c>
      <c r="D31" s="85">
        <f>SUM(D28:D30)</f>
        <v>4950</v>
      </c>
      <c r="E31" s="38">
        <f t="shared" ref="E31:G31" si="2">SUM(E28:E30)</f>
        <v>4950</v>
      </c>
      <c r="F31" s="38">
        <f t="shared" si="2"/>
        <v>0</v>
      </c>
      <c r="G31" s="295">
        <f t="shared" si="2"/>
        <v>0</v>
      </c>
      <c r="H31" s="79"/>
    </row>
    <row r="32" spans="1:8" s="20" customFormat="1" x14ac:dyDescent="0.25">
      <c r="A32" s="190"/>
      <c r="B32" s="40" t="s">
        <v>25</v>
      </c>
      <c r="C32" s="63" t="s">
        <v>24</v>
      </c>
      <c r="D32" s="85"/>
      <c r="E32" s="38"/>
      <c r="F32" s="38"/>
      <c r="G32" s="102"/>
      <c r="H32" s="79"/>
    </row>
    <row r="33" spans="1:8" s="20" customFormat="1" x14ac:dyDescent="0.25">
      <c r="A33" s="190"/>
      <c r="B33" s="40"/>
      <c r="C33" s="63" t="s">
        <v>930</v>
      </c>
      <c r="D33" s="83">
        <v>1270</v>
      </c>
      <c r="E33" s="28">
        <v>1270</v>
      </c>
      <c r="F33" s="38"/>
      <c r="G33" s="102"/>
      <c r="H33" s="79"/>
    </row>
    <row r="34" spans="1:8" s="20" customFormat="1" x14ac:dyDescent="0.25">
      <c r="A34" s="190"/>
      <c r="B34" s="40"/>
      <c r="C34" s="192" t="s">
        <v>178</v>
      </c>
      <c r="D34" s="85">
        <f>SUM(D33)</f>
        <v>1270</v>
      </c>
      <c r="E34" s="38">
        <f t="shared" ref="E34:G34" si="3">SUM(E33)</f>
        <v>1270</v>
      </c>
      <c r="F34" s="38">
        <f t="shared" si="3"/>
        <v>0</v>
      </c>
      <c r="G34" s="295">
        <f t="shared" si="3"/>
        <v>0</v>
      </c>
      <c r="H34" s="79"/>
    </row>
    <row r="35" spans="1:8" s="10" customFormat="1" x14ac:dyDescent="0.25">
      <c r="A35" s="189"/>
      <c r="B35" s="40"/>
      <c r="C35" s="64" t="s">
        <v>34</v>
      </c>
      <c r="D35" s="86">
        <f>SUM(D24:D26)+D31+D34</f>
        <v>327997</v>
      </c>
      <c r="E35" s="48">
        <f>SUM(E24:E26)+E31+E34</f>
        <v>327997</v>
      </c>
      <c r="F35" s="48">
        <f>SUM(F24:F26)+F31+F34</f>
        <v>0</v>
      </c>
      <c r="G35" s="100">
        <f>SUM(G24:G26)+G31+G34</f>
        <v>0</v>
      </c>
      <c r="H35" s="79"/>
    </row>
    <row r="36" spans="1:8" s="10" customFormat="1" x14ac:dyDescent="0.25">
      <c r="A36" s="189"/>
      <c r="B36" s="40"/>
      <c r="C36" s="63"/>
      <c r="D36" s="22"/>
      <c r="E36" s="29"/>
      <c r="F36" s="29"/>
      <c r="G36" s="30"/>
      <c r="H36" s="79"/>
    </row>
    <row r="37" spans="1:8" s="10" customFormat="1" x14ac:dyDescent="0.25">
      <c r="A37" s="169">
        <v>103</v>
      </c>
      <c r="B37" s="40"/>
      <c r="C37" s="200" t="s">
        <v>909</v>
      </c>
      <c r="D37" s="25"/>
      <c r="E37" s="32"/>
      <c r="F37" s="32"/>
      <c r="G37" s="101"/>
      <c r="H37" s="79"/>
    </row>
    <row r="38" spans="1:8" s="10" customFormat="1" x14ac:dyDescent="0.25">
      <c r="A38" s="189"/>
      <c r="B38" s="40" t="s">
        <v>10</v>
      </c>
      <c r="C38" s="63" t="s">
        <v>26</v>
      </c>
      <c r="D38" s="83">
        <v>17184</v>
      </c>
      <c r="E38" s="28">
        <v>17184</v>
      </c>
      <c r="F38" s="28"/>
      <c r="G38" s="98"/>
      <c r="H38" s="79"/>
    </row>
    <row r="39" spans="1:8" s="10" customFormat="1" x14ac:dyDescent="0.25">
      <c r="A39" s="189"/>
      <c r="B39" s="40" t="s">
        <v>15</v>
      </c>
      <c r="C39" s="63" t="s">
        <v>63</v>
      </c>
      <c r="D39" s="83">
        <v>3351</v>
      </c>
      <c r="E39" s="28">
        <v>3351</v>
      </c>
      <c r="F39" s="28"/>
      <c r="G39" s="98"/>
      <c r="H39" s="79"/>
    </row>
    <row r="40" spans="1:8" s="10" customFormat="1" x14ac:dyDescent="0.25">
      <c r="A40" s="189"/>
      <c r="B40" s="40" t="s">
        <v>16</v>
      </c>
      <c r="C40" s="63" t="s">
        <v>31</v>
      </c>
      <c r="D40" s="83">
        <v>17500</v>
      </c>
      <c r="E40" s="28">
        <v>17500</v>
      </c>
      <c r="F40" s="28"/>
      <c r="G40" s="98"/>
      <c r="H40" s="79"/>
    </row>
    <row r="41" spans="1:8" s="10" customFormat="1" x14ac:dyDescent="0.25">
      <c r="A41" s="189"/>
      <c r="B41" s="40" t="s">
        <v>23</v>
      </c>
      <c r="C41" s="63" t="s">
        <v>58</v>
      </c>
      <c r="D41" s="83"/>
      <c r="E41" s="28"/>
      <c r="F41" s="28"/>
      <c r="G41" s="98"/>
      <c r="H41" s="79"/>
    </row>
    <row r="42" spans="1:8" s="10" customFormat="1" x14ac:dyDescent="0.25">
      <c r="A42" s="189"/>
      <c r="B42" s="40"/>
      <c r="C42" s="63" t="s">
        <v>206</v>
      </c>
      <c r="D42" s="83">
        <v>1000</v>
      </c>
      <c r="E42" s="28">
        <v>1000</v>
      </c>
      <c r="F42" s="28"/>
      <c r="G42" s="98"/>
      <c r="H42" s="79"/>
    </row>
    <row r="43" spans="1:8" s="20" customFormat="1" x14ac:dyDescent="0.25">
      <c r="A43" s="190"/>
      <c r="B43" s="191"/>
      <c r="C43" s="192" t="s">
        <v>60</v>
      </c>
      <c r="D43" s="85">
        <f>SUM(D42)</f>
        <v>1000</v>
      </c>
      <c r="E43" s="38">
        <f t="shared" ref="E43:G43" si="4">SUM(E42)</f>
        <v>1000</v>
      </c>
      <c r="F43" s="38">
        <f t="shared" si="4"/>
        <v>0</v>
      </c>
      <c r="G43" s="295">
        <f t="shared" si="4"/>
        <v>0</v>
      </c>
      <c r="H43" s="79"/>
    </row>
    <row r="44" spans="1:8" s="20" customFormat="1" x14ac:dyDescent="0.25">
      <c r="A44" s="190"/>
      <c r="B44" s="40" t="s">
        <v>25</v>
      </c>
      <c r="C44" s="63" t="s">
        <v>24</v>
      </c>
      <c r="D44" s="85"/>
      <c r="E44" s="38"/>
      <c r="F44" s="38"/>
      <c r="G44" s="102"/>
      <c r="H44" s="79"/>
    </row>
    <row r="45" spans="1:8" s="20" customFormat="1" x14ac:dyDescent="0.25">
      <c r="A45" s="190"/>
      <c r="B45" s="40"/>
      <c r="C45" s="63" t="s">
        <v>931</v>
      </c>
      <c r="D45" s="83">
        <v>3160</v>
      </c>
      <c r="E45" s="28">
        <v>3160</v>
      </c>
      <c r="F45" s="28"/>
      <c r="G45" s="104"/>
      <c r="H45" s="79"/>
    </row>
    <row r="46" spans="1:8" s="20" customFormat="1" x14ac:dyDescent="0.25">
      <c r="A46" s="190"/>
      <c r="B46" s="40"/>
      <c r="C46" s="192" t="s">
        <v>178</v>
      </c>
      <c r="D46" s="85">
        <f>SUM(D45:D45)</f>
        <v>3160</v>
      </c>
      <c r="E46" s="38">
        <f>SUM(E45:E45)</f>
        <v>3160</v>
      </c>
      <c r="F46" s="38">
        <f>SUM(F45:F45)</f>
        <v>0</v>
      </c>
      <c r="G46" s="295">
        <f>SUM(G45:G45)</f>
        <v>0</v>
      </c>
      <c r="H46" s="79"/>
    </row>
    <row r="47" spans="1:8" s="10" customFormat="1" x14ac:dyDescent="0.25">
      <c r="A47" s="189"/>
      <c r="B47" s="40"/>
      <c r="C47" s="64" t="s">
        <v>204</v>
      </c>
      <c r="D47" s="86">
        <f>SUM(D38:D40)+D43+D46</f>
        <v>42195</v>
      </c>
      <c r="E47" s="48">
        <f>SUM(E38:E40)+E43+E46</f>
        <v>42195</v>
      </c>
      <c r="F47" s="48">
        <f>SUM(F38:F40)+F43+F46</f>
        <v>0</v>
      </c>
      <c r="G47" s="100">
        <f>SUM(G38:G40)+G43+G46</f>
        <v>0</v>
      </c>
      <c r="H47" s="79"/>
    </row>
    <row r="48" spans="1:8" s="10" customFormat="1" x14ac:dyDescent="0.25">
      <c r="A48" s="189"/>
      <c r="B48" s="40"/>
      <c r="C48" s="64"/>
      <c r="D48" s="25"/>
      <c r="E48" s="32"/>
      <c r="F48" s="32"/>
      <c r="G48" s="101"/>
      <c r="H48" s="79"/>
    </row>
    <row r="49" spans="1:8" s="10" customFormat="1" x14ac:dyDescent="0.25">
      <c r="A49" s="189"/>
      <c r="B49" s="40"/>
      <c r="C49" s="64" t="s">
        <v>205</v>
      </c>
      <c r="D49" s="86">
        <f>SUM(D21,D35,D47)</f>
        <v>660709</v>
      </c>
      <c r="E49" s="48">
        <f>SUM(E21,E35,E47)</f>
        <v>660709</v>
      </c>
      <c r="F49" s="48">
        <f>SUM(F21,F35,F47)</f>
        <v>0</v>
      </c>
      <c r="G49" s="100">
        <f>SUM(G21,G35,G47)</f>
        <v>0</v>
      </c>
      <c r="H49" s="79"/>
    </row>
    <row r="50" spans="1:8" s="10" customFormat="1" x14ac:dyDescent="0.25">
      <c r="A50" s="189"/>
      <c r="B50" s="40"/>
      <c r="C50" s="64"/>
      <c r="D50" s="25"/>
      <c r="E50" s="32"/>
      <c r="F50" s="32"/>
      <c r="G50" s="101"/>
      <c r="H50" s="79"/>
    </row>
    <row r="51" spans="1:8" s="10" customFormat="1" x14ac:dyDescent="0.25">
      <c r="A51" s="169">
        <v>104</v>
      </c>
      <c r="B51" s="40"/>
      <c r="C51" s="64" t="s">
        <v>54</v>
      </c>
      <c r="D51" s="64"/>
      <c r="E51" s="32"/>
      <c r="F51" s="32"/>
      <c r="G51" s="101"/>
      <c r="H51" s="79"/>
    </row>
    <row r="52" spans="1:8" s="10" customFormat="1" x14ac:dyDescent="0.25">
      <c r="A52" s="189"/>
      <c r="B52" s="40" t="s">
        <v>10</v>
      </c>
      <c r="C52" s="63" t="s">
        <v>26</v>
      </c>
      <c r="D52" s="83">
        <v>297506</v>
      </c>
      <c r="E52" s="28">
        <v>297506</v>
      </c>
      <c r="F52" s="28"/>
      <c r="G52" s="98"/>
      <c r="H52" s="79"/>
    </row>
    <row r="53" spans="1:8" s="10" customFormat="1" x14ac:dyDescent="0.25">
      <c r="A53" s="189"/>
      <c r="B53" s="40" t="s">
        <v>15</v>
      </c>
      <c r="C53" s="63" t="s">
        <v>63</v>
      </c>
      <c r="D53" s="83">
        <v>58883</v>
      </c>
      <c r="E53" s="28">
        <v>58883</v>
      </c>
      <c r="F53" s="28"/>
      <c r="G53" s="98"/>
      <c r="H53" s="79"/>
    </row>
    <row r="54" spans="1:8" s="10" customFormat="1" x14ac:dyDescent="0.25">
      <c r="A54" s="189"/>
      <c r="B54" s="40" t="s">
        <v>16</v>
      </c>
      <c r="C54" s="63" t="s">
        <v>31</v>
      </c>
      <c r="D54" s="83">
        <v>80000</v>
      </c>
      <c r="E54" s="28">
        <v>80000</v>
      </c>
      <c r="F54" s="28"/>
      <c r="G54" s="98"/>
      <c r="H54" s="79"/>
    </row>
    <row r="55" spans="1:8" s="10" customFormat="1" x14ac:dyDescent="0.25">
      <c r="A55" s="189"/>
      <c r="B55" s="40" t="s">
        <v>23</v>
      </c>
      <c r="C55" s="63" t="s">
        <v>58</v>
      </c>
      <c r="D55" s="83"/>
      <c r="E55" s="28"/>
      <c r="F55" s="28"/>
      <c r="G55" s="98"/>
      <c r="H55" s="79"/>
    </row>
    <row r="56" spans="1:8" s="10" customFormat="1" x14ac:dyDescent="0.25">
      <c r="A56" s="189"/>
      <c r="B56" s="40"/>
      <c r="C56" s="63" t="s">
        <v>0</v>
      </c>
      <c r="D56" s="83">
        <v>3000</v>
      </c>
      <c r="E56" s="28">
        <v>3000</v>
      </c>
      <c r="F56" s="28"/>
      <c r="G56" s="98"/>
      <c r="H56" s="79"/>
    </row>
    <row r="57" spans="1:8" s="10" customFormat="1" x14ac:dyDescent="0.25">
      <c r="A57" s="189"/>
      <c r="B57" s="40"/>
      <c r="C57" s="63" t="s">
        <v>89</v>
      </c>
      <c r="D57" s="83">
        <v>650</v>
      </c>
      <c r="E57" s="28">
        <v>650</v>
      </c>
      <c r="F57" s="28"/>
      <c r="G57" s="98"/>
      <c r="H57" s="79"/>
    </row>
    <row r="58" spans="1:8" s="10" customFormat="1" x14ac:dyDescent="0.25">
      <c r="A58" s="189"/>
      <c r="B58" s="40"/>
      <c r="C58" s="63" t="s">
        <v>207</v>
      </c>
      <c r="D58" s="83">
        <v>5000</v>
      </c>
      <c r="E58" s="28">
        <v>5000</v>
      </c>
      <c r="F58" s="28"/>
      <c r="G58" s="98"/>
      <c r="H58" s="79"/>
    </row>
    <row r="59" spans="1:8" s="10" customFormat="1" x14ac:dyDescent="0.25">
      <c r="A59" s="190"/>
      <c r="B59" s="191"/>
      <c r="C59" s="192" t="s">
        <v>60</v>
      </c>
      <c r="D59" s="85">
        <f>SUM(D56:D58)</f>
        <v>8650</v>
      </c>
      <c r="E59" s="38">
        <f>SUM(E56:E58)</f>
        <v>8650</v>
      </c>
      <c r="F59" s="38">
        <f>SUM(F56:F58)</f>
        <v>0</v>
      </c>
      <c r="G59" s="102">
        <f>SUM(G56:G58)</f>
        <v>0</v>
      </c>
      <c r="H59" s="79"/>
    </row>
    <row r="60" spans="1:8" s="10" customFormat="1" x14ac:dyDescent="0.25">
      <c r="A60" s="189"/>
      <c r="B60" s="40"/>
      <c r="C60" s="64" t="s">
        <v>13</v>
      </c>
      <c r="D60" s="167">
        <f>D52+D53+D54+D59</f>
        <v>445039</v>
      </c>
      <c r="E60" s="31">
        <f>E52+E53+E54+E59</f>
        <v>445039</v>
      </c>
      <c r="F60" s="31">
        <f>F52+F53+F54+F59</f>
        <v>0</v>
      </c>
      <c r="G60" s="168">
        <f>G52+G53+G54+G59</f>
        <v>0</v>
      </c>
      <c r="H60" s="79"/>
    </row>
    <row r="61" spans="1:8" s="10" customFormat="1" x14ac:dyDescent="0.25">
      <c r="A61" s="189"/>
      <c r="B61" s="40"/>
      <c r="C61" s="80"/>
      <c r="D61" s="39"/>
      <c r="E61" s="69"/>
      <c r="F61" s="69"/>
      <c r="G61" s="103"/>
      <c r="H61" s="79"/>
    </row>
    <row r="62" spans="1:8" s="10" customFormat="1" x14ac:dyDescent="0.25">
      <c r="A62" s="169">
        <v>105</v>
      </c>
      <c r="B62" s="40"/>
      <c r="C62" s="64" t="s">
        <v>36</v>
      </c>
      <c r="D62" s="25"/>
      <c r="E62" s="32"/>
      <c r="F62" s="32"/>
      <c r="G62" s="101"/>
      <c r="H62" s="79"/>
    </row>
    <row r="63" spans="1:8" s="10" customFormat="1" x14ac:dyDescent="0.25">
      <c r="A63" s="189"/>
      <c r="B63" s="40" t="s">
        <v>10</v>
      </c>
      <c r="C63" s="63" t="s">
        <v>26</v>
      </c>
      <c r="D63" s="193"/>
      <c r="E63" s="42"/>
      <c r="F63" s="42"/>
      <c r="G63" s="194"/>
      <c r="H63" s="79"/>
    </row>
    <row r="64" spans="1:8" s="10" customFormat="1" x14ac:dyDescent="0.25">
      <c r="A64" s="189"/>
      <c r="B64" s="40"/>
      <c r="C64" s="63" t="s">
        <v>181</v>
      </c>
      <c r="D64" s="33">
        <v>8636</v>
      </c>
      <c r="E64" s="28"/>
      <c r="F64" s="28">
        <v>8636</v>
      </c>
      <c r="G64" s="98"/>
      <c r="H64" s="79"/>
    </row>
    <row r="65" spans="1:8" s="10" customFormat="1" x14ac:dyDescent="0.25">
      <c r="A65" s="189"/>
      <c r="B65" s="40"/>
      <c r="C65" s="63" t="s">
        <v>182</v>
      </c>
      <c r="D65" s="33">
        <v>29900</v>
      </c>
      <c r="E65" s="28">
        <v>29900</v>
      </c>
      <c r="F65" s="28"/>
      <c r="G65" s="98"/>
      <c r="H65" s="79"/>
    </row>
    <row r="66" spans="1:8" s="10" customFormat="1" ht="15.75" customHeight="1" x14ac:dyDescent="0.25">
      <c r="A66" s="189"/>
      <c r="B66" s="40"/>
      <c r="C66" s="63" t="s">
        <v>183</v>
      </c>
      <c r="D66" s="33">
        <v>17000</v>
      </c>
      <c r="E66" s="28">
        <v>17000</v>
      </c>
      <c r="F66" s="28"/>
      <c r="G66" s="98"/>
      <c r="H66" s="79"/>
    </row>
    <row r="67" spans="1:8" s="10" customFormat="1" x14ac:dyDescent="0.25">
      <c r="A67" s="189"/>
      <c r="B67" s="40"/>
      <c r="C67" s="59" t="s">
        <v>184</v>
      </c>
      <c r="D67" s="83">
        <v>17975</v>
      </c>
      <c r="E67" s="28">
        <v>17975</v>
      </c>
      <c r="F67" s="28"/>
      <c r="G67" s="104"/>
      <c r="H67" s="79"/>
    </row>
    <row r="68" spans="1:8" s="10" customFormat="1" x14ac:dyDescent="0.25">
      <c r="A68" s="189"/>
      <c r="B68" s="40"/>
      <c r="C68" s="59" t="s">
        <v>185</v>
      </c>
      <c r="D68" s="83">
        <v>4096</v>
      </c>
      <c r="E68" s="28"/>
      <c r="F68" s="28">
        <v>4096</v>
      </c>
      <c r="G68" s="104"/>
      <c r="H68" s="79"/>
    </row>
    <row r="69" spans="1:8" s="10" customFormat="1" x14ac:dyDescent="0.25">
      <c r="A69" s="189"/>
      <c r="B69" s="40"/>
      <c r="C69" s="59" t="s">
        <v>919</v>
      </c>
      <c r="D69" s="83">
        <v>5029</v>
      </c>
      <c r="E69" s="28"/>
      <c r="F69" s="28">
        <v>5029</v>
      </c>
      <c r="G69" s="104"/>
      <c r="H69" s="79"/>
    </row>
    <row r="70" spans="1:8" s="10" customFormat="1" x14ac:dyDescent="0.25">
      <c r="A70" s="189"/>
      <c r="B70" s="40"/>
      <c r="C70" s="59" t="s">
        <v>920</v>
      </c>
      <c r="D70" s="83">
        <v>9479</v>
      </c>
      <c r="E70" s="28"/>
      <c r="F70" s="28">
        <v>9479</v>
      </c>
      <c r="G70" s="104"/>
      <c r="H70" s="79"/>
    </row>
    <row r="71" spans="1:8" s="10" customFormat="1" ht="30" x14ac:dyDescent="0.25">
      <c r="A71" s="189"/>
      <c r="B71" s="40"/>
      <c r="C71" s="59" t="s">
        <v>1079</v>
      </c>
      <c r="D71" s="83">
        <v>12163</v>
      </c>
      <c r="E71" s="28">
        <v>12163</v>
      </c>
      <c r="F71" s="28"/>
      <c r="G71" s="104"/>
      <c r="H71" s="79"/>
    </row>
    <row r="72" spans="1:8" s="10" customFormat="1" ht="28.5" customHeight="1" x14ac:dyDescent="0.25">
      <c r="A72" s="189"/>
      <c r="B72" s="40"/>
      <c r="C72" s="59" t="s">
        <v>921</v>
      </c>
      <c r="D72" s="83">
        <v>1500</v>
      </c>
      <c r="E72" s="28">
        <v>1500</v>
      </c>
      <c r="F72" s="28"/>
      <c r="G72" s="104"/>
      <c r="H72" s="79"/>
    </row>
    <row r="73" spans="1:8" s="10" customFormat="1" ht="30" customHeight="1" x14ac:dyDescent="0.25">
      <c r="A73" s="189"/>
      <c r="B73" s="40"/>
      <c r="C73" s="59" t="s">
        <v>922</v>
      </c>
      <c r="D73" s="83">
        <v>1596</v>
      </c>
      <c r="E73" s="28">
        <v>1596</v>
      </c>
      <c r="F73" s="28"/>
      <c r="G73" s="104"/>
      <c r="H73" s="79"/>
    </row>
    <row r="74" spans="1:8" s="10" customFormat="1" ht="45" x14ac:dyDescent="0.25">
      <c r="A74" s="189"/>
      <c r="B74" s="40"/>
      <c r="C74" s="59" t="s">
        <v>923</v>
      </c>
      <c r="D74" s="83">
        <v>2771</v>
      </c>
      <c r="E74" s="28">
        <v>2771</v>
      </c>
      <c r="F74" s="28"/>
      <c r="G74" s="104"/>
      <c r="H74" s="79"/>
    </row>
    <row r="75" spans="1:8" s="10" customFormat="1" ht="30" x14ac:dyDescent="0.25">
      <c r="A75" s="189"/>
      <c r="B75" s="40"/>
      <c r="C75" s="43" t="s">
        <v>924</v>
      </c>
      <c r="D75" s="83">
        <v>21284</v>
      </c>
      <c r="E75" s="28">
        <v>21284</v>
      </c>
      <c r="F75" s="28"/>
      <c r="G75" s="104"/>
      <c r="H75" s="79"/>
    </row>
    <row r="76" spans="1:8" s="10" customFormat="1" ht="30" x14ac:dyDescent="0.25">
      <c r="A76" s="189"/>
      <c r="B76" s="40"/>
      <c r="C76" s="43" t="s">
        <v>925</v>
      </c>
      <c r="D76" s="83">
        <v>23768</v>
      </c>
      <c r="E76" s="28">
        <v>23768</v>
      </c>
      <c r="F76" s="28"/>
      <c r="G76" s="104"/>
      <c r="H76" s="79"/>
    </row>
    <row r="77" spans="1:8" s="10" customFormat="1" x14ac:dyDescent="0.25">
      <c r="A77" s="189"/>
      <c r="B77" s="40"/>
      <c r="C77" s="59"/>
      <c r="D77" s="83"/>
      <c r="E77" s="28"/>
      <c r="F77" s="28"/>
      <c r="G77" s="104"/>
      <c r="H77" s="79"/>
    </row>
    <row r="78" spans="1:8" s="10" customFormat="1" x14ac:dyDescent="0.25">
      <c r="A78" s="189"/>
      <c r="B78" s="40"/>
      <c r="C78" s="80" t="s">
        <v>41</v>
      </c>
      <c r="D78" s="87">
        <f t="shared" ref="D78:G78" si="5">SUM(D64:D77)</f>
        <v>155197</v>
      </c>
      <c r="E78" s="42">
        <f t="shared" si="5"/>
        <v>127957</v>
      </c>
      <c r="F78" s="42">
        <f t="shared" si="5"/>
        <v>27240</v>
      </c>
      <c r="G78" s="112">
        <f t="shared" si="5"/>
        <v>0</v>
      </c>
      <c r="H78" s="79"/>
    </row>
    <row r="79" spans="1:8" s="10" customFormat="1" x14ac:dyDescent="0.25">
      <c r="A79" s="189"/>
      <c r="B79" s="40"/>
      <c r="C79" s="80"/>
      <c r="D79" s="193"/>
      <c r="E79" s="42"/>
      <c r="F79" s="42"/>
      <c r="G79" s="194"/>
      <c r="H79" s="79"/>
    </row>
    <row r="80" spans="1:8" s="10" customFormat="1" x14ac:dyDescent="0.25">
      <c r="A80" s="189"/>
      <c r="B80" s="40" t="s">
        <v>15</v>
      </c>
      <c r="C80" s="63" t="s">
        <v>63</v>
      </c>
      <c r="D80" s="193"/>
      <c r="E80" s="42"/>
      <c r="F80" s="42"/>
      <c r="G80" s="194"/>
      <c r="H80" s="79"/>
    </row>
    <row r="81" spans="1:8" s="20" customFormat="1" x14ac:dyDescent="0.25">
      <c r="A81" s="190"/>
      <c r="B81" s="191"/>
      <c r="C81" s="63" t="s">
        <v>181</v>
      </c>
      <c r="D81" s="83">
        <v>855</v>
      </c>
      <c r="E81" s="28"/>
      <c r="F81" s="28">
        <v>855</v>
      </c>
      <c r="G81" s="98"/>
      <c r="H81" s="79"/>
    </row>
    <row r="82" spans="1:8" s="10" customFormat="1" x14ac:dyDescent="0.25">
      <c r="A82" s="189"/>
      <c r="B82" s="40"/>
      <c r="C82" s="63" t="s">
        <v>182</v>
      </c>
      <c r="D82" s="83">
        <v>5700</v>
      </c>
      <c r="E82" s="28">
        <v>5700</v>
      </c>
      <c r="F82" s="28"/>
      <c r="G82" s="98"/>
      <c r="H82" s="79"/>
    </row>
    <row r="83" spans="1:8" s="10" customFormat="1" x14ac:dyDescent="0.25">
      <c r="A83" s="189"/>
      <c r="B83" s="40"/>
      <c r="C83" s="63" t="s">
        <v>183</v>
      </c>
      <c r="D83" s="83">
        <v>3760</v>
      </c>
      <c r="E83" s="28">
        <v>3760</v>
      </c>
      <c r="F83" s="28"/>
      <c r="G83" s="98"/>
      <c r="H83" s="79"/>
    </row>
    <row r="84" spans="1:8" s="10" customFormat="1" x14ac:dyDescent="0.25">
      <c r="A84" s="189"/>
      <c r="B84" s="40"/>
      <c r="C84" s="59" t="s">
        <v>184</v>
      </c>
      <c r="D84" s="83">
        <v>3505</v>
      </c>
      <c r="E84" s="28">
        <v>3505</v>
      </c>
      <c r="F84" s="28"/>
      <c r="G84" s="98"/>
      <c r="H84" s="79"/>
    </row>
    <row r="85" spans="1:8" s="10" customFormat="1" x14ac:dyDescent="0.25">
      <c r="A85" s="189"/>
      <c r="B85" s="40"/>
      <c r="C85" s="59" t="s">
        <v>185</v>
      </c>
      <c r="D85" s="83">
        <v>579</v>
      </c>
      <c r="E85" s="28"/>
      <c r="F85" s="28">
        <v>579</v>
      </c>
      <c r="G85" s="98"/>
      <c r="H85" s="79"/>
    </row>
    <row r="86" spans="1:8" s="10" customFormat="1" x14ac:dyDescent="0.25">
      <c r="A86" s="189"/>
      <c r="B86" s="40"/>
      <c r="C86" s="59" t="s">
        <v>919</v>
      </c>
      <c r="D86" s="83">
        <v>981</v>
      </c>
      <c r="E86" s="28"/>
      <c r="F86" s="28">
        <v>981</v>
      </c>
      <c r="G86" s="104"/>
      <c r="H86" s="79"/>
    </row>
    <row r="87" spans="1:8" s="10" customFormat="1" x14ac:dyDescent="0.25">
      <c r="A87" s="189"/>
      <c r="B87" s="40"/>
      <c r="C87" s="59" t="s">
        <v>920</v>
      </c>
      <c r="D87" s="83">
        <v>1807</v>
      </c>
      <c r="E87" s="28"/>
      <c r="F87" s="28">
        <v>1807</v>
      </c>
      <c r="G87" s="104"/>
      <c r="H87" s="79"/>
    </row>
    <row r="88" spans="1:8" s="10" customFormat="1" ht="30" x14ac:dyDescent="0.25">
      <c r="A88" s="189"/>
      <c r="B88" s="40"/>
      <c r="C88" s="59" t="s">
        <v>1079</v>
      </c>
      <c r="D88" s="83">
        <v>2391</v>
      </c>
      <c r="E88" s="28">
        <v>2391</v>
      </c>
      <c r="F88" s="28"/>
      <c r="G88" s="104"/>
      <c r="H88" s="79"/>
    </row>
    <row r="89" spans="1:8" s="10" customFormat="1" ht="31.5" customHeight="1" x14ac:dyDescent="0.25">
      <c r="A89" s="189"/>
      <c r="B89" s="40"/>
      <c r="C89" s="59" t="s">
        <v>921</v>
      </c>
      <c r="D89" s="83">
        <v>293</v>
      </c>
      <c r="E89" s="28">
        <v>293</v>
      </c>
      <c r="F89" s="28"/>
      <c r="G89" s="104"/>
      <c r="H89" s="79"/>
    </row>
    <row r="90" spans="1:8" s="10" customFormat="1" ht="30.75" customHeight="1" x14ac:dyDescent="0.25">
      <c r="A90" s="189"/>
      <c r="B90" s="40"/>
      <c r="C90" s="59" t="s">
        <v>922</v>
      </c>
      <c r="D90" s="83">
        <v>311</v>
      </c>
      <c r="E90" s="28">
        <v>311</v>
      </c>
      <c r="F90" s="28"/>
      <c r="G90" s="104"/>
      <c r="H90" s="79"/>
    </row>
    <row r="91" spans="1:8" s="10" customFormat="1" ht="45" x14ac:dyDescent="0.25">
      <c r="A91" s="189"/>
      <c r="B91" s="40"/>
      <c r="C91" s="59" t="s">
        <v>923</v>
      </c>
      <c r="D91" s="83">
        <v>540</v>
      </c>
      <c r="E91" s="28">
        <v>540</v>
      </c>
      <c r="F91" s="28"/>
      <c r="G91" s="104"/>
      <c r="H91" s="79"/>
    </row>
    <row r="92" spans="1:8" s="10" customFormat="1" ht="30" x14ac:dyDescent="0.25">
      <c r="A92" s="189"/>
      <c r="B92" s="40"/>
      <c r="C92" s="43" t="s">
        <v>924</v>
      </c>
      <c r="D92" s="83">
        <v>3176</v>
      </c>
      <c r="E92" s="28">
        <v>3176</v>
      </c>
      <c r="F92" s="28"/>
      <c r="G92" s="104"/>
      <c r="H92" s="79"/>
    </row>
    <row r="93" spans="1:8" s="10" customFormat="1" ht="30" x14ac:dyDescent="0.25">
      <c r="A93" s="189"/>
      <c r="B93" s="40"/>
      <c r="C93" s="43" t="s">
        <v>925</v>
      </c>
      <c r="D93" s="83">
        <v>4595</v>
      </c>
      <c r="E93" s="28">
        <v>4595</v>
      </c>
      <c r="F93" s="28"/>
      <c r="G93" s="104"/>
      <c r="H93" s="79"/>
    </row>
    <row r="94" spans="1:8" s="10" customFormat="1" x14ac:dyDescent="0.25">
      <c r="A94" s="189"/>
      <c r="B94" s="40"/>
      <c r="C94" s="59"/>
      <c r="D94" s="83"/>
      <c r="E94" s="28"/>
      <c r="F94" s="28"/>
      <c r="G94" s="104"/>
      <c r="H94" s="79"/>
    </row>
    <row r="95" spans="1:8" s="10" customFormat="1" x14ac:dyDescent="0.25">
      <c r="A95" s="189"/>
      <c r="B95" s="40"/>
      <c r="C95" s="80" t="s">
        <v>42</v>
      </c>
      <c r="D95" s="87">
        <f t="shared" ref="D95:G95" si="6">SUM(D81:D94)</f>
        <v>28493</v>
      </c>
      <c r="E95" s="42">
        <f t="shared" si="6"/>
        <v>24271</v>
      </c>
      <c r="F95" s="42">
        <f t="shared" si="6"/>
        <v>4222</v>
      </c>
      <c r="G95" s="112">
        <f t="shared" si="6"/>
        <v>0</v>
      </c>
      <c r="H95" s="79"/>
    </row>
    <row r="96" spans="1:8" s="10" customFormat="1" x14ac:dyDescent="0.25">
      <c r="A96" s="189"/>
      <c r="B96" s="40"/>
      <c r="C96" s="80"/>
      <c r="D96" s="39"/>
      <c r="E96" s="69"/>
      <c r="F96" s="69"/>
      <c r="G96" s="103"/>
      <c r="H96" s="79"/>
    </row>
    <row r="97" spans="1:8" s="10" customFormat="1" x14ac:dyDescent="0.25">
      <c r="A97" s="189"/>
      <c r="B97" s="40" t="s">
        <v>16</v>
      </c>
      <c r="C97" s="63" t="s">
        <v>31</v>
      </c>
      <c r="D97" s="193"/>
      <c r="E97" s="42"/>
      <c r="F97" s="42"/>
      <c r="G97" s="194"/>
      <c r="H97" s="79"/>
    </row>
    <row r="98" spans="1:8" s="10" customFormat="1" x14ac:dyDescent="0.25">
      <c r="A98" s="189"/>
      <c r="B98" s="29"/>
      <c r="C98" s="63" t="s">
        <v>37</v>
      </c>
      <c r="D98" s="33">
        <v>2000</v>
      </c>
      <c r="E98" s="28"/>
      <c r="F98" s="28">
        <v>2000</v>
      </c>
      <c r="G98" s="98"/>
      <c r="H98" s="79"/>
    </row>
    <row r="99" spans="1:8" s="10" customFormat="1" x14ac:dyDescent="0.25">
      <c r="A99" s="189"/>
      <c r="B99" s="40"/>
      <c r="C99" s="63" t="s">
        <v>106</v>
      </c>
      <c r="D99" s="33">
        <v>2400</v>
      </c>
      <c r="E99" s="28">
        <v>2400</v>
      </c>
      <c r="F99" s="28"/>
      <c r="G99" s="98"/>
      <c r="H99" s="79"/>
    </row>
    <row r="100" spans="1:8" s="10" customFormat="1" x14ac:dyDescent="0.25">
      <c r="A100" s="189"/>
      <c r="B100" s="40"/>
      <c r="C100" s="63" t="s">
        <v>186</v>
      </c>
      <c r="D100" s="33">
        <v>1250</v>
      </c>
      <c r="E100" s="28">
        <v>1250</v>
      </c>
      <c r="F100" s="28"/>
      <c r="G100" s="98"/>
      <c r="H100" s="79"/>
    </row>
    <row r="101" spans="1:8" s="10" customFormat="1" x14ac:dyDescent="0.25">
      <c r="A101" s="189"/>
      <c r="B101" s="40"/>
      <c r="C101" s="63" t="s">
        <v>187</v>
      </c>
      <c r="D101" s="33">
        <v>2300</v>
      </c>
      <c r="E101" s="28">
        <v>2300</v>
      </c>
      <c r="F101" s="28"/>
      <c r="G101" s="98"/>
      <c r="H101" s="79"/>
    </row>
    <row r="102" spans="1:8" s="10" customFormat="1" x14ac:dyDescent="0.25">
      <c r="A102" s="189"/>
      <c r="B102" s="40"/>
      <c r="C102" s="63" t="s">
        <v>188</v>
      </c>
      <c r="D102" s="33">
        <v>40000</v>
      </c>
      <c r="E102" s="28">
        <v>40000</v>
      </c>
      <c r="F102" s="28"/>
      <c r="G102" s="98"/>
      <c r="H102" s="79"/>
    </row>
    <row r="103" spans="1:8" s="10" customFormat="1" x14ac:dyDescent="0.25">
      <c r="A103" s="189"/>
      <c r="B103" s="40"/>
      <c r="C103" s="63" t="s">
        <v>973</v>
      </c>
      <c r="D103" s="33">
        <v>22000</v>
      </c>
      <c r="E103" s="28">
        <v>22000</v>
      </c>
      <c r="F103" s="28"/>
      <c r="G103" s="98"/>
      <c r="H103" s="79"/>
    </row>
    <row r="104" spans="1:8" s="10" customFormat="1" x14ac:dyDescent="0.25">
      <c r="A104" s="189"/>
      <c r="B104" s="40"/>
      <c r="C104" s="63" t="s">
        <v>974</v>
      </c>
      <c r="D104" s="33">
        <v>3500</v>
      </c>
      <c r="E104" s="28">
        <v>3500</v>
      </c>
      <c r="F104" s="28"/>
      <c r="G104" s="98"/>
      <c r="H104" s="79"/>
    </row>
    <row r="105" spans="1:8" s="10" customFormat="1" x14ac:dyDescent="0.25">
      <c r="A105" s="189"/>
      <c r="B105" s="40"/>
      <c r="C105" s="63" t="s">
        <v>975</v>
      </c>
      <c r="D105" s="33">
        <v>6000</v>
      </c>
      <c r="E105" s="28">
        <v>6000</v>
      </c>
      <c r="F105" s="28"/>
      <c r="G105" s="98"/>
      <c r="H105" s="79"/>
    </row>
    <row r="106" spans="1:8" s="10" customFormat="1" x14ac:dyDescent="0.25">
      <c r="A106" s="189"/>
      <c r="B106" s="40"/>
      <c r="C106" s="63" t="s">
        <v>976</v>
      </c>
      <c r="D106" s="33">
        <v>30000</v>
      </c>
      <c r="E106" s="28">
        <v>30000</v>
      </c>
      <c r="F106" s="28"/>
      <c r="G106" s="98"/>
      <c r="H106" s="79"/>
    </row>
    <row r="107" spans="1:8" s="10" customFormat="1" x14ac:dyDescent="0.25">
      <c r="A107" s="189"/>
      <c r="B107" s="40"/>
      <c r="C107" s="63" t="s">
        <v>977</v>
      </c>
      <c r="D107" s="33"/>
      <c r="E107" s="28"/>
      <c r="F107" s="28"/>
      <c r="G107" s="98"/>
      <c r="H107" s="79"/>
    </row>
    <row r="108" spans="1:8" s="10" customFormat="1" ht="30" x14ac:dyDescent="0.25">
      <c r="A108" s="189"/>
      <c r="B108" s="40"/>
      <c r="C108" s="59" t="s">
        <v>978</v>
      </c>
      <c r="D108" s="33">
        <v>90000</v>
      </c>
      <c r="E108" s="28">
        <v>90000</v>
      </c>
      <c r="F108" s="28"/>
      <c r="G108" s="98"/>
      <c r="H108" s="79"/>
    </row>
    <row r="109" spans="1:8" s="10" customFormat="1" ht="30" x14ac:dyDescent="0.25">
      <c r="A109" s="189"/>
      <c r="B109" s="40"/>
      <c r="C109" s="59" t="s">
        <v>979</v>
      </c>
      <c r="D109" s="33">
        <v>20000</v>
      </c>
      <c r="E109" s="28">
        <v>20000</v>
      </c>
      <c r="F109" s="28"/>
      <c r="G109" s="98"/>
      <c r="H109" s="79"/>
    </row>
    <row r="110" spans="1:8" s="10" customFormat="1" x14ac:dyDescent="0.25">
      <c r="A110" s="189"/>
      <c r="B110" s="40"/>
      <c r="C110" s="63" t="s">
        <v>980</v>
      </c>
      <c r="D110" s="33">
        <v>40000</v>
      </c>
      <c r="E110" s="28">
        <v>40000</v>
      </c>
      <c r="F110" s="28"/>
      <c r="G110" s="98"/>
      <c r="H110" s="79"/>
    </row>
    <row r="111" spans="1:8" s="10" customFormat="1" ht="30" x14ac:dyDescent="0.25">
      <c r="A111" s="189"/>
      <c r="B111" s="40"/>
      <c r="C111" s="59" t="s">
        <v>981</v>
      </c>
      <c r="D111" s="33"/>
      <c r="E111" s="28"/>
      <c r="F111" s="28"/>
      <c r="G111" s="98"/>
      <c r="H111" s="79"/>
    </row>
    <row r="112" spans="1:8" s="10" customFormat="1" x14ac:dyDescent="0.25">
      <c r="A112" s="189"/>
      <c r="B112" s="40"/>
      <c r="C112" s="63" t="s">
        <v>982</v>
      </c>
      <c r="D112" s="33">
        <v>3000</v>
      </c>
      <c r="E112" s="28">
        <v>3000</v>
      </c>
      <c r="F112" s="28"/>
      <c r="G112" s="98"/>
      <c r="H112" s="79"/>
    </row>
    <row r="113" spans="1:8" s="10" customFormat="1" x14ac:dyDescent="0.25">
      <c r="A113" s="189"/>
      <c r="B113" s="40"/>
      <c r="C113" s="63" t="s">
        <v>983</v>
      </c>
      <c r="D113" s="33">
        <v>2000</v>
      </c>
      <c r="E113" s="28">
        <v>2000</v>
      </c>
      <c r="F113" s="28"/>
      <c r="G113" s="98"/>
      <c r="H113" s="79"/>
    </row>
    <row r="114" spans="1:8" s="10" customFormat="1" x14ac:dyDescent="0.25">
      <c r="A114" s="189"/>
      <c r="B114" s="40"/>
      <c r="C114" s="63" t="s">
        <v>984</v>
      </c>
      <c r="D114" s="33">
        <v>4000</v>
      </c>
      <c r="E114" s="28">
        <v>4000</v>
      </c>
      <c r="F114" s="28"/>
      <c r="G114" s="98"/>
      <c r="H114" s="79"/>
    </row>
    <row r="115" spans="1:8" s="10" customFormat="1" x14ac:dyDescent="0.25">
      <c r="A115" s="189"/>
      <c r="B115" s="40"/>
      <c r="C115" s="63" t="s">
        <v>985</v>
      </c>
      <c r="D115" s="33">
        <v>8000</v>
      </c>
      <c r="E115" s="28">
        <v>8000</v>
      </c>
      <c r="F115" s="28"/>
      <c r="G115" s="98"/>
      <c r="H115" s="79"/>
    </row>
    <row r="116" spans="1:8" s="10" customFormat="1" x14ac:dyDescent="0.25">
      <c r="A116" s="189"/>
      <c r="B116" s="40"/>
      <c r="C116" s="63" t="s">
        <v>986</v>
      </c>
      <c r="D116" s="33">
        <v>300</v>
      </c>
      <c r="E116" s="28">
        <v>300</v>
      </c>
      <c r="F116" s="28"/>
      <c r="G116" s="98"/>
      <c r="H116" s="79"/>
    </row>
    <row r="117" spans="1:8" s="10" customFormat="1" x14ac:dyDescent="0.25">
      <c r="A117" s="189"/>
      <c r="B117" s="40"/>
      <c r="C117" s="63" t="s">
        <v>987</v>
      </c>
      <c r="D117" s="33">
        <v>50000</v>
      </c>
      <c r="E117" s="28">
        <v>50000</v>
      </c>
      <c r="F117" s="28"/>
      <c r="G117" s="98"/>
      <c r="H117" s="79"/>
    </row>
    <row r="118" spans="1:8" s="10" customFormat="1" x14ac:dyDescent="0.25">
      <c r="A118" s="189"/>
      <c r="B118" s="40"/>
      <c r="C118" s="63" t="s">
        <v>988</v>
      </c>
      <c r="D118" s="33">
        <v>500</v>
      </c>
      <c r="E118" s="28">
        <v>500</v>
      </c>
      <c r="F118" s="28"/>
      <c r="G118" s="98"/>
      <c r="H118" s="79"/>
    </row>
    <row r="119" spans="1:8" s="10" customFormat="1" x14ac:dyDescent="0.25">
      <c r="A119" s="189"/>
      <c r="B119" s="40"/>
      <c r="C119" s="63" t="s">
        <v>989</v>
      </c>
      <c r="D119" s="33">
        <v>500</v>
      </c>
      <c r="E119" s="28">
        <v>500</v>
      </c>
      <c r="F119" s="28"/>
      <c r="G119" s="98"/>
      <c r="H119" s="79"/>
    </row>
    <row r="120" spans="1:8" s="10" customFormat="1" ht="17.25" customHeight="1" x14ac:dyDescent="0.25">
      <c r="A120" s="189"/>
      <c r="B120" s="40"/>
      <c r="C120" s="63" t="s">
        <v>990</v>
      </c>
      <c r="D120" s="33">
        <v>2000</v>
      </c>
      <c r="E120" s="28">
        <v>2000</v>
      </c>
      <c r="F120" s="28"/>
      <c r="G120" s="98"/>
      <c r="H120" s="79"/>
    </row>
    <row r="121" spans="1:8" s="10" customFormat="1" x14ac:dyDescent="0.25">
      <c r="A121" s="189"/>
      <c r="B121" s="40"/>
      <c r="C121" s="63" t="s">
        <v>991</v>
      </c>
      <c r="D121" s="33"/>
      <c r="E121" s="28"/>
      <c r="F121" s="28"/>
      <c r="G121" s="98"/>
      <c r="H121" s="79"/>
    </row>
    <row r="122" spans="1:8" s="10" customFormat="1" x14ac:dyDescent="0.25">
      <c r="A122" s="189"/>
      <c r="B122" s="40"/>
      <c r="C122" s="63" t="s">
        <v>992</v>
      </c>
      <c r="D122" s="33">
        <v>3000</v>
      </c>
      <c r="E122" s="28">
        <v>3000</v>
      </c>
      <c r="F122" s="28"/>
      <c r="G122" s="98"/>
      <c r="H122" s="79"/>
    </row>
    <row r="123" spans="1:8" s="10" customFormat="1" x14ac:dyDescent="0.25">
      <c r="A123" s="189"/>
      <c r="B123" s="40"/>
      <c r="C123" s="63" t="s">
        <v>993</v>
      </c>
      <c r="D123" s="33">
        <v>7685</v>
      </c>
      <c r="E123" s="28">
        <v>7685</v>
      </c>
      <c r="F123" s="28"/>
      <c r="G123" s="98"/>
      <c r="H123" s="79"/>
    </row>
    <row r="124" spans="1:8" s="10" customFormat="1" ht="18.75" customHeight="1" x14ac:dyDescent="0.25">
      <c r="A124" s="189"/>
      <c r="B124" s="40"/>
      <c r="C124" s="63" t="s">
        <v>994</v>
      </c>
      <c r="D124" s="33">
        <v>3000</v>
      </c>
      <c r="E124" s="28">
        <v>3000</v>
      </c>
      <c r="F124" s="28"/>
      <c r="G124" s="98"/>
      <c r="H124" s="79"/>
    </row>
    <row r="125" spans="1:8" s="10" customFormat="1" x14ac:dyDescent="0.25">
      <c r="A125" s="189"/>
      <c r="B125" s="40"/>
      <c r="C125" s="59" t="s">
        <v>995</v>
      </c>
      <c r="D125" s="78">
        <v>100</v>
      </c>
      <c r="E125" s="51"/>
      <c r="F125" s="51">
        <v>100</v>
      </c>
      <c r="G125" s="105"/>
      <c r="H125" s="79"/>
    </row>
    <row r="126" spans="1:8" s="10" customFormat="1" ht="16.5" customHeight="1" x14ac:dyDescent="0.25">
      <c r="A126" s="189"/>
      <c r="B126" s="40"/>
      <c r="C126" s="59" t="s">
        <v>996</v>
      </c>
      <c r="D126" s="78">
        <v>10000</v>
      </c>
      <c r="E126" s="51"/>
      <c r="F126" s="51">
        <v>10000</v>
      </c>
      <c r="G126" s="105"/>
      <c r="H126" s="79"/>
    </row>
    <row r="127" spans="1:8" s="10" customFormat="1" ht="18.75" customHeight="1" x14ac:dyDescent="0.25">
      <c r="A127" s="189"/>
      <c r="B127" s="40"/>
      <c r="C127" s="59" t="s">
        <v>997</v>
      </c>
      <c r="D127" s="78">
        <v>10000</v>
      </c>
      <c r="E127" s="51"/>
      <c r="F127" s="51">
        <v>10000</v>
      </c>
      <c r="G127" s="105"/>
      <c r="H127" s="79"/>
    </row>
    <row r="128" spans="1:8" s="10" customFormat="1" x14ac:dyDescent="0.25">
      <c r="A128" s="189"/>
      <c r="B128" s="40"/>
      <c r="C128" s="59" t="s">
        <v>998</v>
      </c>
      <c r="D128" s="78">
        <v>1000</v>
      </c>
      <c r="E128" s="51"/>
      <c r="F128" s="51">
        <v>1000</v>
      </c>
      <c r="G128" s="105"/>
      <c r="H128" s="79"/>
    </row>
    <row r="129" spans="1:8" s="10" customFormat="1" ht="18" customHeight="1" x14ac:dyDescent="0.25">
      <c r="A129" s="189"/>
      <c r="B129" s="40"/>
      <c r="C129" s="59" t="s">
        <v>999</v>
      </c>
      <c r="D129" s="78">
        <v>25000</v>
      </c>
      <c r="E129" s="51">
        <v>25000</v>
      </c>
      <c r="F129" s="51"/>
      <c r="G129" s="105"/>
      <c r="H129" s="79"/>
    </row>
    <row r="130" spans="1:8" s="10" customFormat="1" x14ac:dyDescent="0.25">
      <c r="A130" s="189"/>
      <c r="B130" s="40"/>
      <c r="C130" s="59" t="s">
        <v>1000</v>
      </c>
      <c r="D130" s="78">
        <v>55000</v>
      </c>
      <c r="E130" s="51"/>
      <c r="F130" s="51">
        <v>55000</v>
      </c>
      <c r="G130" s="105"/>
      <c r="H130" s="79"/>
    </row>
    <row r="131" spans="1:8" s="10" customFormat="1" x14ac:dyDescent="0.25">
      <c r="A131" s="189"/>
      <c r="B131" s="40"/>
      <c r="C131" s="59" t="s">
        <v>1001</v>
      </c>
      <c r="D131" s="78">
        <v>31000</v>
      </c>
      <c r="E131" s="51"/>
      <c r="F131" s="51">
        <v>31000</v>
      </c>
      <c r="G131" s="105"/>
      <c r="H131" s="79"/>
    </row>
    <row r="132" spans="1:8" s="10" customFormat="1" x14ac:dyDescent="0.25">
      <c r="A132" s="189"/>
      <c r="B132" s="40"/>
      <c r="C132" s="59" t="s">
        <v>1002</v>
      </c>
      <c r="D132" s="78">
        <v>4800</v>
      </c>
      <c r="E132" s="51">
        <v>4800</v>
      </c>
      <c r="F132" s="51"/>
      <c r="G132" s="105"/>
      <c r="H132" s="79"/>
    </row>
    <row r="133" spans="1:8" s="10" customFormat="1" x14ac:dyDescent="0.25">
      <c r="A133" s="189"/>
      <c r="B133" s="40"/>
      <c r="C133" s="59" t="s">
        <v>1003</v>
      </c>
      <c r="D133" s="84">
        <v>1120</v>
      </c>
      <c r="E133" s="51">
        <v>1120</v>
      </c>
      <c r="F133" s="51"/>
      <c r="G133" s="105"/>
      <c r="H133" s="79"/>
    </row>
    <row r="134" spans="1:8" s="10" customFormat="1" x14ac:dyDescent="0.25">
      <c r="A134" s="189"/>
      <c r="B134" s="40"/>
      <c r="C134" s="59" t="s">
        <v>1004</v>
      </c>
      <c r="D134" s="84"/>
      <c r="E134" s="51"/>
      <c r="F134" s="51"/>
      <c r="G134" s="106"/>
      <c r="H134" s="79"/>
    </row>
    <row r="135" spans="1:8" s="10" customFormat="1" x14ac:dyDescent="0.25">
      <c r="A135" s="189"/>
      <c r="B135" s="40"/>
      <c r="C135" s="59" t="s">
        <v>1005</v>
      </c>
      <c r="D135" s="84">
        <v>12500</v>
      </c>
      <c r="E135" s="51"/>
      <c r="F135" s="51">
        <v>12500</v>
      </c>
      <c r="G135" s="106"/>
      <c r="H135" s="79"/>
    </row>
    <row r="136" spans="1:8" s="10" customFormat="1" x14ac:dyDescent="0.25">
      <c r="A136" s="189"/>
      <c r="B136" s="40"/>
      <c r="C136" s="59" t="s">
        <v>1006</v>
      </c>
      <c r="D136" s="84">
        <v>400</v>
      </c>
      <c r="E136" s="51"/>
      <c r="F136" s="51">
        <v>400</v>
      </c>
      <c r="G136" s="106"/>
      <c r="H136" s="79"/>
    </row>
    <row r="137" spans="1:8" s="10" customFormat="1" x14ac:dyDescent="0.25">
      <c r="A137" s="189"/>
      <c r="B137" s="40"/>
      <c r="C137" s="59" t="s">
        <v>1007</v>
      </c>
      <c r="D137" s="84">
        <v>1000</v>
      </c>
      <c r="E137" s="51">
        <v>1000</v>
      </c>
      <c r="F137" s="51"/>
      <c r="G137" s="106"/>
      <c r="H137" s="79"/>
    </row>
    <row r="138" spans="1:8" s="10" customFormat="1" x14ac:dyDescent="0.25">
      <c r="A138" s="189"/>
      <c r="B138" s="40"/>
      <c r="C138" s="59" t="s">
        <v>1008</v>
      </c>
      <c r="D138" s="84">
        <v>1000</v>
      </c>
      <c r="E138" s="51">
        <v>1000</v>
      </c>
      <c r="F138" s="51"/>
      <c r="G138" s="106"/>
      <c r="H138" s="79"/>
    </row>
    <row r="139" spans="1:8" s="10" customFormat="1" x14ac:dyDescent="0.25">
      <c r="A139" s="189"/>
      <c r="B139" s="40"/>
      <c r="C139" s="59" t="s">
        <v>1009</v>
      </c>
      <c r="D139" s="84">
        <v>20000</v>
      </c>
      <c r="E139" s="51">
        <v>20000</v>
      </c>
      <c r="F139" s="51"/>
      <c r="G139" s="106"/>
      <c r="H139" s="79"/>
    </row>
    <row r="140" spans="1:8" s="10" customFormat="1" x14ac:dyDescent="0.25">
      <c r="A140" s="189"/>
      <c r="B140" s="40"/>
      <c r="C140" s="59" t="s">
        <v>1010</v>
      </c>
      <c r="D140" s="84"/>
      <c r="E140" s="51"/>
      <c r="F140" s="51"/>
      <c r="G140" s="106"/>
      <c r="H140" s="79"/>
    </row>
    <row r="141" spans="1:8" s="10" customFormat="1" ht="18.75" customHeight="1" x14ac:dyDescent="0.25">
      <c r="A141" s="189"/>
      <c r="B141" s="40"/>
      <c r="C141" s="59" t="s">
        <v>1011</v>
      </c>
      <c r="D141" s="84">
        <v>20000</v>
      </c>
      <c r="E141" s="51">
        <v>20000</v>
      </c>
      <c r="F141" s="51"/>
      <c r="G141" s="106"/>
      <c r="H141" s="79"/>
    </row>
    <row r="142" spans="1:8" s="10" customFormat="1" x14ac:dyDescent="0.25">
      <c r="A142" s="189"/>
      <c r="B142" s="40"/>
      <c r="C142" s="59" t="s">
        <v>1012</v>
      </c>
      <c r="D142" s="84">
        <v>2500</v>
      </c>
      <c r="E142" s="51">
        <v>2500</v>
      </c>
      <c r="F142" s="51"/>
      <c r="G142" s="106"/>
      <c r="H142" s="79"/>
    </row>
    <row r="143" spans="1:8" s="10" customFormat="1" x14ac:dyDescent="0.25">
      <c r="A143" s="189"/>
      <c r="B143" s="40"/>
      <c r="C143" s="59" t="s">
        <v>1013</v>
      </c>
      <c r="D143" s="84">
        <v>1000</v>
      </c>
      <c r="E143" s="51"/>
      <c r="F143" s="51">
        <v>1000</v>
      </c>
      <c r="G143" s="106"/>
      <c r="H143" s="79"/>
    </row>
    <row r="144" spans="1:8" s="10" customFormat="1" x14ac:dyDescent="0.25">
      <c r="A144" s="189"/>
      <c r="B144" s="40"/>
      <c r="C144" s="59" t="s">
        <v>1014</v>
      </c>
      <c r="D144" s="84">
        <v>500</v>
      </c>
      <c r="E144" s="51"/>
      <c r="F144" s="51">
        <v>500</v>
      </c>
      <c r="G144" s="106"/>
      <c r="H144" s="79"/>
    </row>
    <row r="145" spans="1:8" s="10" customFormat="1" x14ac:dyDescent="0.25">
      <c r="A145" s="189"/>
      <c r="B145" s="40"/>
      <c r="C145" s="59" t="s">
        <v>1015</v>
      </c>
      <c r="D145" s="84">
        <v>2000</v>
      </c>
      <c r="E145" s="51">
        <v>2000</v>
      </c>
      <c r="F145" s="51"/>
      <c r="G145" s="106"/>
      <c r="H145" s="79"/>
    </row>
    <row r="146" spans="1:8" s="10" customFormat="1" x14ac:dyDescent="0.25">
      <c r="A146" s="189"/>
      <c r="B146" s="40"/>
      <c r="C146" s="59" t="s">
        <v>1016</v>
      </c>
      <c r="D146" s="84">
        <v>2500</v>
      </c>
      <c r="E146" s="51">
        <v>2500</v>
      </c>
      <c r="F146" s="51"/>
      <c r="G146" s="106"/>
      <c r="H146" s="79"/>
    </row>
    <row r="147" spans="1:8" s="10" customFormat="1" x14ac:dyDescent="0.25">
      <c r="A147" s="189"/>
      <c r="B147" s="40"/>
      <c r="C147" s="59" t="s">
        <v>1017</v>
      </c>
      <c r="D147" s="84">
        <v>3500</v>
      </c>
      <c r="E147" s="51"/>
      <c r="F147" s="51">
        <v>3500</v>
      </c>
      <c r="G147" s="106"/>
      <c r="H147" s="79"/>
    </row>
    <row r="148" spans="1:8" s="10" customFormat="1" x14ac:dyDescent="0.25">
      <c r="A148" s="189"/>
      <c r="B148" s="40"/>
      <c r="C148" s="59" t="s">
        <v>1018</v>
      </c>
      <c r="D148" s="84">
        <v>5000</v>
      </c>
      <c r="E148" s="51">
        <v>5000</v>
      </c>
      <c r="F148" s="51"/>
      <c r="G148" s="106"/>
      <c r="H148" s="79"/>
    </row>
    <row r="149" spans="1:8" s="10" customFormat="1" ht="30" x14ac:dyDescent="0.25">
      <c r="A149" s="189"/>
      <c r="B149" s="40"/>
      <c r="C149" s="59" t="s">
        <v>1019</v>
      </c>
      <c r="D149" s="84">
        <v>2513</v>
      </c>
      <c r="E149" s="51">
        <v>2513</v>
      </c>
      <c r="F149" s="51"/>
      <c r="G149" s="106"/>
      <c r="H149" s="79"/>
    </row>
    <row r="150" spans="1:8" s="10" customFormat="1" ht="30" customHeight="1" x14ac:dyDescent="0.25">
      <c r="A150" s="189"/>
      <c r="B150" s="40"/>
      <c r="C150" s="59" t="s">
        <v>1020</v>
      </c>
      <c r="D150" s="84">
        <v>2654</v>
      </c>
      <c r="E150" s="51">
        <v>2654</v>
      </c>
      <c r="F150" s="51"/>
      <c r="G150" s="106"/>
      <c r="H150" s="79"/>
    </row>
    <row r="151" spans="1:8" s="10" customFormat="1" ht="30.75" customHeight="1" x14ac:dyDescent="0.25">
      <c r="A151" s="189"/>
      <c r="B151" s="40"/>
      <c r="C151" s="59" t="s">
        <v>1021</v>
      </c>
      <c r="D151" s="84">
        <v>1279</v>
      </c>
      <c r="E151" s="51">
        <v>1279</v>
      </c>
      <c r="F151" s="51"/>
      <c r="G151" s="106"/>
      <c r="H151" s="79"/>
    </row>
    <row r="152" spans="1:8" s="10" customFormat="1" ht="45" x14ac:dyDescent="0.25">
      <c r="A152" s="189"/>
      <c r="B152" s="40"/>
      <c r="C152" s="59" t="s">
        <v>1022</v>
      </c>
      <c r="D152" s="84">
        <v>3773</v>
      </c>
      <c r="E152" s="51">
        <v>3773</v>
      </c>
      <c r="F152" s="51"/>
      <c r="G152" s="106"/>
      <c r="H152" s="79"/>
    </row>
    <row r="153" spans="1:8" s="10" customFormat="1" ht="30" x14ac:dyDescent="0.25">
      <c r="A153" s="189"/>
      <c r="B153" s="40"/>
      <c r="C153" s="59" t="s">
        <v>1023</v>
      </c>
      <c r="D153" s="84">
        <v>4333</v>
      </c>
      <c r="E153" s="51">
        <v>4333</v>
      </c>
      <c r="F153" s="51"/>
      <c r="G153" s="106"/>
      <c r="H153" s="79"/>
    </row>
    <row r="154" spans="1:8" s="10" customFormat="1" ht="30" x14ac:dyDescent="0.25">
      <c r="A154" s="189"/>
      <c r="B154" s="40"/>
      <c r="C154" s="43" t="s">
        <v>1024</v>
      </c>
      <c r="D154" s="84">
        <v>67431</v>
      </c>
      <c r="E154" s="51">
        <v>67431</v>
      </c>
      <c r="F154" s="51"/>
      <c r="G154" s="106"/>
      <c r="H154" s="79"/>
    </row>
    <row r="155" spans="1:8" s="10" customFormat="1" ht="30" x14ac:dyDescent="0.25">
      <c r="A155" s="189"/>
      <c r="B155" s="40"/>
      <c r="C155" s="43" t="s">
        <v>1025</v>
      </c>
      <c r="D155" s="84">
        <v>62037</v>
      </c>
      <c r="E155" s="51">
        <v>62037</v>
      </c>
      <c r="F155" s="51"/>
      <c r="G155" s="106"/>
      <c r="H155" s="79"/>
    </row>
    <row r="156" spans="1:8" s="10" customFormat="1" x14ac:dyDescent="0.25">
      <c r="A156" s="189"/>
      <c r="B156" s="40"/>
      <c r="C156" s="59" t="s">
        <v>1026</v>
      </c>
      <c r="D156" s="84">
        <v>2739</v>
      </c>
      <c r="E156" s="51">
        <v>2739</v>
      </c>
      <c r="F156" s="51"/>
      <c r="G156" s="106"/>
      <c r="H156" s="79"/>
    </row>
    <row r="157" spans="1:8" s="10" customFormat="1" x14ac:dyDescent="0.25">
      <c r="A157" s="189"/>
      <c r="B157" s="40"/>
      <c r="C157" s="59" t="s">
        <v>1027</v>
      </c>
      <c r="D157" s="84">
        <v>8815</v>
      </c>
      <c r="E157" s="51">
        <v>8815</v>
      </c>
      <c r="F157" s="51"/>
      <c r="G157" s="106"/>
      <c r="H157" s="79"/>
    </row>
    <row r="158" spans="1:8" s="10" customFormat="1" ht="30" x14ac:dyDescent="0.25">
      <c r="A158" s="189"/>
      <c r="B158" s="40"/>
      <c r="C158" s="59" t="s">
        <v>236</v>
      </c>
      <c r="D158" s="84">
        <v>2998</v>
      </c>
      <c r="E158" s="51">
        <v>2998</v>
      </c>
      <c r="F158" s="51"/>
      <c r="G158" s="106"/>
      <c r="H158" s="79"/>
    </row>
    <row r="159" spans="1:8" s="10" customFormat="1" x14ac:dyDescent="0.25">
      <c r="A159" s="189"/>
      <c r="B159" s="40"/>
      <c r="C159" s="59" t="s">
        <v>1028</v>
      </c>
      <c r="D159" s="84">
        <v>2000</v>
      </c>
      <c r="E159" s="51">
        <v>2000</v>
      </c>
      <c r="F159" s="51"/>
      <c r="G159" s="106"/>
      <c r="H159" s="79"/>
    </row>
    <row r="160" spans="1:8" s="10" customFormat="1" x14ac:dyDescent="0.25">
      <c r="A160" s="189"/>
      <c r="B160" s="40"/>
      <c r="C160" s="59" t="s">
        <v>1029</v>
      </c>
      <c r="D160" s="84">
        <v>4000</v>
      </c>
      <c r="E160" s="51">
        <v>4000</v>
      </c>
      <c r="F160" s="51"/>
      <c r="G160" s="106"/>
      <c r="H160" s="79"/>
    </row>
    <row r="161" spans="1:8" s="10" customFormat="1" x14ac:dyDescent="0.25">
      <c r="A161" s="189"/>
      <c r="B161" s="40"/>
      <c r="C161" s="59" t="s">
        <v>1030</v>
      </c>
      <c r="D161" s="84">
        <v>20000</v>
      </c>
      <c r="E161" s="51"/>
      <c r="F161" s="51">
        <v>20000</v>
      </c>
      <c r="G161" s="106"/>
      <c r="H161" s="79"/>
    </row>
    <row r="162" spans="1:8" s="10" customFormat="1" x14ac:dyDescent="0.25">
      <c r="A162" s="189"/>
      <c r="B162" s="40"/>
      <c r="C162" s="59" t="s">
        <v>1031</v>
      </c>
      <c r="D162" s="84">
        <v>500</v>
      </c>
      <c r="E162" s="51">
        <v>500</v>
      </c>
      <c r="F162" s="51"/>
      <c r="G162" s="106"/>
      <c r="H162" s="79"/>
    </row>
    <row r="163" spans="1:8" s="10" customFormat="1" x14ac:dyDescent="0.25">
      <c r="A163" s="189"/>
      <c r="B163" s="40"/>
      <c r="C163" s="59" t="s">
        <v>1032</v>
      </c>
      <c r="D163" s="84">
        <v>4000</v>
      </c>
      <c r="E163" s="51">
        <v>4000</v>
      </c>
      <c r="F163" s="51"/>
      <c r="G163" s="106"/>
      <c r="H163" s="79"/>
    </row>
    <row r="164" spans="1:8" s="10" customFormat="1" ht="15.75" customHeight="1" x14ac:dyDescent="0.25">
      <c r="A164" s="189"/>
      <c r="B164" s="40"/>
      <c r="C164" s="59" t="s">
        <v>1033</v>
      </c>
      <c r="D164" s="84">
        <v>2700</v>
      </c>
      <c r="E164" s="51">
        <v>2700</v>
      </c>
      <c r="F164" s="51"/>
      <c r="G164" s="106"/>
      <c r="H164" s="79"/>
    </row>
    <row r="165" spans="1:8" s="10" customFormat="1" x14ac:dyDescent="0.25">
      <c r="A165" s="189"/>
      <c r="B165" s="40"/>
      <c r="C165" s="59" t="s">
        <v>1034</v>
      </c>
      <c r="D165" s="84">
        <v>2088</v>
      </c>
      <c r="E165" s="51">
        <v>2088</v>
      </c>
      <c r="F165" s="51"/>
      <c r="G165" s="106"/>
      <c r="H165" s="79"/>
    </row>
    <row r="166" spans="1:8" s="10" customFormat="1" x14ac:dyDescent="0.25">
      <c r="A166" s="189"/>
      <c r="B166" s="40"/>
      <c r="C166" s="59" t="s">
        <v>1035</v>
      </c>
      <c r="D166" s="84">
        <v>992</v>
      </c>
      <c r="E166" s="51">
        <v>992</v>
      </c>
      <c r="F166" s="51"/>
      <c r="G166" s="106"/>
      <c r="H166" s="79"/>
    </row>
    <row r="167" spans="1:8" s="10" customFormat="1" x14ac:dyDescent="0.25">
      <c r="A167" s="189"/>
      <c r="B167" s="40"/>
      <c r="C167" s="59" t="s">
        <v>1036</v>
      </c>
      <c r="D167" s="84">
        <v>12000</v>
      </c>
      <c r="E167" s="51">
        <v>12000</v>
      </c>
      <c r="F167" s="51"/>
      <c r="G167" s="106"/>
      <c r="H167" s="79"/>
    </row>
    <row r="168" spans="1:8" s="10" customFormat="1" x14ac:dyDescent="0.25">
      <c r="A168" s="189"/>
      <c r="B168" s="40"/>
      <c r="C168" s="59" t="s">
        <v>1037</v>
      </c>
      <c r="D168" s="84">
        <v>3000</v>
      </c>
      <c r="E168" s="51">
        <v>3000</v>
      </c>
      <c r="F168" s="51"/>
      <c r="G168" s="106"/>
      <c r="H168" s="79"/>
    </row>
    <row r="169" spans="1:8" s="10" customFormat="1" x14ac:dyDescent="0.25">
      <c r="A169" s="189"/>
      <c r="B169" s="40"/>
      <c r="C169" s="59" t="s">
        <v>1038</v>
      </c>
      <c r="D169" s="84">
        <v>4636</v>
      </c>
      <c r="E169" s="51">
        <v>4636</v>
      </c>
      <c r="F169" s="51"/>
      <c r="G169" s="106"/>
      <c r="H169" s="79"/>
    </row>
    <row r="170" spans="1:8" s="10" customFormat="1" x14ac:dyDescent="0.25">
      <c r="A170" s="189"/>
      <c r="B170" s="40"/>
      <c r="C170" s="59" t="s">
        <v>1039</v>
      </c>
      <c r="D170" s="84">
        <v>2000</v>
      </c>
      <c r="E170" s="51">
        <v>2000</v>
      </c>
      <c r="F170" s="51"/>
      <c r="G170" s="106"/>
      <c r="H170" s="79"/>
    </row>
    <row r="171" spans="1:8" s="10" customFormat="1" ht="30" x14ac:dyDescent="0.25">
      <c r="A171" s="189"/>
      <c r="B171" s="40"/>
      <c r="C171" s="59" t="s">
        <v>1040</v>
      </c>
      <c r="D171" s="84">
        <v>1500</v>
      </c>
      <c r="E171" s="51">
        <v>1500</v>
      </c>
      <c r="F171" s="51"/>
      <c r="G171" s="106"/>
      <c r="H171" s="79"/>
    </row>
    <row r="172" spans="1:8" s="10" customFormat="1" x14ac:dyDescent="0.25">
      <c r="A172" s="189"/>
      <c r="B172" s="40"/>
      <c r="C172" s="59"/>
      <c r="D172" s="84"/>
      <c r="E172" s="51"/>
      <c r="F172" s="51"/>
      <c r="G172" s="106"/>
      <c r="H172" s="79"/>
    </row>
    <row r="173" spans="1:8" s="10" customFormat="1" x14ac:dyDescent="0.25">
      <c r="A173" s="189"/>
      <c r="B173" s="40"/>
      <c r="C173" s="80" t="s">
        <v>43</v>
      </c>
      <c r="D173" s="87">
        <f>SUM(D98:D172)</f>
        <v>771343</v>
      </c>
      <c r="E173" s="42">
        <f>SUM(E98:E172)</f>
        <v>624343</v>
      </c>
      <c r="F173" s="42">
        <f>SUM(F98:F172)</f>
        <v>147000</v>
      </c>
      <c r="G173" s="112">
        <f>SUM(G98:G172)</f>
        <v>0</v>
      </c>
      <c r="H173" s="79"/>
    </row>
    <row r="174" spans="1:8" s="10" customFormat="1" x14ac:dyDescent="0.25">
      <c r="A174" s="189"/>
      <c r="B174" s="40"/>
      <c r="C174" s="80"/>
      <c r="D174" s="195"/>
      <c r="E174" s="79"/>
      <c r="F174" s="79"/>
      <c r="G174" s="107"/>
      <c r="H174" s="79"/>
    </row>
    <row r="175" spans="1:8" s="10" customFormat="1" x14ac:dyDescent="0.25">
      <c r="A175" s="189"/>
      <c r="B175" s="40" t="s">
        <v>11</v>
      </c>
      <c r="C175" s="63" t="s">
        <v>56</v>
      </c>
      <c r="D175" s="76"/>
      <c r="E175" s="79"/>
      <c r="F175" s="79"/>
      <c r="G175" s="107"/>
      <c r="H175" s="79"/>
    </row>
    <row r="176" spans="1:8" s="111" customFormat="1" x14ac:dyDescent="0.25">
      <c r="A176" s="196"/>
      <c r="B176" s="40"/>
      <c r="C176" s="59" t="s">
        <v>107</v>
      </c>
      <c r="D176" s="33"/>
      <c r="E176" s="28"/>
      <c r="F176" s="28"/>
      <c r="G176" s="98"/>
      <c r="H176" s="79"/>
    </row>
    <row r="177" spans="1:8" s="111" customFormat="1" x14ac:dyDescent="0.25">
      <c r="A177" s="196"/>
      <c r="B177" s="40"/>
      <c r="C177" s="59" t="s">
        <v>108</v>
      </c>
      <c r="D177" s="33">
        <v>10000</v>
      </c>
      <c r="E177" s="28"/>
      <c r="F177" s="28"/>
      <c r="G177" s="104">
        <v>10000</v>
      </c>
      <c r="H177" s="79"/>
    </row>
    <row r="178" spans="1:8" s="111" customFormat="1" ht="30" x14ac:dyDescent="0.25">
      <c r="A178" s="196"/>
      <c r="B178" s="40"/>
      <c r="C178" s="59" t="s">
        <v>109</v>
      </c>
      <c r="D178" s="33">
        <v>500</v>
      </c>
      <c r="E178" s="28"/>
      <c r="F178" s="28"/>
      <c r="G178" s="104">
        <v>500</v>
      </c>
      <c r="H178" s="79"/>
    </row>
    <row r="179" spans="1:8" s="111" customFormat="1" x14ac:dyDescent="0.25">
      <c r="A179" s="196"/>
      <c r="B179" s="40"/>
      <c r="C179" s="59" t="s">
        <v>110</v>
      </c>
      <c r="D179" s="33">
        <v>1500</v>
      </c>
      <c r="E179" s="28"/>
      <c r="F179" s="28"/>
      <c r="G179" s="104">
        <v>1500</v>
      </c>
      <c r="H179" s="79"/>
    </row>
    <row r="180" spans="1:8" s="111" customFormat="1" x14ac:dyDescent="0.25">
      <c r="A180" s="196"/>
      <c r="B180" s="40"/>
      <c r="C180" s="59" t="s">
        <v>111</v>
      </c>
      <c r="D180" s="33">
        <v>6000</v>
      </c>
      <c r="E180" s="28"/>
      <c r="F180" s="28"/>
      <c r="G180" s="104">
        <v>6000</v>
      </c>
      <c r="H180" s="79"/>
    </row>
    <row r="181" spans="1:8" s="111" customFormat="1" ht="30" customHeight="1" x14ac:dyDescent="0.25">
      <c r="A181" s="196"/>
      <c r="B181" s="40"/>
      <c r="C181" s="59" t="s">
        <v>112</v>
      </c>
      <c r="D181" s="33">
        <v>100</v>
      </c>
      <c r="E181" s="28"/>
      <c r="F181" s="28"/>
      <c r="G181" s="104">
        <v>100</v>
      </c>
      <c r="H181" s="79"/>
    </row>
    <row r="182" spans="1:8" s="111" customFormat="1" x14ac:dyDescent="0.25">
      <c r="A182" s="196"/>
      <c r="B182" s="40"/>
      <c r="C182" s="59" t="s">
        <v>113</v>
      </c>
      <c r="D182" s="33">
        <v>200</v>
      </c>
      <c r="E182" s="28"/>
      <c r="F182" s="28"/>
      <c r="G182" s="104">
        <v>200</v>
      </c>
      <c r="H182" s="79"/>
    </row>
    <row r="183" spans="1:8" s="111" customFormat="1" x14ac:dyDescent="0.25">
      <c r="A183" s="196"/>
      <c r="B183" s="40"/>
      <c r="C183" s="59" t="s">
        <v>114</v>
      </c>
      <c r="D183" s="33">
        <v>150</v>
      </c>
      <c r="E183" s="28"/>
      <c r="F183" s="28"/>
      <c r="G183" s="104">
        <v>150</v>
      </c>
      <c r="H183" s="79"/>
    </row>
    <row r="184" spans="1:8" s="111" customFormat="1" x14ac:dyDescent="0.25">
      <c r="A184" s="196"/>
      <c r="B184" s="40"/>
      <c r="C184" s="59" t="s">
        <v>141</v>
      </c>
      <c r="D184" s="33">
        <v>500</v>
      </c>
      <c r="E184" s="28"/>
      <c r="F184" s="28"/>
      <c r="G184" s="104">
        <v>500</v>
      </c>
      <c r="H184" s="79"/>
    </row>
    <row r="185" spans="1:8" s="111" customFormat="1" x14ac:dyDescent="0.25">
      <c r="A185" s="196"/>
      <c r="B185" s="40"/>
      <c r="C185" s="59" t="s">
        <v>142</v>
      </c>
      <c r="D185" s="33">
        <v>8000</v>
      </c>
      <c r="E185" s="28"/>
      <c r="F185" s="28"/>
      <c r="G185" s="104">
        <v>8000</v>
      </c>
      <c r="H185" s="79"/>
    </row>
    <row r="186" spans="1:8" s="111" customFormat="1" x14ac:dyDescent="0.25">
      <c r="A186" s="196"/>
      <c r="B186" s="40"/>
      <c r="C186" s="197" t="s">
        <v>176</v>
      </c>
      <c r="D186" s="33">
        <v>500</v>
      </c>
      <c r="E186" s="28"/>
      <c r="F186" s="28"/>
      <c r="G186" s="104">
        <v>500</v>
      </c>
      <c r="H186" s="79"/>
    </row>
    <row r="187" spans="1:8" s="111" customFormat="1" x14ac:dyDescent="0.25">
      <c r="A187" s="196"/>
      <c r="B187" s="40"/>
      <c r="C187" s="197" t="s">
        <v>175</v>
      </c>
      <c r="D187" s="33">
        <v>2500</v>
      </c>
      <c r="E187" s="28"/>
      <c r="F187" s="28"/>
      <c r="G187" s="104">
        <v>2500</v>
      </c>
      <c r="H187" s="79"/>
    </row>
    <row r="188" spans="1:8" s="111" customFormat="1" x14ac:dyDescent="0.25">
      <c r="A188" s="196"/>
      <c r="B188" s="40"/>
      <c r="C188" s="197" t="s">
        <v>174</v>
      </c>
      <c r="D188" s="33">
        <v>3700</v>
      </c>
      <c r="E188" s="28"/>
      <c r="F188" s="28"/>
      <c r="G188" s="104">
        <v>3700</v>
      </c>
      <c r="H188" s="79"/>
    </row>
    <row r="189" spans="1:8" s="111" customFormat="1" x14ac:dyDescent="0.25">
      <c r="A189" s="196"/>
      <c r="B189" s="40"/>
      <c r="C189" s="59" t="s">
        <v>173</v>
      </c>
      <c r="D189" s="33">
        <v>500</v>
      </c>
      <c r="E189" s="28"/>
      <c r="F189" s="28"/>
      <c r="G189" s="104">
        <v>500</v>
      </c>
      <c r="H189" s="79"/>
    </row>
    <row r="190" spans="1:8" s="111" customFormat="1" x14ac:dyDescent="0.25">
      <c r="A190" s="196"/>
      <c r="B190" s="40"/>
      <c r="C190" s="59" t="s">
        <v>226</v>
      </c>
      <c r="D190" s="33">
        <v>500</v>
      </c>
      <c r="E190" s="28"/>
      <c r="F190" s="28"/>
      <c r="G190" s="104">
        <v>500</v>
      </c>
      <c r="H190" s="79"/>
    </row>
    <row r="191" spans="1:8" s="111" customFormat="1" x14ac:dyDescent="0.25">
      <c r="A191" s="196"/>
      <c r="B191" s="40"/>
      <c r="C191" s="59" t="s">
        <v>238</v>
      </c>
      <c r="D191" s="33">
        <v>500</v>
      </c>
      <c r="E191" s="28"/>
      <c r="F191" s="28"/>
      <c r="G191" s="104">
        <v>500</v>
      </c>
      <c r="H191" s="79"/>
    </row>
    <row r="192" spans="1:8" s="111" customFormat="1" ht="30" x14ac:dyDescent="0.25">
      <c r="A192" s="196"/>
      <c r="B192" s="40"/>
      <c r="C192" s="59" t="s">
        <v>332</v>
      </c>
      <c r="D192" s="33">
        <v>5000</v>
      </c>
      <c r="E192" s="28"/>
      <c r="F192" s="28"/>
      <c r="G192" s="104">
        <v>5000</v>
      </c>
      <c r="H192" s="79"/>
    </row>
    <row r="193" spans="1:8" s="111" customFormat="1" x14ac:dyDescent="0.25">
      <c r="A193" s="196"/>
      <c r="B193" s="40"/>
      <c r="C193" s="59" t="s">
        <v>115</v>
      </c>
      <c r="D193" s="33">
        <v>2500</v>
      </c>
      <c r="E193" s="28"/>
      <c r="F193" s="28"/>
      <c r="G193" s="104">
        <v>2500</v>
      </c>
      <c r="H193" s="79"/>
    </row>
    <row r="194" spans="1:8" s="111" customFormat="1" x14ac:dyDescent="0.25">
      <c r="A194" s="196"/>
      <c r="B194" s="40"/>
      <c r="C194" s="59" t="s">
        <v>116</v>
      </c>
      <c r="D194" s="33">
        <v>151</v>
      </c>
      <c r="E194" s="28"/>
      <c r="F194" s="28"/>
      <c r="G194" s="104">
        <v>151</v>
      </c>
      <c r="H194" s="79"/>
    </row>
    <row r="195" spans="1:8" s="111" customFormat="1" x14ac:dyDescent="0.25">
      <c r="A195" s="196"/>
      <c r="B195" s="40"/>
      <c r="C195" s="59" t="s">
        <v>241</v>
      </c>
      <c r="D195" s="33">
        <v>10968</v>
      </c>
      <c r="E195" s="28"/>
      <c r="F195" s="28"/>
      <c r="G195" s="104">
        <v>10968</v>
      </c>
      <c r="H195" s="79"/>
    </row>
    <row r="196" spans="1:8" s="111" customFormat="1" x14ac:dyDescent="0.25">
      <c r="A196" s="196"/>
      <c r="B196" s="40"/>
      <c r="C196" s="59"/>
      <c r="D196" s="33"/>
      <c r="E196" s="28"/>
      <c r="F196" s="28"/>
      <c r="G196" s="104"/>
      <c r="H196" s="79"/>
    </row>
    <row r="197" spans="1:8" s="10" customFormat="1" x14ac:dyDescent="0.25">
      <c r="A197" s="189"/>
      <c r="B197" s="49"/>
      <c r="C197" s="80" t="s">
        <v>44</v>
      </c>
      <c r="D197" s="87">
        <f>SUM(D176:D196)</f>
        <v>53769</v>
      </c>
      <c r="E197" s="42">
        <f>SUM(E176:E196)</f>
        <v>0</v>
      </c>
      <c r="F197" s="42">
        <f>SUM(F176:F196)</f>
        <v>0</v>
      </c>
      <c r="G197" s="112">
        <f>SUM(G176:G196)</f>
        <v>53769</v>
      </c>
      <c r="H197" s="79"/>
    </row>
    <row r="198" spans="1:8" s="10" customFormat="1" x14ac:dyDescent="0.25">
      <c r="A198" s="189"/>
      <c r="B198" s="40"/>
      <c r="C198" s="80"/>
      <c r="D198" s="76"/>
      <c r="E198" s="79"/>
      <c r="F198" s="79"/>
      <c r="G198" s="107"/>
      <c r="H198" s="79"/>
    </row>
    <row r="199" spans="1:8" s="10" customFormat="1" x14ac:dyDescent="0.25">
      <c r="A199" s="189"/>
      <c r="B199" s="40" t="s">
        <v>18</v>
      </c>
      <c r="C199" s="63" t="s">
        <v>57</v>
      </c>
      <c r="D199" s="76"/>
      <c r="E199" s="79"/>
      <c r="F199" s="79"/>
      <c r="G199" s="107"/>
      <c r="H199" s="79"/>
    </row>
    <row r="200" spans="1:8" s="10" customFormat="1" x14ac:dyDescent="0.25">
      <c r="A200" s="189"/>
      <c r="B200" s="40"/>
      <c r="C200" s="63" t="s">
        <v>61</v>
      </c>
      <c r="D200" s="76"/>
      <c r="E200" s="79"/>
      <c r="F200" s="79"/>
      <c r="G200" s="107"/>
      <c r="H200" s="79"/>
    </row>
    <row r="201" spans="1:8" s="10" customFormat="1" ht="16.5" customHeight="1" x14ac:dyDescent="0.25">
      <c r="A201" s="189"/>
      <c r="B201" s="40"/>
      <c r="C201" s="63" t="s">
        <v>38</v>
      </c>
      <c r="D201" s="33">
        <v>600</v>
      </c>
      <c r="E201" s="28">
        <v>600</v>
      </c>
      <c r="F201" s="28"/>
      <c r="G201" s="98"/>
      <c r="H201" s="79"/>
    </row>
    <row r="202" spans="1:8" s="10" customFormat="1" ht="16.5" customHeight="1" x14ac:dyDescent="0.25">
      <c r="A202" s="189"/>
      <c r="B202" s="40"/>
      <c r="C202" s="63" t="s">
        <v>66</v>
      </c>
      <c r="D202" s="33">
        <v>3500</v>
      </c>
      <c r="E202" s="28"/>
      <c r="F202" s="28">
        <v>3500</v>
      </c>
      <c r="G202" s="98"/>
      <c r="H202" s="79"/>
    </row>
    <row r="203" spans="1:8" s="10" customFormat="1" ht="30" x14ac:dyDescent="0.25">
      <c r="A203" s="189"/>
      <c r="B203" s="40"/>
      <c r="C203" s="59" t="s">
        <v>96</v>
      </c>
      <c r="D203" s="78">
        <f>243990+29634+140000</f>
        <v>413624</v>
      </c>
      <c r="E203" s="51">
        <v>353734</v>
      </c>
      <c r="F203" s="28">
        <v>59890</v>
      </c>
      <c r="G203" s="105"/>
      <c r="H203" s="79"/>
    </row>
    <row r="204" spans="1:8" s="10" customFormat="1" x14ac:dyDescent="0.25">
      <c r="A204" s="189"/>
      <c r="B204" s="40"/>
      <c r="C204" s="59" t="s">
        <v>969</v>
      </c>
      <c r="D204" s="84">
        <v>215</v>
      </c>
      <c r="E204" s="51">
        <v>215</v>
      </c>
      <c r="F204" s="51"/>
      <c r="G204" s="106"/>
      <c r="H204" s="79"/>
    </row>
    <row r="205" spans="1:8" s="10" customFormat="1" x14ac:dyDescent="0.25">
      <c r="A205" s="189"/>
      <c r="B205" s="40"/>
      <c r="C205" s="59"/>
      <c r="D205" s="84"/>
      <c r="E205" s="51"/>
      <c r="F205" s="51"/>
      <c r="G205" s="106"/>
      <c r="H205" s="79"/>
    </row>
    <row r="206" spans="1:8" s="10" customFormat="1" x14ac:dyDescent="0.25">
      <c r="A206" s="189"/>
      <c r="B206" s="40"/>
      <c r="C206" s="192" t="s">
        <v>28</v>
      </c>
      <c r="D206" s="85">
        <f>SUM(D201:D205)</f>
        <v>417939</v>
      </c>
      <c r="E206" s="38">
        <f t="shared" ref="E206:G206" si="7">SUM(E201:E205)</f>
        <v>354549</v>
      </c>
      <c r="F206" s="38">
        <f t="shared" si="7"/>
        <v>63390</v>
      </c>
      <c r="G206" s="295">
        <f t="shared" si="7"/>
        <v>0</v>
      </c>
      <c r="H206" s="79"/>
    </row>
    <row r="207" spans="1:8" s="10" customFormat="1" x14ac:dyDescent="0.25">
      <c r="A207" s="189"/>
      <c r="B207" s="40"/>
      <c r="C207" s="192"/>
      <c r="D207" s="76"/>
      <c r="E207" s="79"/>
      <c r="F207" s="79"/>
      <c r="G207" s="107"/>
      <c r="H207" s="79"/>
    </row>
    <row r="208" spans="1:8" s="10" customFormat="1" x14ac:dyDescent="0.25">
      <c r="A208" s="189"/>
      <c r="B208" s="40"/>
      <c r="C208" s="63" t="s">
        <v>62</v>
      </c>
      <c r="D208" s="76"/>
      <c r="E208" s="79"/>
      <c r="F208" s="79"/>
      <c r="G208" s="107"/>
      <c r="H208" s="79"/>
    </row>
    <row r="209" spans="1:8" s="10" customFormat="1" x14ac:dyDescent="0.25">
      <c r="A209" s="189"/>
      <c r="B209" s="40"/>
      <c r="C209" s="63" t="s">
        <v>486</v>
      </c>
      <c r="D209" s="33">
        <v>48000</v>
      </c>
      <c r="E209" s="28">
        <v>48000</v>
      </c>
      <c r="F209" s="28"/>
      <c r="G209" s="98"/>
      <c r="H209" s="79"/>
    </row>
    <row r="210" spans="1:8" s="10" customFormat="1" x14ac:dyDescent="0.25">
      <c r="A210" s="189"/>
      <c r="B210" s="40"/>
      <c r="C210" s="63" t="s">
        <v>1093</v>
      </c>
      <c r="D210" s="33">
        <v>28500</v>
      </c>
      <c r="E210" s="28"/>
      <c r="F210" s="28">
        <v>28500</v>
      </c>
      <c r="G210" s="98"/>
      <c r="H210" s="79"/>
    </row>
    <row r="211" spans="1:8" s="10" customFormat="1" x14ac:dyDescent="0.25">
      <c r="A211" s="189"/>
      <c r="B211" s="40"/>
      <c r="C211" s="63" t="s">
        <v>1094</v>
      </c>
      <c r="D211" s="33">
        <v>4000</v>
      </c>
      <c r="E211" s="28"/>
      <c r="F211" s="28">
        <v>4000</v>
      </c>
      <c r="G211" s="98"/>
      <c r="H211" s="79"/>
    </row>
    <row r="212" spans="1:8" s="10" customFormat="1" x14ac:dyDescent="0.25">
      <c r="A212" s="189"/>
      <c r="B212" s="40"/>
      <c r="C212" s="63" t="s">
        <v>1095</v>
      </c>
      <c r="D212" s="33">
        <v>293</v>
      </c>
      <c r="E212" s="28">
        <v>293</v>
      </c>
      <c r="F212" s="28"/>
      <c r="G212" s="98"/>
      <c r="H212" s="79"/>
    </row>
    <row r="213" spans="1:8" s="10" customFormat="1" x14ac:dyDescent="0.25">
      <c r="A213" s="189"/>
      <c r="B213" s="40"/>
      <c r="C213" s="63" t="s">
        <v>1096</v>
      </c>
      <c r="D213" s="33">
        <v>16937</v>
      </c>
      <c r="E213" s="28">
        <v>16937</v>
      </c>
      <c r="F213" s="28"/>
      <c r="G213" s="98"/>
      <c r="H213" s="79"/>
    </row>
    <row r="214" spans="1:8" s="10" customFormat="1" x14ac:dyDescent="0.25">
      <c r="A214" s="189"/>
      <c r="B214" s="40"/>
      <c r="C214" s="63" t="s">
        <v>1097</v>
      </c>
      <c r="D214" s="33">
        <v>3246</v>
      </c>
      <c r="E214" s="28">
        <v>3246</v>
      </c>
      <c r="F214" s="28"/>
      <c r="G214" s="98"/>
      <c r="H214" s="79"/>
    </row>
    <row r="215" spans="1:8" s="10" customFormat="1" x14ac:dyDescent="0.25">
      <c r="A215" s="189"/>
      <c r="B215" s="40"/>
      <c r="C215" s="59" t="s">
        <v>1098</v>
      </c>
      <c r="D215" s="78">
        <v>4000</v>
      </c>
      <c r="E215" s="51"/>
      <c r="F215" s="51">
        <v>4000</v>
      </c>
      <c r="G215" s="105"/>
      <c r="H215" s="79"/>
    </row>
    <row r="216" spans="1:8" s="20" customFormat="1" x14ac:dyDescent="0.25">
      <c r="A216" s="190"/>
      <c r="B216" s="40"/>
      <c r="C216" s="59" t="s">
        <v>1099</v>
      </c>
      <c r="D216" s="78">
        <v>1000</v>
      </c>
      <c r="E216" s="51"/>
      <c r="F216" s="51">
        <v>1000</v>
      </c>
      <c r="G216" s="105"/>
      <c r="H216" s="79"/>
    </row>
    <row r="217" spans="1:8" s="10" customFormat="1" x14ac:dyDescent="0.25">
      <c r="A217" s="189"/>
      <c r="B217" s="40"/>
      <c r="C217" s="59" t="s">
        <v>1100</v>
      </c>
      <c r="D217" s="78">
        <v>500</v>
      </c>
      <c r="E217" s="51"/>
      <c r="F217" s="51">
        <v>500</v>
      </c>
      <c r="G217" s="105"/>
      <c r="H217" s="79"/>
    </row>
    <row r="218" spans="1:8" s="10" customFormat="1" x14ac:dyDescent="0.25">
      <c r="A218" s="189"/>
      <c r="B218" s="40"/>
      <c r="C218" s="59" t="s">
        <v>1101</v>
      </c>
      <c r="D218" s="78">
        <v>1000</v>
      </c>
      <c r="E218" s="51"/>
      <c r="F218" s="51">
        <v>1000</v>
      </c>
      <c r="G218" s="105"/>
      <c r="H218" s="79"/>
    </row>
    <row r="219" spans="1:8" s="10" customFormat="1" x14ac:dyDescent="0.25">
      <c r="A219" s="189"/>
      <c r="B219" s="40"/>
      <c r="C219" s="59" t="s">
        <v>1102</v>
      </c>
      <c r="D219" s="78">
        <v>100</v>
      </c>
      <c r="E219" s="51"/>
      <c r="F219" s="51">
        <v>100</v>
      </c>
      <c r="G219" s="105"/>
      <c r="H219" s="79"/>
    </row>
    <row r="220" spans="1:8" s="10" customFormat="1" x14ac:dyDescent="0.25">
      <c r="A220" s="189"/>
      <c r="B220" s="40"/>
      <c r="C220" s="198" t="s">
        <v>1103</v>
      </c>
      <c r="D220" s="84">
        <v>500</v>
      </c>
      <c r="E220" s="51">
        <v>500</v>
      </c>
      <c r="F220" s="51"/>
      <c r="G220" s="106"/>
      <c r="H220" s="79"/>
    </row>
    <row r="221" spans="1:8" s="10" customFormat="1" x14ac:dyDescent="0.25">
      <c r="A221" s="189"/>
      <c r="B221" s="40"/>
      <c r="C221" s="198" t="s">
        <v>1104</v>
      </c>
      <c r="D221" s="84">
        <v>1000</v>
      </c>
      <c r="E221" s="51"/>
      <c r="F221" s="51">
        <v>1000</v>
      </c>
      <c r="G221" s="106"/>
      <c r="H221" s="79"/>
    </row>
    <row r="222" spans="1:8" s="10" customFormat="1" ht="30" x14ac:dyDescent="0.25">
      <c r="A222" s="189"/>
      <c r="B222" s="40"/>
      <c r="C222" s="198" t="s">
        <v>1105</v>
      </c>
      <c r="D222" s="84">
        <v>78000</v>
      </c>
      <c r="E222" s="51">
        <v>78000</v>
      </c>
      <c r="F222" s="51"/>
      <c r="G222" s="106"/>
      <c r="H222" s="79"/>
    </row>
    <row r="223" spans="1:8" s="10" customFormat="1" x14ac:dyDescent="0.25">
      <c r="A223" s="189"/>
      <c r="B223" s="40"/>
      <c r="C223" s="198" t="s">
        <v>1106</v>
      </c>
      <c r="D223" s="84">
        <v>2250</v>
      </c>
      <c r="E223" s="51">
        <v>2250</v>
      </c>
      <c r="F223" s="51"/>
      <c r="G223" s="106"/>
      <c r="H223" s="79"/>
    </row>
    <row r="224" spans="1:8" s="10" customFormat="1" x14ac:dyDescent="0.25">
      <c r="A224" s="189"/>
      <c r="B224" s="40"/>
      <c r="C224" s="198" t="s">
        <v>1107</v>
      </c>
      <c r="D224" s="84">
        <v>15287</v>
      </c>
      <c r="E224" s="51">
        <v>15287</v>
      </c>
      <c r="F224" s="51"/>
      <c r="G224" s="106"/>
      <c r="H224" s="79"/>
    </row>
    <row r="225" spans="1:8" s="10" customFormat="1" x14ac:dyDescent="0.25">
      <c r="A225" s="189"/>
      <c r="B225" s="40"/>
      <c r="C225" s="198" t="s">
        <v>1108</v>
      </c>
      <c r="D225" s="84">
        <v>480</v>
      </c>
      <c r="E225" s="51">
        <v>480</v>
      </c>
      <c r="F225" s="51"/>
      <c r="G225" s="106"/>
      <c r="H225" s="79"/>
    </row>
    <row r="226" spans="1:8" s="10" customFormat="1" x14ac:dyDescent="0.25">
      <c r="A226" s="189"/>
      <c r="B226" s="40"/>
      <c r="C226" s="198" t="s">
        <v>1109</v>
      </c>
      <c r="D226" s="84">
        <v>9000</v>
      </c>
      <c r="E226" s="51">
        <v>9000</v>
      </c>
      <c r="F226" s="51"/>
      <c r="G226" s="106"/>
      <c r="H226" s="79"/>
    </row>
    <row r="227" spans="1:8" s="10" customFormat="1" x14ac:dyDescent="0.25">
      <c r="A227" s="189"/>
      <c r="B227" s="40"/>
      <c r="C227" s="198"/>
      <c r="D227" s="84"/>
      <c r="E227" s="51"/>
      <c r="F227" s="51"/>
      <c r="G227" s="106"/>
      <c r="H227" s="79"/>
    </row>
    <row r="228" spans="1:8" s="10" customFormat="1" x14ac:dyDescent="0.25">
      <c r="A228" s="189"/>
      <c r="B228" s="40"/>
      <c r="C228" s="192" t="s">
        <v>28</v>
      </c>
      <c r="D228" s="85">
        <f>SUM(D209:D227)</f>
        <v>214093</v>
      </c>
      <c r="E228" s="38">
        <f>SUM(E209:E227)</f>
        <v>173993</v>
      </c>
      <c r="F228" s="38">
        <f>SUM(F209:F227)</f>
        <v>40100</v>
      </c>
      <c r="G228" s="295">
        <f>SUM(G209:G227)</f>
        <v>0</v>
      </c>
      <c r="H228" s="79"/>
    </row>
    <row r="229" spans="1:8" s="10" customFormat="1" x14ac:dyDescent="0.25">
      <c r="A229" s="189"/>
      <c r="B229" s="40"/>
      <c r="C229" s="80"/>
      <c r="D229" s="76"/>
      <c r="E229" s="79"/>
      <c r="F229" s="79"/>
      <c r="G229" s="107"/>
      <c r="H229" s="79"/>
    </row>
    <row r="230" spans="1:8" s="10" customFormat="1" x14ac:dyDescent="0.25">
      <c r="A230" s="22"/>
      <c r="B230" s="49"/>
      <c r="C230" s="63" t="s">
        <v>79</v>
      </c>
      <c r="D230" s="76"/>
      <c r="E230" s="79"/>
      <c r="F230" s="79"/>
      <c r="G230" s="107"/>
      <c r="H230" s="79"/>
    </row>
    <row r="231" spans="1:8" s="10" customFormat="1" ht="30" x14ac:dyDescent="0.25">
      <c r="A231" s="22"/>
      <c r="B231" s="49"/>
      <c r="C231" s="59" t="s">
        <v>189</v>
      </c>
      <c r="D231" s="78">
        <v>868</v>
      </c>
      <c r="E231" s="51">
        <v>868</v>
      </c>
      <c r="F231" s="51"/>
      <c r="G231" s="105"/>
      <c r="H231" s="79"/>
    </row>
    <row r="232" spans="1:8" s="10" customFormat="1" ht="30.75" customHeight="1" x14ac:dyDescent="0.25">
      <c r="A232" s="22"/>
      <c r="B232" s="49"/>
      <c r="C232" s="59" t="s">
        <v>1041</v>
      </c>
      <c r="D232" s="84">
        <v>2063</v>
      </c>
      <c r="E232" s="51">
        <v>2063</v>
      </c>
      <c r="F232" s="51"/>
      <c r="G232" s="106"/>
      <c r="H232" s="79"/>
    </row>
    <row r="233" spans="1:8" s="10" customFormat="1" ht="30" customHeight="1" x14ac:dyDescent="0.25">
      <c r="A233" s="22"/>
      <c r="B233" s="49"/>
      <c r="C233" s="59" t="s">
        <v>1042</v>
      </c>
      <c r="D233" s="84">
        <v>1869</v>
      </c>
      <c r="E233" s="51">
        <v>1869</v>
      </c>
      <c r="F233" s="51"/>
      <c r="G233" s="106"/>
      <c r="H233" s="79"/>
    </row>
    <row r="234" spans="1:8" s="10" customFormat="1" ht="45" x14ac:dyDescent="0.25">
      <c r="A234" s="22"/>
      <c r="B234" s="49"/>
      <c r="C234" s="59" t="s">
        <v>1043</v>
      </c>
      <c r="D234" s="84">
        <v>3253</v>
      </c>
      <c r="E234" s="51">
        <v>3253</v>
      </c>
      <c r="F234" s="51"/>
      <c r="G234" s="106"/>
      <c r="H234" s="79"/>
    </row>
    <row r="235" spans="1:8" s="10" customFormat="1" ht="30" x14ac:dyDescent="0.25">
      <c r="A235" s="22"/>
      <c r="B235" s="49"/>
      <c r="C235" s="43" t="s">
        <v>1044</v>
      </c>
      <c r="D235" s="84">
        <v>2164</v>
      </c>
      <c r="E235" s="51">
        <v>2164</v>
      </c>
      <c r="F235" s="51"/>
      <c r="G235" s="106"/>
      <c r="H235" s="79"/>
    </row>
    <row r="236" spans="1:8" s="10" customFormat="1" x14ac:dyDescent="0.25">
      <c r="A236" s="22"/>
      <c r="B236" s="49"/>
      <c r="C236" s="59" t="s">
        <v>1081</v>
      </c>
      <c r="D236" s="84">
        <v>10358</v>
      </c>
      <c r="E236" s="51">
        <v>10358</v>
      </c>
      <c r="F236" s="51"/>
      <c r="G236" s="106"/>
      <c r="H236" s="79"/>
    </row>
    <row r="237" spans="1:8" s="10" customFormat="1" x14ac:dyDescent="0.25">
      <c r="A237" s="22"/>
      <c r="B237" s="49"/>
      <c r="C237" s="59"/>
      <c r="D237" s="84"/>
      <c r="E237" s="51"/>
      <c r="F237" s="51"/>
      <c r="G237" s="106"/>
      <c r="H237" s="79"/>
    </row>
    <row r="238" spans="1:8" s="10" customFormat="1" x14ac:dyDescent="0.25">
      <c r="A238" s="22"/>
      <c r="B238" s="40"/>
      <c r="C238" s="192" t="s">
        <v>28</v>
      </c>
      <c r="D238" s="85">
        <f>SUM(D231:D237)</f>
        <v>20575</v>
      </c>
      <c r="E238" s="38">
        <f t="shared" ref="E238:G238" si="8">SUM(E231:E237)</f>
        <v>20575</v>
      </c>
      <c r="F238" s="38">
        <f t="shared" si="8"/>
        <v>0</v>
      </c>
      <c r="G238" s="295">
        <f t="shared" si="8"/>
        <v>0</v>
      </c>
      <c r="H238" s="79"/>
    </row>
    <row r="239" spans="1:8" s="10" customFormat="1" x14ac:dyDescent="0.25">
      <c r="A239" s="22"/>
      <c r="B239" s="40"/>
      <c r="C239" s="80"/>
      <c r="D239" s="76"/>
      <c r="E239" s="79"/>
      <c r="F239" s="79"/>
      <c r="G239" s="107"/>
      <c r="H239" s="79"/>
    </row>
    <row r="240" spans="1:8" s="10" customFormat="1" x14ac:dyDescent="0.25">
      <c r="A240" s="22"/>
      <c r="B240" s="49"/>
      <c r="C240" s="63" t="s">
        <v>67</v>
      </c>
      <c r="D240" s="33">
        <v>5000</v>
      </c>
      <c r="E240" s="28">
        <v>5000</v>
      </c>
      <c r="F240" s="28"/>
      <c r="G240" s="98"/>
      <c r="H240" s="79"/>
    </row>
    <row r="241" spans="1:8" s="10" customFormat="1" x14ac:dyDescent="0.25">
      <c r="A241" s="22"/>
      <c r="B241" s="49"/>
      <c r="C241" s="63"/>
      <c r="D241" s="33"/>
      <c r="E241" s="28"/>
      <c r="F241" s="28"/>
      <c r="G241" s="98"/>
      <c r="H241" s="79"/>
    </row>
    <row r="242" spans="1:8" s="10" customFormat="1" ht="30" x14ac:dyDescent="0.25">
      <c r="A242" s="22"/>
      <c r="B242" s="49"/>
      <c r="C242" s="59" t="s">
        <v>101</v>
      </c>
      <c r="D242" s="33"/>
      <c r="E242" s="28"/>
      <c r="F242" s="28"/>
      <c r="G242" s="98"/>
      <c r="H242" s="79"/>
    </row>
    <row r="243" spans="1:8" s="10" customFormat="1" x14ac:dyDescent="0.25">
      <c r="A243" s="22"/>
      <c r="B243" s="49"/>
      <c r="C243" s="198" t="s">
        <v>932</v>
      </c>
      <c r="D243" s="84">
        <v>7000</v>
      </c>
      <c r="E243" s="51">
        <v>7000</v>
      </c>
      <c r="F243" s="51"/>
      <c r="G243" s="106"/>
      <c r="H243" s="79"/>
    </row>
    <row r="244" spans="1:8" s="10" customFormat="1" x14ac:dyDescent="0.25">
      <c r="A244" s="22"/>
      <c r="B244" s="49"/>
      <c r="C244" s="198"/>
      <c r="D244" s="84"/>
      <c r="E244" s="51"/>
      <c r="F244" s="51"/>
      <c r="G244" s="106"/>
      <c r="H244" s="79"/>
    </row>
    <row r="245" spans="1:8" s="10" customFormat="1" x14ac:dyDescent="0.25">
      <c r="A245" s="22"/>
      <c r="B245" s="40"/>
      <c r="C245" s="192" t="s">
        <v>28</v>
      </c>
      <c r="D245" s="85">
        <f>SUM(D243:D244)</f>
        <v>7000</v>
      </c>
      <c r="E245" s="38">
        <f>SUM(E243:E244)</f>
        <v>7000</v>
      </c>
      <c r="F245" s="38">
        <f>SUM(F243:F244)</f>
        <v>0</v>
      </c>
      <c r="G245" s="295">
        <f>SUM(G243:G244)</f>
        <v>0</v>
      </c>
      <c r="H245" s="79"/>
    </row>
    <row r="246" spans="1:8" s="10" customFormat="1" x14ac:dyDescent="0.25">
      <c r="A246" s="22"/>
      <c r="B246" s="40"/>
      <c r="C246" s="192"/>
      <c r="D246" s="87"/>
      <c r="E246" s="42"/>
      <c r="F246" s="42"/>
      <c r="G246" s="112"/>
      <c r="H246" s="79"/>
    </row>
    <row r="247" spans="1:8" s="10" customFormat="1" x14ac:dyDescent="0.25">
      <c r="A247" s="22"/>
      <c r="B247" s="40"/>
      <c r="C247" s="80" t="s">
        <v>64</v>
      </c>
      <c r="D247" s="87">
        <f>D206+D228+D238+D240+D245</f>
        <v>664607</v>
      </c>
      <c r="E247" s="42">
        <f>E206+E228+E238+E240+E245</f>
        <v>561117</v>
      </c>
      <c r="F247" s="42">
        <f>F206+F228+F238+F240+F245</f>
        <v>103490</v>
      </c>
      <c r="G247" s="112">
        <f>G206+G228+G238+G240+G245</f>
        <v>0</v>
      </c>
      <c r="H247" s="79"/>
    </row>
    <row r="248" spans="1:8" s="10" customFormat="1" x14ac:dyDescent="0.25">
      <c r="A248" s="189"/>
      <c r="B248" s="40"/>
      <c r="C248" s="80"/>
      <c r="D248" s="76"/>
      <c r="E248" s="79"/>
      <c r="F248" s="79"/>
      <c r="G248" s="107"/>
      <c r="H248" s="79"/>
    </row>
    <row r="249" spans="1:8" s="10" customFormat="1" x14ac:dyDescent="0.25">
      <c r="A249" s="189"/>
      <c r="B249" s="40" t="s">
        <v>23</v>
      </c>
      <c r="C249" s="63" t="s">
        <v>58</v>
      </c>
      <c r="D249" s="76"/>
      <c r="E249" s="79"/>
      <c r="F249" s="79"/>
      <c r="G249" s="107"/>
      <c r="H249" s="79"/>
    </row>
    <row r="250" spans="1:8" s="10" customFormat="1" x14ac:dyDescent="0.25">
      <c r="A250" s="189"/>
      <c r="B250" s="40"/>
      <c r="C250" s="198" t="s">
        <v>1045</v>
      </c>
      <c r="D250" s="33">
        <v>66000</v>
      </c>
      <c r="E250" s="28">
        <v>66000</v>
      </c>
      <c r="F250" s="79"/>
      <c r="G250" s="107"/>
      <c r="H250" s="79"/>
    </row>
    <row r="251" spans="1:8" s="10" customFormat="1" x14ac:dyDescent="0.25">
      <c r="A251" s="189"/>
      <c r="B251" s="40"/>
      <c r="C251" s="63" t="s">
        <v>1046</v>
      </c>
      <c r="D251" s="33">
        <v>12000</v>
      </c>
      <c r="E251" s="28">
        <v>12000</v>
      </c>
      <c r="F251" s="79"/>
      <c r="G251" s="107"/>
      <c r="H251" s="79"/>
    </row>
    <row r="252" spans="1:8" s="10" customFormat="1" ht="15" customHeight="1" x14ac:dyDescent="0.25">
      <c r="A252" s="189"/>
      <c r="B252" s="40"/>
      <c r="C252" s="63" t="s">
        <v>1047</v>
      </c>
      <c r="D252" s="33">
        <v>4946</v>
      </c>
      <c r="E252" s="28">
        <v>4946</v>
      </c>
      <c r="F252" s="79"/>
      <c r="G252" s="107"/>
      <c r="H252" s="79"/>
    </row>
    <row r="253" spans="1:8" s="10" customFormat="1" x14ac:dyDescent="0.25">
      <c r="A253" s="189"/>
      <c r="B253" s="40"/>
      <c r="C253" s="63" t="s">
        <v>1048</v>
      </c>
      <c r="D253" s="83">
        <v>5000</v>
      </c>
      <c r="E253" s="28">
        <v>5000</v>
      </c>
      <c r="F253" s="28"/>
      <c r="G253" s="98"/>
      <c r="H253" s="79"/>
    </row>
    <row r="254" spans="1:8" s="10" customFormat="1" x14ac:dyDescent="0.25">
      <c r="A254" s="189"/>
      <c r="B254" s="40"/>
      <c r="C254" s="63" t="s">
        <v>1049</v>
      </c>
      <c r="D254" s="83">
        <v>1700</v>
      </c>
      <c r="E254" s="28">
        <v>1700</v>
      </c>
      <c r="F254" s="28"/>
      <c r="G254" s="98"/>
      <c r="H254" s="79"/>
    </row>
    <row r="255" spans="1:8" s="10" customFormat="1" x14ac:dyDescent="0.25">
      <c r="A255" s="189"/>
      <c r="B255" s="40"/>
      <c r="C255" s="63" t="s">
        <v>1050</v>
      </c>
      <c r="D255" s="83">
        <v>3000</v>
      </c>
      <c r="E255" s="28">
        <v>3000</v>
      </c>
      <c r="F255" s="28"/>
      <c r="G255" s="98"/>
      <c r="H255" s="79"/>
    </row>
    <row r="256" spans="1:8" s="10" customFormat="1" x14ac:dyDescent="0.25">
      <c r="A256" s="189"/>
      <c r="B256" s="40"/>
      <c r="C256" s="63" t="s">
        <v>1051</v>
      </c>
      <c r="D256" s="83">
        <v>984</v>
      </c>
      <c r="E256" s="28">
        <v>984</v>
      </c>
      <c r="F256" s="28"/>
      <c r="G256" s="98"/>
      <c r="H256" s="79"/>
    </row>
    <row r="257" spans="1:8" s="10" customFormat="1" x14ac:dyDescent="0.25">
      <c r="A257" s="189"/>
      <c r="B257" s="40"/>
      <c r="C257" s="59" t="s">
        <v>1052</v>
      </c>
      <c r="D257" s="83">
        <v>4000</v>
      </c>
      <c r="E257" s="28">
        <v>4000</v>
      </c>
      <c r="F257" s="28"/>
      <c r="G257" s="98"/>
      <c r="H257" s="79"/>
    </row>
    <row r="258" spans="1:8" s="10" customFormat="1" ht="16.5" customHeight="1" x14ac:dyDescent="0.25">
      <c r="A258" s="189"/>
      <c r="B258" s="40"/>
      <c r="C258" s="59" t="s">
        <v>1053</v>
      </c>
      <c r="D258" s="83">
        <v>5000</v>
      </c>
      <c r="E258" s="28">
        <v>5000</v>
      </c>
      <c r="F258" s="28"/>
      <c r="G258" s="98"/>
      <c r="H258" s="79"/>
    </row>
    <row r="259" spans="1:8" s="10" customFormat="1" x14ac:dyDescent="0.25">
      <c r="A259" s="189"/>
      <c r="B259" s="40"/>
      <c r="C259" s="59" t="s">
        <v>1054</v>
      </c>
      <c r="D259" s="83">
        <v>6000</v>
      </c>
      <c r="E259" s="28">
        <v>6000</v>
      </c>
      <c r="F259" s="28"/>
      <c r="G259" s="104"/>
      <c r="H259" s="79"/>
    </row>
    <row r="260" spans="1:8" s="10" customFormat="1" ht="16.5" customHeight="1" x14ac:dyDescent="0.25">
      <c r="A260" s="189"/>
      <c r="B260" s="40"/>
      <c r="C260" s="59" t="s">
        <v>1055</v>
      </c>
      <c r="D260" s="84">
        <v>1500</v>
      </c>
      <c r="E260" s="51">
        <v>1500</v>
      </c>
      <c r="F260" s="51"/>
      <c r="G260" s="106"/>
      <c r="H260" s="79"/>
    </row>
    <row r="261" spans="1:8" s="10" customFormat="1" x14ac:dyDescent="0.25">
      <c r="A261" s="189"/>
      <c r="B261" s="40"/>
      <c r="C261" s="59" t="s">
        <v>1056</v>
      </c>
      <c r="D261" s="84">
        <v>7000</v>
      </c>
      <c r="E261" s="51">
        <v>7000</v>
      </c>
      <c r="F261" s="51"/>
      <c r="G261" s="106"/>
      <c r="H261" s="79"/>
    </row>
    <row r="262" spans="1:8" s="10" customFormat="1" x14ac:dyDescent="0.25">
      <c r="A262" s="189"/>
      <c r="B262" s="40"/>
      <c r="C262" s="59" t="s">
        <v>1057</v>
      </c>
      <c r="D262" s="84">
        <v>1000</v>
      </c>
      <c r="E262" s="51">
        <v>1000</v>
      </c>
      <c r="F262" s="51"/>
      <c r="G262" s="106"/>
      <c r="H262" s="79"/>
    </row>
    <row r="263" spans="1:8" s="10" customFormat="1" x14ac:dyDescent="0.25">
      <c r="A263" s="189"/>
      <c r="B263" s="40"/>
      <c r="C263" s="59" t="s">
        <v>1058</v>
      </c>
      <c r="D263" s="84"/>
      <c r="E263" s="51"/>
      <c r="F263" s="51"/>
      <c r="G263" s="106"/>
      <c r="H263" s="79"/>
    </row>
    <row r="264" spans="1:8" s="10" customFormat="1" x14ac:dyDescent="0.25">
      <c r="A264" s="189"/>
      <c r="B264" s="40"/>
      <c r="C264" s="59" t="s">
        <v>1059</v>
      </c>
      <c r="D264" s="84">
        <v>1500</v>
      </c>
      <c r="E264" s="51">
        <v>1500</v>
      </c>
      <c r="F264" s="51"/>
      <c r="G264" s="106"/>
      <c r="H264" s="79"/>
    </row>
    <row r="265" spans="1:8" s="10" customFormat="1" x14ac:dyDescent="0.25">
      <c r="A265" s="189"/>
      <c r="B265" s="40"/>
      <c r="C265" s="59" t="s">
        <v>1060</v>
      </c>
      <c r="D265" s="84">
        <v>1207</v>
      </c>
      <c r="E265" s="51">
        <v>1207</v>
      </c>
      <c r="F265" s="51"/>
      <c r="G265" s="106"/>
      <c r="H265" s="79"/>
    </row>
    <row r="266" spans="1:8" s="10" customFormat="1" ht="30" x14ac:dyDescent="0.25">
      <c r="A266" s="189"/>
      <c r="B266" s="40"/>
      <c r="C266" s="59" t="s">
        <v>1061</v>
      </c>
      <c r="D266" s="84">
        <v>1169</v>
      </c>
      <c r="E266" s="51">
        <v>1169</v>
      </c>
      <c r="F266" s="51"/>
      <c r="G266" s="106"/>
      <c r="H266" s="79"/>
    </row>
    <row r="267" spans="1:8" s="10" customFormat="1" x14ac:dyDescent="0.25">
      <c r="A267" s="189"/>
      <c r="B267" s="40"/>
      <c r="C267" s="59" t="s">
        <v>1062</v>
      </c>
      <c r="D267" s="84">
        <v>13000</v>
      </c>
      <c r="E267" s="51">
        <v>13000</v>
      </c>
      <c r="F267" s="51"/>
      <c r="G267" s="106"/>
      <c r="H267" s="79"/>
    </row>
    <row r="268" spans="1:8" s="10" customFormat="1" ht="30" x14ac:dyDescent="0.25">
      <c r="A268" s="189"/>
      <c r="B268" s="40"/>
      <c r="C268" s="43" t="s">
        <v>1063</v>
      </c>
      <c r="D268" s="84">
        <v>2258</v>
      </c>
      <c r="E268" s="51">
        <v>2258</v>
      </c>
      <c r="F268" s="51"/>
      <c r="G268" s="106"/>
      <c r="H268" s="79"/>
    </row>
    <row r="269" spans="1:8" s="10" customFormat="1" ht="30" x14ac:dyDescent="0.25">
      <c r="A269" s="189"/>
      <c r="B269" s="40"/>
      <c r="C269" s="43" t="s">
        <v>1064</v>
      </c>
      <c r="D269" s="84">
        <v>792</v>
      </c>
      <c r="E269" s="51">
        <v>792</v>
      </c>
      <c r="F269" s="51"/>
      <c r="G269" s="106"/>
      <c r="H269" s="79"/>
    </row>
    <row r="270" spans="1:8" s="10" customFormat="1" x14ac:dyDescent="0.25">
      <c r="A270" s="189"/>
      <c r="B270" s="40"/>
      <c r="C270" s="59" t="s">
        <v>1065</v>
      </c>
      <c r="D270" s="84">
        <v>82400</v>
      </c>
      <c r="E270" s="51">
        <v>82400</v>
      </c>
      <c r="F270" s="51"/>
      <c r="G270" s="106"/>
      <c r="H270" s="79"/>
    </row>
    <row r="271" spans="1:8" s="10" customFormat="1" ht="30" x14ac:dyDescent="0.25">
      <c r="A271" s="189"/>
      <c r="B271" s="40"/>
      <c r="C271" s="59" t="s">
        <v>1066</v>
      </c>
      <c r="D271" s="84">
        <v>168750</v>
      </c>
      <c r="E271" s="51">
        <v>168750</v>
      </c>
      <c r="F271" s="51"/>
      <c r="G271" s="106"/>
      <c r="H271" s="79"/>
    </row>
    <row r="272" spans="1:8" s="10" customFormat="1" x14ac:dyDescent="0.25">
      <c r="A272" s="189"/>
      <c r="B272" s="40"/>
      <c r="C272" s="59" t="s">
        <v>1067</v>
      </c>
      <c r="D272" s="84">
        <v>225849</v>
      </c>
      <c r="E272" s="51">
        <v>225849</v>
      </c>
      <c r="F272" s="51"/>
      <c r="G272" s="106"/>
      <c r="H272" s="79"/>
    </row>
    <row r="273" spans="1:8" s="10" customFormat="1" x14ac:dyDescent="0.25">
      <c r="A273" s="189"/>
      <c r="B273" s="40"/>
      <c r="C273" s="59" t="s">
        <v>1068</v>
      </c>
      <c r="D273" s="84">
        <v>940</v>
      </c>
      <c r="E273" s="51">
        <v>940</v>
      </c>
      <c r="F273" s="51"/>
      <c r="G273" s="106"/>
      <c r="H273" s="79"/>
    </row>
    <row r="274" spans="1:8" s="10" customFormat="1" x14ac:dyDescent="0.25">
      <c r="A274" s="189"/>
      <c r="B274" s="40"/>
      <c r="C274" s="59" t="s">
        <v>1069</v>
      </c>
      <c r="D274" s="84">
        <v>751</v>
      </c>
      <c r="E274" s="51">
        <v>751</v>
      </c>
      <c r="F274" s="51"/>
      <c r="G274" s="106"/>
      <c r="H274" s="79"/>
    </row>
    <row r="275" spans="1:8" s="10" customFormat="1" x14ac:dyDescent="0.25">
      <c r="A275" s="189"/>
      <c r="B275" s="40"/>
      <c r="C275" s="59" t="s">
        <v>1070</v>
      </c>
      <c r="D275" s="84">
        <v>4445</v>
      </c>
      <c r="E275" s="51">
        <v>4445</v>
      </c>
      <c r="F275" s="51"/>
      <c r="G275" s="106"/>
      <c r="H275" s="79"/>
    </row>
    <row r="276" spans="1:8" s="10" customFormat="1" ht="15.75" customHeight="1" x14ac:dyDescent="0.25">
      <c r="A276" s="189"/>
      <c r="B276" s="40"/>
      <c r="C276" s="59" t="s">
        <v>1082</v>
      </c>
      <c r="D276" s="84">
        <v>2000</v>
      </c>
      <c r="E276" s="51">
        <v>2000</v>
      </c>
      <c r="F276" s="51"/>
      <c r="G276" s="106"/>
      <c r="H276" s="79"/>
    </row>
    <row r="277" spans="1:8" s="10" customFormat="1" ht="30" x14ac:dyDescent="0.25">
      <c r="A277" s="189"/>
      <c r="B277" s="40"/>
      <c r="C277" s="59" t="s">
        <v>1083</v>
      </c>
      <c r="D277" s="84">
        <v>3000</v>
      </c>
      <c r="E277" s="51">
        <v>3000</v>
      </c>
      <c r="F277" s="51"/>
      <c r="G277" s="106"/>
      <c r="H277" s="79"/>
    </row>
    <row r="278" spans="1:8" s="10" customFormat="1" ht="15.75" customHeight="1" x14ac:dyDescent="0.25">
      <c r="A278" s="189"/>
      <c r="B278" s="40"/>
      <c r="C278" s="59" t="s">
        <v>1084</v>
      </c>
      <c r="D278" s="84">
        <v>2000</v>
      </c>
      <c r="E278" s="51">
        <v>2000</v>
      </c>
      <c r="F278" s="51"/>
      <c r="G278" s="106"/>
      <c r="H278" s="79"/>
    </row>
    <row r="279" spans="1:8" s="10" customFormat="1" ht="30" x14ac:dyDescent="0.25">
      <c r="A279" s="189"/>
      <c r="B279" s="40"/>
      <c r="C279" s="59" t="s">
        <v>1085</v>
      </c>
      <c r="D279" s="84">
        <v>1500</v>
      </c>
      <c r="E279" s="51">
        <v>1500</v>
      </c>
      <c r="F279" s="51"/>
      <c r="G279" s="106"/>
      <c r="H279" s="79"/>
    </row>
    <row r="280" spans="1:8" s="10" customFormat="1" ht="15.75" customHeight="1" x14ac:dyDescent="0.25">
      <c r="A280" s="189"/>
      <c r="B280" s="40"/>
      <c r="C280" s="59" t="s">
        <v>1086</v>
      </c>
      <c r="D280" s="84">
        <v>1000</v>
      </c>
      <c r="E280" s="51">
        <v>1000</v>
      </c>
      <c r="F280" s="51"/>
      <c r="G280" s="106"/>
      <c r="H280" s="79"/>
    </row>
    <row r="281" spans="1:8" s="10" customFormat="1" ht="15.75" customHeight="1" x14ac:dyDescent="0.25">
      <c r="A281" s="189"/>
      <c r="B281" s="40"/>
      <c r="C281" s="59" t="s">
        <v>1087</v>
      </c>
      <c r="D281" s="84">
        <v>3400</v>
      </c>
      <c r="E281" s="51">
        <v>3400</v>
      </c>
      <c r="F281" s="51"/>
      <c r="G281" s="106"/>
      <c r="H281" s="79"/>
    </row>
    <row r="282" spans="1:8" s="10" customFormat="1" ht="15.75" customHeight="1" x14ac:dyDescent="0.25">
      <c r="A282" s="189"/>
      <c r="B282" s="40"/>
      <c r="C282" s="59" t="s">
        <v>1088</v>
      </c>
      <c r="D282" s="84">
        <v>550</v>
      </c>
      <c r="E282" s="51">
        <v>550</v>
      </c>
      <c r="F282" s="51"/>
      <c r="G282" s="106"/>
      <c r="H282" s="79"/>
    </row>
    <row r="283" spans="1:8" s="10" customFormat="1" ht="15.75" customHeight="1" x14ac:dyDescent="0.25">
      <c r="A283" s="189"/>
      <c r="B283" s="40"/>
      <c r="C283" s="59" t="s">
        <v>1089</v>
      </c>
      <c r="D283" s="84">
        <v>1348</v>
      </c>
      <c r="E283" s="51">
        <v>1348</v>
      </c>
      <c r="F283" s="51"/>
      <c r="G283" s="106"/>
      <c r="H283" s="79"/>
    </row>
    <row r="284" spans="1:8" s="10" customFormat="1" ht="15.75" customHeight="1" x14ac:dyDescent="0.25">
      <c r="A284" s="189"/>
      <c r="B284" s="40"/>
      <c r="C284" s="198" t="s">
        <v>1090</v>
      </c>
      <c r="D284" s="83">
        <v>1500</v>
      </c>
      <c r="E284" s="28">
        <v>1500</v>
      </c>
      <c r="F284" s="28"/>
      <c r="G284" s="104"/>
      <c r="H284" s="79"/>
    </row>
    <row r="285" spans="1:8" s="10" customFormat="1" ht="15.75" customHeight="1" x14ac:dyDescent="0.25">
      <c r="A285" s="189"/>
      <c r="B285" s="40"/>
      <c r="C285" s="198" t="s">
        <v>1091</v>
      </c>
      <c r="D285" s="83">
        <v>3000</v>
      </c>
      <c r="E285" s="28">
        <v>3000</v>
      </c>
      <c r="F285" s="28"/>
      <c r="G285" s="104"/>
      <c r="H285" s="79"/>
    </row>
    <row r="286" spans="1:8" s="10" customFormat="1" x14ac:dyDescent="0.25">
      <c r="A286" s="189"/>
      <c r="B286" s="40"/>
      <c r="C286" s="59"/>
      <c r="D286" s="84"/>
      <c r="E286" s="51"/>
      <c r="F286" s="51"/>
      <c r="G286" s="106"/>
      <c r="H286" s="79"/>
    </row>
    <row r="287" spans="1:8" s="10" customFormat="1" x14ac:dyDescent="0.25">
      <c r="A287" s="189"/>
      <c r="B287" s="40"/>
      <c r="C287" s="80" t="s">
        <v>45</v>
      </c>
      <c r="D287" s="87">
        <f>SUM(D250:D286)</f>
        <v>640489</v>
      </c>
      <c r="E287" s="42">
        <f>SUM(E250:E286)</f>
        <v>640489</v>
      </c>
      <c r="F287" s="42">
        <f>SUM(F250:F286)</f>
        <v>0</v>
      </c>
      <c r="G287" s="294">
        <f>SUM(G250:G286)</f>
        <v>0</v>
      </c>
      <c r="H287" s="79"/>
    </row>
    <row r="288" spans="1:8" s="10" customFormat="1" x14ac:dyDescent="0.25">
      <c r="A288" s="189"/>
      <c r="B288" s="40"/>
      <c r="C288" s="80"/>
      <c r="D288" s="76"/>
      <c r="E288" s="79"/>
      <c r="F288" s="79"/>
      <c r="G288" s="107"/>
      <c r="H288" s="79"/>
    </row>
    <row r="289" spans="1:8" s="10" customFormat="1" x14ac:dyDescent="0.25">
      <c r="A289" s="189"/>
      <c r="B289" s="40" t="s">
        <v>25</v>
      </c>
      <c r="C289" s="63" t="s">
        <v>24</v>
      </c>
      <c r="D289" s="76"/>
      <c r="E289" s="79"/>
      <c r="F289" s="79"/>
      <c r="G289" s="107"/>
      <c r="H289" s="79"/>
    </row>
    <row r="290" spans="1:8" s="10" customFormat="1" x14ac:dyDescent="0.25">
      <c r="A290" s="189"/>
      <c r="B290" s="40"/>
      <c r="C290" s="198" t="s">
        <v>941</v>
      </c>
      <c r="D290" s="84">
        <v>62000</v>
      </c>
      <c r="E290" s="51">
        <v>62000</v>
      </c>
      <c r="F290" s="28"/>
      <c r="G290" s="98"/>
      <c r="H290" s="79"/>
    </row>
    <row r="291" spans="1:8" s="10" customFormat="1" x14ac:dyDescent="0.25">
      <c r="A291" s="189"/>
      <c r="B291" s="40"/>
      <c r="C291" s="198" t="s">
        <v>942</v>
      </c>
      <c r="D291" s="84">
        <v>47095</v>
      </c>
      <c r="E291" s="51">
        <v>47095</v>
      </c>
      <c r="F291" s="28"/>
      <c r="G291" s="98"/>
      <c r="H291" s="79"/>
    </row>
    <row r="292" spans="1:8" s="10" customFormat="1" x14ac:dyDescent="0.25">
      <c r="A292" s="189"/>
      <c r="B292" s="40"/>
      <c r="C292" s="198" t="s">
        <v>943</v>
      </c>
      <c r="D292" s="84">
        <v>33000</v>
      </c>
      <c r="E292" s="51">
        <v>33000</v>
      </c>
      <c r="F292" s="28"/>
      <c r="G292" s="98"/>
      <c r="H292" s="79"/>
    </row>
    <row r="293" spans="1:8" s="10" customFormat="1" x14ac:dyDescent="0.25">
      <c r="A293" s="189"/>
      <c r="B293" s="40"/>
      <c r="C293" s="198" t="s">
        <v>944</v>
      </c>
      <c r="D293" s="84">
        <v>44000</v>
      </c>
      <c r="E293" s="51">
        <v>44000</v>
      </c>
      <c r="F293" s="28"/>
      <c r="G293" s="98"/>
      <c r="H293" s="79"/>
    </row>
    <row r="294" spans="1:8" s="10" customFormat="1" x14ac:dyDescent="0.25">
      <c r="A294" s="189"/>
      <c r="B294" s="40"/>
      <c r="C294" s="198" t="s">
        <v>945</v>
      </c>
      <c r="D294" s="84">
        <v>3785</v>
      </c>
      <c r="E294" s="51">
        <v>3785</v>
      </c>
      <c r="F294" s="28"/>
      <c r="G294" s="98"/>
      <c r="H294" s="79"/>
    </row>
    <row r="295" spans="1:8" s="10" customFormat="1" x14ac:dyDescent="0.25">
      <c r="A295" s="189"/>
      <c r="B295" s="40"/>
      <c r="C295" s="198" t="s">
        <v>946</v>
      </c>
      <c r="D295" s="84">
        <v>22225</v>
      </c>
      <c r="E295" s="51">
        <v>22225</v>
      </c>
      <c r="F295" s="28"/>
      <c r="G295" s="98"/>
      <c r="H295" s="79"/>
    </row>
    <row r="296" spans="1:8" s="10" customFormat="1" ht="16.5" customHeight="1" x14ac:dyDescent="0.25">
      <c r="A296" s="189"/>
      <c r="B296" s="40"/>
      <c r="C296" s="59" t="s">
        <v>947</v>
      </c>
      <c r="D296" s="84">
        <v>6000</v>
      </c>
      <c r="E296" s="51">
        <v>6000</v>
      </c>
      <c r="F296" s="51"/>
      <c r="G296" s="105"/>
      <c r="H296" s="79"/>
    </row>
    <row r="297" spans="1:8" s="10" customFormat="1" x14ac:dyDescent="0.25">
      <c r="A297" s="189"/>
      <c r="B297" s="40"/>
      <c r="C297" s="59" t="s">
        <v>948</v>
      </c>
      <c r="D297" s="84">
        <v>8884</v>
      </c>
      <c r="E297" s="51">
        <v>8884</v>
      </c>
      <c r="F297" s="51"/>
      <c r="G297" s="105"/>
      <c r="H297" s="79"/>
    </row>
    <row r="298" spans="1:8" s="10" customFormat="1" x14ac:dyDescent="0.25">
      <c r="A298" s="189"/>
      <c r="B298" s="40"/>
      <c r="C298" s="59" t="s">
        <v>949</v>
      </c>
      <c r="D298" s="84">
        <v>20643</v>
      </c>
      <c r="E298" s="51">
        <v>20643</v>
      </c>
      <c r="F298" s="51"/>
      <c r="G298" s="105"/>
      <c r="H298" s="79"/>
    </row>
    <row r="299" spans="1:8" s="10" customFormat="1" x14ac:dyDescent="0.25">
      <c r="A299" s="189"/>
      <c r="B299" s="40"/>
      <c r="C299" s="59" t="s">
        <v>950</v>
      </c>
      <c r="D299" s="84">
        <v>8000</v>
      </c>
      <c r="E299" s="51">
        <v>8000</v>
      </c>
      <c r="F299" s="51"/>
      <c r="G299" s="105"/>
      <c r="H299" s="79"/>
    </row>
    <row r="300" spans="1:8" s="10" customFormat="1" ht="30" x14ac:dyDescent="0.25">
      <c r="A300" s="189"/>
      <c r="B300" s="40"/>
      <c r="C300" s="59" t="s">
        <v>951</v>
      </c>
      <c r="D300" s="83">
        <v>4000</v>
      </c>
      <c r="E300" s="28">
        <v>4000</v>
      </c>
      <c r="F300" s="28"/>
      <c r="G300" s="98"/>
      <c r="H300" s="79"/>
    </row>
    <row r="301" spans="1:8" s="10" customFormat="1" ht="30" x14ac:dyDescent="0.25">
      <c r="A301" s="189"/>
      <c r="B301" s="40"/>
      <c r="C301" s="198" t="s">
        <v>952</v>
      </c>
      <c r="D301" s="83">
        <v>36084</v>
      </c>
      <c r="E301" s="28">
        <v>36084</v>
      </c>
      <c r="F301" s="28"/>
      <c r="G301" s="104"/>
      <c r="H301" s="79"/>
    </row>
    <row r="302" spans="1:8" s="10" customFormat="1" x14ac:dyDescent="0.25">
      <c r="A302" s="189"/>
      <c r="B302" s="40"/>
      <c r="C302" s="198" t="s">
        <v>953</v>
      </c>
      <c r="D302" s="83">
        <v>3500</v>
      </c>
      <c r="E302" s="28">
        <v>3500</v>
      </c>
      <c r="F302" s="28"/>
      <c r="G302" s="104"/>
      <c r="H302" s="79"/>
    </row>
    <row r="303" spans="1:8" s="10" customFormat="1" x14ac:dyDescent="0.25">
      <c r="A303" s="189"/>
      <c r="B303" s="40"/>
      <c r="C303" s="198" t="s">
        <v>954</v>
      </c>
      <c r="D303" s="83">
        <v>4000</v>
      </c>
      <c r="E303" s="28">
        <v>4000</v>
      </c>
      <c r="F303" s="28"/>
      <c r="G303" s="104"/>
      <c r="H303" s="79"/>
    </row>
    <row r="304" spans="1:8" s="10" customFormat="1" x14ac:dyDescent="0.25">
      <c r="A304" s="189"/>
      <c r="B304" s="40"/>
      <c r="C304" s="59" t="s">
        <v>955</v>
      </c>
      <c r="D304" s="83">
        <v>400</v>
      </c>
      <c r="E304" s="28">
        <v>400</v>
      </c>
      <c r="F304" s="28"/>
      <c r="G304" s="104"/>
      <c r="H304" s="79"/>
    </row>
    <row r="305" spans="1:8" s="10" customFormat="1" x14ac:dyDescent="0.25">
      <c r="A305" s="189"/>
      <c r="B305" s="40"/>
      <c r="C305" s="198" t="s">
        <v>956</v>
      </c>
      <c r="D305" s="83">
        <v>2000</v>
      </c>
      <c r="E305" s="28">
        <v>2000</v>
      </c>
      <c r="F305" s="28"/>
      <c r="G305" s="104"/>
      <c r="H305" s="79"/>
    </row>
    <row r="306" spans="1:8" s="10" customFormat="1" x14ac:dyDescent="0.25">
      <c r="A306" s="189"/>
      <c r="B306" s="40"/>
      <c r="C306" s="198" t="s">
        <v>957</v>
      </c>
      <c r="D306" s="83">
        <v>6000</v>
      </c>
      <c r="E306" s="28">
        <v>6000</v>
      </c>
      <c r="F306" s="28"/>
      <c r="G306" s="104"/>
      <c r="H306" s="79"/>
    </row>
    <row r="307" spans="1:8" s="10" customFormat="1" x14ac:dyDescent="0.25">
      <c r="A307" s="189"/>
      <c r="B307" s="40"/>
      <c r="C307" s="198" t="s">
        <v>958</v>
      </c>
      <c r="D307" s="83">
        <v>2000</v>
      </c>
      <c r="E307" s="28">
        <v>2000</v>
      </c>
      <c r="F307" s="28"/>
      <c r="G307" s="104"/>
      <c r="H307" s="79"/>
    </row>
    <row r="308" spans="1:8" s="10" customFormat="1" x14ac:dyDescent="0.25">
      <c r="A308" s="189"/>
      <c r="B308" s="40"/>
      <c r="C308" s="198" t="s">
        <v>1092</v>
      </c>
      <c r="D308" s="83">
        <v>2000</v>
      </c>
      <c r="E308" s="28">
        <v>2000</v>
      </c>
      <c r="F308" s="28"/>
      <c r="G308" s="104"/>
      <c r="H308" s="79"/>
    </row>
    <row r="309" spans="1:8" s="10" customFormat="1" x14ac:dyDescent="0.25">
      <c r="A309" s="189"/>
      <c r="B309" s="40"/>
      <c r="C309" s="198" t="s">
        <v>959</v>
      </c>
      <c r="D309" s="83">
        <v>3000</v>
      </c>
      <c r="E309" s="28">
        <v>3000</v>
      </c>
      <c r="F309" s="28"/>
      <c r="G309" s="104"/>
      <c r="H309" s="79"/>
    </row>
    <row r="310" spans="1:8" s="10" customFormat="1" x14ac:dyDescent="0.25">
      <c r="A310" s="189"/>
      <c r="B310" s="40"/>
      <c r="C310" s="198" t="s">
        <v>960</v>
      </c>
      <c r="D310" s="83">
        <v>2400</v>
      </c>
      <c r="E310" s="28">
        <v>2400</v>
      </c>
      <c r="F310" s="28"/>
      <c r="G310" s="104"/>
      <c r="H310" s="79"/>
    </row>
    <row r="311" spans="1:8" s="10" customFormat="1" x14ac:dyDescent="0.25">
      <c r="A311" s="189"/>
      <c r="B311" s="40"/>
      <c r="C311" s="198" t="s">
        <v>961</v>
      </c>
      <c r="D311" s="83">
        <v>5200</v>
      </c>
      <c r="E311" s="28">
        <v>5200</v>
      </c>
      <c r="F311" s="28"/>
      <c r="G311" s="104"/>
      <c r="H311" s="79"/>
    </row>
    <row r="312" spans="1:8" s="10" customFormat="1" x14ac:dyDescent="0.25">
      <c r="A312" s="189"/>
      <c r="B312" s="40"/>
      <c r="C312" s="198" t="s">
        <v>962</v>
      </c>
      <c r="D312" s="83">
        <v>2000</v>
      </c>
      <c r="E312" s="28">
        <v>2000</v>
      </c>
      <c r="F312" s="28"/>
      <c r="G312" s="104"/>
      <c r="H312" s="79"/>
    </row>
    <row r="313" spans="1:8" s="10" customFormat="1" x14ac:dyDescent="0.25">
      <c r="A313" s="189"/>
      <c r="B313" s="40"/>
      <c r="C313" s="198" t="s">
        <v>963</v>
      </c>
      <c r="D313" s="83">
        <v>6000</v>
      </c>
      <c r="E313" s="28">
        <v>6000</v>
      </c>
      <c r="F313" s="28"/>
      <c r="G313" s="104"/>
      <c r="H313" s="79"/>
    </row>
    <row r="314" spans="1:8" s="10" customFormat="1" x14ac:dyDescent="0.25">
      <c r="A314" s="189"/>
      <c r="B314" s="40"/>
      <c r="C314" s="198" t="s">
        <v>964</v>
      </c>
      <c r="D314" s="83">
        <v>2000</v>
      </c>
      <c r="E314" s="28">
        <v>2000</v>
      </c>
      <c r="F314" s="28"/>
      <c r="G314" s="104"/>
      <c r="H314" s="79"/>
    </row>
    <row r="315" spans="1:8" s="10" customFormat="1" x14ac:dyDescent="0.25">
      <c r="A315" s="189"/>
      <c r="B315" s="40"/>
      <c r="C315" s="198" t="s">
        <v>965</v>
      </c>
      <c r="D315" s="83">
        <v>1500</v>
      </c>
      <c r="E315" s="28">
        <v>1500</v>
      </c>
      <c r="F315" s="28"/>
      <c r="G315" s="104"/>
      <c r="H315" s="79"/>
    </row>
    <row r="316" spans="1:8" s="10" customFormat="1" x14ac:dyDescent="0.25">
      <c r="A316" s="189"/>
      <c r="B316" s="40"/>
      <c r="C316" s="198" t="s">
        <v>966</v>
      </c>
      <c r="D316" s="83">
        <v>5600</v>
      </c>
      <c r="E316" s="28">
        <v>5600</v>
      </c>
      <c r="F316" s="28"/>
      <c r="G316" s="104"/>
      <c r="H316" s="79"/>
    </row>
    <row r="317" spans="1:8" s="10" customFormat="1" ht="30" x14ac:dyDescent="0.25">
      <c r="A317" s="189"/>
      <c r="B317" s="40"/>
      <c r="C317" s="198" t="s">
        <v>967</v>
      </c>
      <c r="D317" s="83">
        <v>700</v>
      </c>
      <c r="E317" s="28">
        <v>700</v>
      </c>
      <c r="F317" s="28"/>
      <c r="G317" s="104"/>
      <c r="H317" s="79"/>
    </row>
    <row r="318" spans="1:8" s="10" customFormat="1" x14ac:dyDescent="0.25">
      <c r="A318" s="189"/>
      <c r="B318" s="40"/>
      <c r="C318" s="198" t="s">
        <v>968</v>
      </c>
      <c r="D318" s="83">
        <v>2000</v>
      </c>
      <c r="E318" s="28">
        <v>2000</v>
      </c>
      <c r="F318" s="28"/>
      <c r="G318" s="104"/>
      <c r="H318" s="79"/>
    </row>
    <row r="319" spans="1:8" s="10" customFormat="1" x14ac:dyDescent="0.25">
      <c r="A319" s="189"/>
      <c r="B319" s="40"/>
      <c r="C319" s="198" t="s">
        <v>1074</v>
      </c>
      <c r="D319" s="83">
        <v>8000</v>
      </c>
      <c r="E319" s="28">
        <v>8000</v>
      </c>
      <c r="F319" s="28"/>
      <c r="G319" s="104"/>
      <c r="H319" s="79"/>
    </row>
    <row r="320" spans="1:8" s="10" customFormat="1" x14ac:dyDescent="0.25">
      <c r="A320" s="189"/>
      <c r="B320" s="40"/>
      <c r="C320" s="198"/>
      <c r="D320" s="83"/>
      <c r="E320" s="28"/>
      <c r="F320" s="28"/>
      <c r="G320" s="104"/>
      <c r="H320" s="79"/>
    </row>
    <row r="321" spans="1:8" s="10" customFormat="1" x14ac:dyDescent="0.25">
      <c r="A321" s="189"/>
      <c r="B321" s="40"/>
      <c r="C321" s="80" t="s">
        <v>46</v>
      </c>
      <c r="D321" s="87">
        <f>SUM(D290:D320)</f>
        <v>354016</v>
      </c>
      <c r="E321" s="42">
        <f>SUM(E290:E320)</f>
        <v>354016</v>
      </c>
      <c r="F321" s="42">
        <f>SUM(F290:F320)</f>
        <v>0</v>
      </c>
      <c r="G321" s="294">
        <f>SUM(G290:G320)</f>
        <v>0</v>
      </c>
      <c r="H321" s="79"/>
    </row>
    <row r="322" spans="1:8" s="10" customFormat="1" x14ac:dyDescent="0.25">
      <c r="A322" s="189"/>
      <c r="B322" s="49"/>
      <c r="C322" s="80"/>
      <c r="D322" s="76"/>
      <c r="E322" s="79"/>
      <c r="F322" s="79"/>
      <c r="G322" s="107"/>
      <c r="H322" s="79"/>
    </row>
    <row r="323" spans="1:8" s="10" customFormat="1" x14ac:dyDescent="0.25">
      <c r="A323" s="189"/>
      <c r="B323" s="40" t="s">
        <v>33</v>
      </c>
      <c r="C323" s="63" t="s">
        <v>59</v>
      </c>
      <c r="D323" s="76"/>
      <c r="E323" s="79"/>
      <c r="F323" s="79"/>
      <c r="G323" s="107"/>
      <c r="H323" s="79"/>
    </row>
    <row r="324" spans="1:8" s="10" customFormat="1" x14ac:dyDescent="0.25">
      <c r="A324" s="189"/>
      <c r="B324" s="40"/>
      <c r="C324" s="63" t="s">
        <v>92</v>
      </c>
      <c r="D324" s="76"/>
      <c r="E324" s="79"/>
      <c r="F324" s="79"/>
      <c r="G324" s="107"/>
      <c r="H324" s="79"/>
    </row>
    <row r="325" spans="1:8" s="10" customFormat="1" x14ac:dyDescent="0.25">
      <c r="A325" s="22"/>
      <c r="B325" s="40"/>
      <c r="C325" s="192" t="s">
        <v>28</v>
      </c>
      <c r="D325" s="85">
        <v>0</v>
      </c>
      <c r="E325" s="38">
        <v>0</v>
      </c>
      <c r="F325" s="38">
        <v>0</v>
      </c>
      <c r="G325" s="102">
        <v>0</v>
      </c>
      <c r="H325" s="79"/>
    </row>
    <row r="326" spans="1:8" s="10" customFormat="1" x14ac:dyDescent="0.25">
      <c r="A326" s="22"/>
      <c r="B326" s="40"/>
      <c r="C326" s="192"/>
      <c r="D326" s="37"/>
      <c r="E326" s="38"/>
      <c r="F326" s="38"/>
      <c r="G326" s="99"/>
      <c r="H326" s="79"/>
    </row>
    <row r="327" spans="1:8" s="10" customFormat="1" x14ac:dyDescent="0.25">
      <c r="A327" s="199"/>
      <c r="B327" s="50"/>
      <c r="C327" s="63" t="s">
        <v>93</v>
      </c>
      <c r="D327" s="33"/>
      <c r="E327" s="28"/>
      <c r="F327" s="28"/>
      <c r="G327" s="98"/>
      <c r="H327" s="79"/>
    </row>
    <row r="328" spans="1:8" s="10" customFormat="1" x14ac:dyDescent="0.25">
      <c r="A328" s="22"/>
      <c r="B328" s="50"/>
      <c r="C328" s="198" t="s">
        <v>933</v>
      </c>
      <c r="D328" s="83">
        <v>3324</v>
      </c>
      <c r="E328" s="28">
        <v>3324</v>
      </c>
      <c r="F328" s="28"/>
      <c r="G328" s="104"/>
      <c r="H328" s="79"/>
    </row>
    <row r="329" spans="1:8" s="10" customFormat="1" x14ac:dyDescent="0.25">
      <c r="A329" s="22"/>
      <c r="B329" s="50"/>
      <c r="C329" s="198" t="s">
        <v>936</v>
      </c>
      <c r="D329" s="83">
        <v>1000</v>
      </c>
      <c r="E329" s="28">
        <v>1000</v>
      </c>
      <c r="F329" s="28"/>
      <c r="G329" s="104"/>
      <c r="H329" s="79"/>
    </row>
    <row r="330" spans="1:8" s="10" customFormat="1" ht="30" x14ac:dyDescent="0.25">
      <c r="A330" s="22"/>
      <c r="B330" s="50"/>
      <c r="C330" s="198" t="s">
        <v>937</v>
      </c>
      <c r="D330" s="83">
        <v>2000</v>
      </c>
      <c r="E330" s="28"/>
      <c r="F330" s="28">
        <v>2000</v>
      </c>
      <c r="G330" s="104"/>
      <c r="H330" s="79"/>
    </row>
    <row r="331" spans="1:8" s="10" customFormat="1" ht="30" x14ac:dyDescent="0.25">
      <c r="A331" s="22"/>
      <c r="B331" s="50"/>
      <c r="C331" s="198" t="s">
        <v>938</v>
      </c>
      <c r="D331" s="83">
        <v>3988</v>
      </c>
      <c r="E331" s="28">
        <v>3988</v>
      </c>
      <c r="F331" s="28"/>
      <c r="G331" s="104"/>
      <c r="H331" s="79"/>
    </row>
    <row r="332" spans="1:8" s="10" customFormat="1" ht="30" x14ac:dyDescent="0.25">
      <c r="A332" s="22"/>
      <c r="B332" s="50"/>
      <c r="C332" s="198" t="s">
        <v>939</v>
      </c>
      <c r="D332" s="83">
        <v>8203</v>
      </c>
      <c r="E332" s="28">
        <v>8203</v>
      </c>
      <c r="F332" s="28"/>
      <c r="G332" s="104"/>
      <c r="H332" s="79"/>
    </row>
    <row r="333" spans="1:8" s="10" customFormat="1" x14ac:dyDescent="0.25">
      <c r="A333" s="22"/>
      <c r="B333" s="50"/>
      <c r="C333" s="198" t="s">
        <v>940</v>
      </c>
      <c r="D333" s="83">
        <v>4500</v>
      </c>
      <c r="E333" s="28">
        <v>4500</v>
      </c>
      <c r="F333" s="28"/>
      <c r="G333" s="104"/>
      <c r="H333" s="79"/>
    </row>
    <row r="334" spans="1:8" s="10" customFormat="1" x14ac:dyDescent="0.25">
      <c r="A334" s="22"/>
      <c r="B334" s="50"/>
      <c r="C334" s="198"/>
      <c r="D334" s="83"/>
      <c r="E334" s="28"/>
      <c r="F334" s="28"/>
      <c r="G334" s="621"/>
      <c r="H334" s="79"/>
    </row>
    <row r="335" spans="1:8" s="10" customFormat="1" x14ac:dyDescent="0.25">
      <c r="A335" s="22"/>
      <c r="B335" s="50"/>
      <c r="C335" s="192" t="s">
        <v>28</v>
      </c>
      <c r="D335" s="85">
        <f>SUM(D328:D334)</f>
        <v>23015</v>
      </c>
      <c r="E335" s="38">
        <f t="shared" ref="E335:G335" si="9">SUM(E328:E334)</f>
        <v>21015</v>
      </c>
      <c r="F335" s="38">
        <f t="shared" si="9"/>
        <v>2000</v>
      </c>
      <c r="G335" s="295">
        <f t="shared" si="9"/>
        <v>0</v>
      </c>
      <c r="H335" s="79"/>
    </row>
    <row r="336" spans="1:8" s="10" customFormat="1" x14ac:dyDescent="0.25">
      <c r="A336" s="22"/>
      <c r="B336" s="50"/>
      <c r="C336" s="192"/>
      <c r="D336" s="37"/>
      <c r="E336" s="38"/>
      <c r="F336" s="38"/>
      <c r="G336" s="99"/>
      <c r="H336" s="79"/>
    </row>
    <row r="337" spans="1:8" s="10" customFormat="1" x14ac:dyDescent="0.25">
      <c r="A337" s="22"/>
      <c r="B337" s="50"/>
      <c r="C337" s="63" t="s">
        <v>78</v>
      </c>
      <c r="D337" s="37"/>
      <c r="E337" s="38"/>
      <c r="F337" s="38"/>
      <c r="G337" s="99"/>
      <c r="H337" s="79"/>
    </row>
    <row r="338" spans="1:8" s="10" customFormat="1" x14ac:dyDescent="0.25">
      <c r="A338" s="22"/>
      <c r="B338" s="50"/>
      <c r="C338" s="59" t="s">
        <v>2</v>
      </c>
      <c r="D338" s="78">
        <v>111275</v>
      </c>
      <c r="E338" s="51">
        <v>111275</v>
      </c>
      <c r="F338" s="51"/>
      <c r="G338" s="105"/>
      <c r="H338" s="79"/>
    </row>
    <row r="339" spans="1:8" s="10" customFormat="1" x14ac:dyDescent="0.25">
      <c r="A339" s="22"/>
      <c r="B339" s="50"/>
      <c r="C339" s="198" t="s">
        <v>934</v>
      </c>
      <c r="D339" s="84">
        <v>3100</v>
      </c>
      <c r="E339" s="51">
        <v>3100</v>
      </c>
      <c r="F339" s="51"/>
      <c r="G339" s="106"/>
      <c r="H339" s="79"/>
    </row>
    <row r="340" spans="1:8" s="10" customFormat="1" ht="30" x14ac:dyDescent="0.25">
      <c r="A340" s="22"/>
      <c r="B340" s="50"/>
      <c r="C340" s="198" t="s">
        <v>237</v>
      </c>
      <c r="D340" s="84">
        <v>2000</v>
      </c>
      <c r="E340" s="51">
        <v>2000</v>
      </c>
      <c r="F340" s="51"/>
      <c r="G340" s="106"/>
      <c r="H340" s="79"/>
    </row>
    <row r="341" spans="1:8" s="10" customFormat="1" ht="45" x14ac:dyDescent="0.25">
      <c r="A341" s="22"/>
      <c r="B341" s="50"/>
      <c r="C341" s="198" t="s">
        <v>935</v>
      </c>
      <c r="D341" s="84">
        <v>21245</v>
      </c>
      <c r="E341" s="51">
        <v>21245</v>
      </c>
      <c r="F341" s="51"/>
      <c r="G341" s="106"/>
      <c r="H341" s="79"/>
    </row>
    <row r="342" spans="1:8" s="10" customFormat="1" x14ac:dyDescent="0.25">
      <c r="A342" s="22"/>
      <c r="B342" s="50"/>
      <c r="C342" s="198"/>
      <c r="D342" s="84"/>
      <c r="E342" s="51"/>
      <c r="F342" s="51"/>
      <c r="G342" s="106"/>
      <c r="H342" s="79"/>
    </row>
    <row r="343" spans="1:8" s="10" customFormat="1" x14ac:dyDescent="0.25">
      <c r="A343" s="22"/>
      <c r="B343" s="50"/>
      <c r="C343" s="192" t="s">
        <v>28</v>
      </c>
      <c r="D343" s="85">
        <f>SUM(D338:D342)</f>
        <v>137620</v>
      </c>
      <c r="E343" s="38">
        <f>SUM(E338:E342)</f>
        <v>137620</v>
      </c>
      <c r="F343" s="38">
        <f>SUM(F338:F342)</f>
        <v>0</v>
      </c>
      <c r="G343" s="295">
        <f>SUM(G338:G342)</f>
        <v>0</v>
      </c>
      <c r="H343" s="79"/>
    </row>
    <row r="344" spans="1:8" s="10" customFormat="1" x14ac:dyDescent="0.25">
      <c r="A344" s="22"/>
      <c r="B344" s="50"/>
      <c r="C344" s="192"/>
      <c r="D344" s="85"/>
      <c r="E344" s="38"/>
      <c r="F344" s="38"/>
      <c r="G344" s="102"/>
      <c r="H344" s="79"/>
    </row>
    <row r="345" spans="1:8" s="10" customFormat="1" x14ac:dyDescent="0.25">
      <c r="A345" s="22"/>
      <c r="B345" s="50"/>
      <c r="C345" s="80" t="s">
        <v>47</v>
      </c>
      <c r="D345" s="87">
        <f>D325+D335+D343</f>
        <v>160635</v>
      </c>
      <c r="E345" s="42">
        <f>E325+E335+E343</f>
        <v>158635</v>
      </c>
      <c r="F345" s="42">
        <f>F325+F335+F343</f>
        <v>2000</v>
      </c>
      <c r="G345" s="112">
        <f>G325+G335+G343</f>
        <v>0</v>
      </c>
      <c r="H345" s="79"/>
    </row>
    <row r="346" spans="1:8" s="10" customFormat="1" x14ac:dyDescent="0.25">
      <c r="A346" s="22"/>
      <c r="B346" s="40"/>
      <c r="C346" s="80"/>
      <c r="D346" s="39"/>
      <c r="E346" s="69"/>
      <c r="F346" s="69"/>
      <c r="G346" s="103"/>
      <c r="H346" s="79"/>
    </row>
    <row r="347" spans="1:8" s="10" customFormat="1" x14ac:dyDescent="0.25">
      <c r="A347" s="22"/>
      <c r="B347" s="40"/>
      <c r="C347" s="64" t="s">
        <v>14</v>
      </c>
      <c r="D347" s="77">
        <f>D78+D95+D173+D197+D247+D287+D321+D345</f>
        <v>2828549</v>
      </c>
      <c r="E347" s="31">
        <f>E78+E95+E173+E197+E247+E287+E321+E345</f>
        <v>2490828</v>
      </c>
      <c r="F347" s="31">
        <f>F78+F95+F173+F197+F247+F287+F321+F345</f>
        <v>283952</v>
      </c>
      <c r="G347" s="97">
        <f>G78+G95+G173+G197+G247+G287+G321+G345</f>
        <v>53769</v>
      </c>
      <c r="H347" s="79"/>
    </row>
    <row r="348" spans="1:8" s="10" customFormat="1" x14ac:dyDescent="0.25">
      <c r="A348" s="22"/>
      <c r="B348" s="52"/>
      <c r="C348" s="81"/>
      <c r="D348" s="76"/>
      <c r="E348" s="79"/>
      <c r="F348" s="79"/>
      <c r="G348" s="107"/>
      <c r="H348" s="79"/>
    </row>
    <row r="349" spans="1:8" s="10" customFormat="1" x14ac:dyDescent="0.25">
      <c r="A349" s="22"/>
      <c r="B349" s="40" t="s">
        <v>76</v>
      </c>
      <c r="C349" s="63" t="s">
        <v>102</v>
      </c>
      <c r="D349" s="76"/>
      <c r="E349" s="79"/>
      <c r="F349" s="79"/>
      <c r="G349" s="107"/>
      <c r="H349" s="79"/>
    </row>
    <row r="350" spans="1:8" s="10" customFormat="1" x14ac:dyDescent="0.25">
      <c r="A350" s="22"/>
      <c r="B350" s="49"/>
      <c r="C350" s="63" t="s">
        <v>103</v>
      </c>
      <c r="D350" s="76"/>
      <c r="E350" s="79"/>
      <c r="F350" s="79"/>
      <c r="G350" s="107"/>
      <c r="H350" s="79"/>
    </row>
    <row r="351" spans="1:8" s="10" customFormat="1" x14ac:dyDescent="0.25">
      <c r="A351" s="22"/>
      <c r="B351" s="40"/>
      <c r="C351" s="24" t="s">
        <v>97</v>
      </c>
      <c r="D351" s="33"/>
      <c r="E351" s="28"/>
      <c r="F351" s="28"/>
      <c r="G351" s="98"/>
      <c r="H351" s="79"/>
    </row>
    <row r="352" spans="1:8" s="10" customFormat="1" x14ac:dyDescent="0.25">
      <c r="A352" s="22"/>
      <c r="B352" s="40"/>
      <c r="C352" s="24" t="s">
        <v>98</v>
      </c>
      <c r="D352" s="33">
        <v>20668</v>
      </c>
      <c r="E352" s="28">
        <v>20668</v>
      </c>
      <c r="F352" s="28"/>
      <c r="G352" s="98"/>
      <c r="H352" s="79"/>
    </row>
    <row r="353" spans="1:8" s="10" customFormat="1" x14ac:dyDescent="0.25">
      <c r="A353" s="22"/>
      <c r="B353" s="40"/>
      <c r="C353" s="24" t="s">
        <v>99</v>
      </c>
      <c r="D353" s="33"/>
      <c r="E353" s="28"/>
      <c r="F353" s="28"/>
      <c r="G353" s="98"/>
      <c r="H353" s="79"/>
    </row>
    <row r="354" spans="1:8" s="10" customFormat="1" x14ac:dyDescent="0.25">
      <c r="A354" s="22"/>
      <c r="B354" s="40"/>
      <c r="C354" s="80" t="s">
        <v>28</v>
      </c>
      <c r="D354" s="86">
        <f t="shared" ref="D354:G354" si="10">SUM(D351:D353)</f>
        <v>20668</v>
      </c>
      <c r="E354" s="48">
        <f t="shared" si="10"/>
        <v>20668</v>
      </c>
      <c r="F354" s="48">
        <f t="shared" si="10"/>
        <v>0</v>
      </c>
      <c r="G354" s="100">
        <f t="shared" si="10"/>
        <v>0</v>
      </c>
      <c r="H354" s="79"/>
    </row>
    <row r="355" spans="1:8" s="10" customFormat="1" x14ac:dyDescent="0.25">
      <c r="A355" s="22"/>
      <c r="B355" s="40"/>
      <c r="C355" s="80"/>
      <c r="D355" s="86"/>
      <c r="E355" s="48"/>
      <c r="F355" s="48"/>
      <c r="G355" s="100"/>
      <c r="H355" s="79"/>
    </row>
    <row r="356" spans="1:8" s="10" customFormat="1" x14ac:dyDescent="0.25">
      <c r="A356" s="22"/>
      <c r="B356" s="40"/>
      <c r="C356" s="24" t="s">
        <v>104</v>
      </c>
      <c r="D356" s="83">
        <v>41199</v>
      </c>
      <c r="E356" s="28">
        <v>41199</v>
      </c>
      <c r="F356" s="29"/>
      <c r="G356" s="30"/>
      <c r="H356" s="79"/>
    </row>
    <row r="357" spans="1:8" s="10" customFormat="1" x14ac:dyDescent="0.25">
      <c r="A357" s="22"/>
      <c r="B357" s="30"/>
      <c r="C357" s="63"/>
      <c r="D357" s="22"/>
      <c r="E357" s="29"/>
      <c r="F357" s="29"/>
      <c r="G357" s="30"/>
      <c r="H357" s="79"/>
    </row>
    <row r="358" spans="1:8" s="10" customFormat="1" ht="17.25" thickBot="1" x14ac:dyDescent="0.3">
      <c r="A358" s="45"/>
      <c r="B358" s="53"/>
      <c r="C358" s="82" t="s">
        <v>19</v>
      </c>
      <c r="D358" s="109">
        <f>SUM(D49,D60,D354,D347)+D356</f>
        <v>3996164</v>
      </c>
      <c r="E358" s="31">
        <f>SUM(E49,E60,E354,E347)+E356</f>
        <v>3658443</v>
      </c>
      <c r="F358" s="31">
        <f>SUM(F49,F60,F354,F347)+F356</f>
        <v>283952</v>
      </c>
      <c r="G358" s="113">
        <f>SUM(G49,G60,G354,G347)+G356</f>
        <v>53769</v>
      </c>
      <c r="H358" s="79"/>
    </row>
    <row r="359" spans="1:8" s="10" customFormat="1" x14ac:dyDescent="0.25">
      <c r="A359" s="54"/>
      <c r="B359" s="55"/>
      <c r="C359" s="29"/>
      <c r="E359" s="11"/>
      <c r="F359" s="11"/>
    </row>
    <row r="360" spans="1:8" s="10" customFormat="1" x14ac:dyDescent="0.25">
      <c r="A360" s="56"/>
      <c r="B360" s="29"/>
      <c r="C360" s="29"/>
    </row>
    <row r="361" spans="1:8" s="10" customFormat="1" x14ac:dyDescent="0.25">
      <c r="A361" s="56"/>
      <c r="B361" s="29"/>
      <c r="C361" s="29"/>
      <c r="D361" s="79"/>
    </row>
    <row r="362" spans="1:8" s="10" customFormat="1" x14ac:dyDescent="0.25">
      <c r="A362" s="56"/>
      <c r="B362" s="29"/>
      <c r="C362" s="29"/>
    </row>
    <row r="363" spans="1:8" s="10" customFormat="1" x14ac:dyDescent="0.25">
      <c r="A363" s="56"/>
      <c r="B363" s="29"/>
      <c r="C363" s="29"/>
    </row>
    <row r="364" spans="1:8" s="10" customFormat="1" x14ac:dyDescent="0.25">
      <c r="A364" s="56"/>
      <c r="B364" s="29"/>
      <c r="C364" s="29"/>
    </row>
    <row r="365" spans="1:8" s="10" customFormat="1" x14ac:dyDescent="0.25">
      <c r="A365" s="56"/>
      <c r="B365" s="29"/>
      <c r="C365" s="29"/>
    </row>
    <row r="366" spans="1:8" s="10" customFormat="1" x14ac:dyDescent="0.25">
      <c r="A366" s="56"/>
      <c r="B366" s="29"/>
      <c r="C366" s="29"/>
    </row>
    <row r="367" spans="1:8" s="10" customFormat="1" x14ac:dyDescent="0.25">
      <c r="A367" s="56"/>
      <c r="B367" s="29"/>
      <c r="C367" s="29"/>
    </row>
    <row r="368" spans="1:8" s="10" customFormat="1" x14ac:dyDescent="0.25">
      <c r="A368" s="56"/>
      <c r="B368" s="29"/>
      <c r="C368" s="29"/>
    </row>
    <row r="369" spans="1:3" s="10" customFormat="1" x14ac:dyDescent="0.25">
      <c r="A369" s="56"/>
      <c r="B369" s="29"/>
      <c r="C369" s="29"/>
    </row>
    <row r="370" spans="1:3" s="10" customFormat="1" x14ac:dyDescent="0.25">
      <c r="A370" s="56"/>
      <c r="B370" s="29"/>
      <c r="C370" s="29"/>
    </row>
    <row r="371" spans="1:3" s="10" customFormat="1" x14ac:dyDescent="0.25">
      <c r="A371" s="56"/>
      <c r="B371" s="29"/>
      <c r="C371" s="29"/>
    </row>
    <row r="372" spans="1:3" s="10" customFormat="1" x14ac:dyDescent="0.25">
      <c r="A372" s="56"/>
      <c r="B372" s="29"/>
      <c r="C372" s="29"/>
    </row>
    <row r="373" spans="1:3" s="10" customFormat="1" x14ac:dyDescent="0.25">
      <c r="A373" s="56"/>
      <c r="B373" s="29"/>
      <c r="C373" s="29"/>
    </row>
    <row r="374" spans="1:3" s="10" customFormat="1" x14ac:dyDescent="0.25">
      <c r="A374" s="56"/>
      <c r="B374" s="29"/>
      <c r="C374" s="29"/>
    </row>
    <row r="375" spans="1:3" s="10" customFormat="1" x14ac:dyDescent="0.25">
      <c r="A375" s="56"/>
      <c r="B375" s="29"/>
      <c r="C375" s="29"/>
    </row>
    <row r="376" spans="1:3" s="10" customFormat="1" x14ac:dyDescent="0.25">
      <c r="A376" s="56"/>
      <c r="B376" s="29"/>
      <c r="C376" s="29"/>
    </row>
    <row r="377" spans="1:3" s="10" customFormat="1" x14ac:dyDescent="0.25">
      <c r="A377" s="56"/>
      <c r="B377" s="29"/>
      <c r="C377" s="29"/>
    </row>
    <row r="378" spans="1:3" s="10" customFormat="1" x14ac:dyDescent="0.25">
      <c r="A378" s="56"/>
      <c r="B378" s="29"/>
      <c r="C378" s="29"/>
    </row>
    <row r="379" spans="1:3" s="10" customFormat="1" x14ac:dyDescent="0.25">
      <c r="A379" s="56"/>
      <c r="B379" s="29"/>
      <c r="C379" s="29"/>
    </row>
    <row r="380" spans="1:3" s="10" customFormat="1" x14ac:dyDescent="0.25">
      <c r="A380" s="56"/>
      <c r="B380" s="29"/>
      <c r="C380" s="29"/>
    </row>
    <row r="381" spans="1:3" s="10" customFormat="1" x14ac:dyDescent="0.25">
      <c r="A381" s="56"/>
      <c r="B381" s="29"/>
      <c r="C381" s="29"/>
    </row>
    <row r="382" spans="1:3" s="10" customFormat="1" x14ac:dyDescent="0.25">
      <c r="A382" s="56"/>
      <c r="B382" s="29"/>
      <c r="C382" s="29"/>
    </row>
    <row r="383" spans="1:3" s="10" customFormat="1" x14ac:dyDescent="0.25">
      <c r="A383" s="56"/>
      <c r="B383" s="29"/>
      <c r="C383" s="29"/>
    </row>
    <row r="384" spans="1:3" s="10" customFormat="1" x14ac:dyDescent="0.25">
      <c r="A384" s="56"/>
      <c r="B384" s="29"/>
      <c r="C384" s="29"/>
    </row>
    <row r="385" spans="1:3" s="10" customFormat="1" x14ac:dyDescent="0.25">
      <c r="A385" s="56"/>
      <c r="B385" s="29"/>
      <c r="C385" s="29"/>
    </row>
    <row r="386" spans="1:3" s="10" customFormat="1" x14ac:dyDescent="0.25">
      <c r="A386" s="56"/>
      <c r="B386" s="29"/>
      <c r="C386" s="29"/>
    </row>
    <row r="387" spans="1:3" s="10" customFormat="1" x14ac:dyDescent="0.25">
      <c r="A387" s="56"/>
      <c r="B387" s="29"/>
      <c r="C387" s="29"/>
    </row>
    <row r="388" spans="1:3" s="10" customFormat="1" x14ac:dyDescent="0.25">
      <c r="A388" s="56"/>
      <c r="B388" s="29"/>
      <c r="C388" s="29"/>
    </row>
    <row r="389" spans="1:3" s="10" customFormat="1" x14ac:dyDescent="0.25">
      <c r="A389" s="56"/>
      <c r="B389" s="29"/>
      <c r="C389" s="29"/>
    </row>
    <row r="390" spans="1:3" s="10" customFormat="1" x14ac:dyDescent="0.25">
      <c r="A390" s="56"/>
      <c r="B390" s="29"/>
      <c r="C390" s="29"/>
    </row>
    <row r="391" spans="1:3" s="10" customFormat="1" x14ac:dyDescent="0.25">
      <c r="A391" s="56"/>
      <c r="B391" s="29"/>
      <c r="C391" s="29"/>
    </row>
    <row r="392" spans="1:3" s="10" customFormat="1" x14ac:dyDescent="0.25">
      <c r="A392" s="56"/>
      <c r="B392" s="29"/>
      <c r="C392" s="29"/>
    </row>
    <row r="393" spans="1:3" s="10" customFormat="1" x14ac:dyDescent="0.25">
      <c r="A393" s="56"/>
      <c r="B393" s="29"/>
      <c r="C393" s="29"/>
    </row>
    <row r="394" spans="1:3" s="10" customFormat="1" x14ac:dyDescent="0.25">
      <c r="A394" s="56"/>
      <c r="B394" s="29"/>
      <c r="C394" s="29"/>
    </row>
    <row r="395" spans="1:3" s="10" customFormat="1" x14ac:dyDescent="0.25">
      <c r="A395" s="56"/>
      <c r="B395" s="29"/>
      <c r="C395" s="29"/>
    </row>
    <row r="396" spans="1:3" s="10" customFormat="1" x14ac:dyDescent="0.25">
      <c r="A396" s="56"/>
      <c r="B396" s="29"/>
      <c r="C396" s="29"/>
    </row>
    <row r="397" spans="1:3" s="10" customFormat="1" x14ac:dyDescent="0.25">
      <c r="A397" s="56"/>
      <c r="B397" s="29"/>
      <c r="C397" s="29"/>
    </row>
    <row r="398" spans="1:3" s="10" customFormat="1" x14ac:dyDescent="0.25">
      <c r="A398" s="56"/>
      <c r="B398" s="29"/>
      <c r="C398" s="29"/>
    </row>
    <row r="399" spans="1:3" s="10" customFormat="1" x14ac:dyDescent="0.25">
      <c r="A399" s="56"/>
      <c r="B399" s="29"/>
      <c r="C399" s="29"/>
    </row>
    <row r="400" spans="1:3" s="10" customFormat="1" x14ac:dyDescent="0.25">
      <c r="A400" s="56"/>
      <c r="B400" s="29"/>
      <c r="C400" s="29"/>
    </row>
    <row r="401" spans="1:3" s="10" customFormat="1" x14ac:dyDescent="0.25">
      <c r="A401" s="56"/>
      <c r="B401" s="29"/>
      <c r="C401" s="29"/>
    </row>
  </sheetData>
  <mergeCells count="1">
    <mergeCell ref="D5:G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85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zoomScaleNormal="100" zoomScaleSheetLayoutView="100" workbookViewId="0">
      <selection sqref="A1:J1"/>
    </sheetView>
  </sheetViews>
  <sheetFormatPr defaultColWidth="9.140625" defaultRowHeight="16.5" x14ac:dyDescent="0.25"/>
  <cols>
    <col min="1" max="1" width="16.5703125" style="628" customWidth="1"/>
    <col min="2" max="4" width="12.140625" style="622" customWidth="1"/>
    <col min="5" max="7" width="12.140625" style="1" customWidth="1"/>
    <col min="8" max="9" width="12.140625" style="15" customWidth="1"/>
    <col min="10" max="10" width="12.140625" style="1" customWidth="1"/>
    <col min="11" max="16384" width="9.140625" style="1"/>
  </cols>
  <sheetData>
    <row r="1" spans="1:10" x14ac:dyDescent="0.25">
      <c r="A1" s="642" t="s">
        <v>1112</v>
      </c>
      <c r="B1" s="642"/>
      <c r="C1" s="642"/>
      <c r="D1" s="642"/>
      <c r="E1" s="642"/>
      <c r="F1" s="642"/>
      <c r="G1" s="642"/>
      <c r="H1" s="642"/>
      <c r="I1" s="642"/>
      <c r="J1" s="642"/>
    </row>
    <row r="2" spans="1:10" x14ac:dyDescent="0.25">
      <c r="A2" s="625"/>
      <c r="B2" s="625"/>
      <c r="C2" s="625"/>
      <c r="D2" s="625"/>
      <c r="E2" s="75"/>
      <c r="F2" s="75"/>
    </row>
    <row r="3" spans="1:10" x14ac:dyDescent="0.25">
      <c r="A3" s="643"/>
      <c r="B3" s="644"/>
      <c r="C3" s="644"/>
      <c r="D3" s="644"/>
      <c r="E3" s="644"/>
      <c r="F3" s="644"/>
      <c r="G3" s="644"/>
      <c r="H3" s="645"/>
      <c r="I3" s="257"/>
    </row>
    <row r="4" spans="1:10" x14ac:dyDescent="0.25">
      <c r="A4" s="646" t="s">
        <v>54</v>
      </c>
      <c r="B4" s="646"/>
      <c r="C4" s="646"/>
      <c r="D4" s="646"/>
      <c r="E4" s="646"/>
      <c r="F4" s="646"/>
      <c r="G4" s="646"/>
      <c r="H4" s="645"/>
      <c r="I4" s="257"/>
    </row>
    <row r="5" spans="1:10" s="2" customFormat="1" ht="19.5" x14ac:dyDescent="0.3">
      <c r="A5" s="646" t="s">
        <v>318</v>
      </c>
      <c r="B5" s="646"/>
      <c r="C5" s="646"/>
      <c r="D5" s="646"/>
      <c r="E5" s="646"/>
      <c r="F5" s="646"/>
      <c r="G5" s="646"/>
      <c r="H5" s="645"/>
      <c r="I5" s="257"/>
    </row>
    <row r="6" spans="1:10" s="2" customFormat="1" ht="19.5" x14ac:dyDescent="0.3">
      <c r="A6" s="626"/>
      <c r="B6" s="627"/>
      <c r="C6" s="627"/>
      <c r="D6" s="627"/>
      <c r="E6" s="5"/>
      <c r="F6" s="5"/>
      <c r="G6" s="5"/>
      <c r="H6" s="6"/>
      <c r="I6" s="6"/>
      <c r="J6" s="108"/>
    </row>
    <row r="7" spans="1:10" s="13" customFormat="1" ht="38.25" customHeight="1" x14ac:dyDescent="0.2">
      <c r="A7" s="122"/>
      <c r="B7" s="256" t="s">
        <v>26</v>
      </c>
      <c r="C7" s="256" t="s">
        <v>95</v>
      </c>
      <c r="D7" s="256" t="s">
        <v>31</v>
      </c>
      <c r="E7" s="256" t="s">
        <v>56</v>
      </c>
      <c r="F7" s="256" t="s">
        <v>57</v>
      </c>
      <c r="G7" s="256" t="s">
        <v>58</v>
      </c>
      <c r="H7" s="256" t="s">
        <v>24</v>
      </c>
      <c r="I7" s="256" t="s">
        <v>59</v>
      </c>
      <c r="J7" s="293" t="s">
        <v>27</v>
      </c>
    </row>
    <row r="8" spans="1:10" s="13" customFormat="1" ht="33.75" customHeight="1" x14ac:dyDescent="0.2">
      <c r="A8" s="122"/>
      <c r="B8" s="14" t="s">
        <v>52</v>
      </c>
      <c r="C8" s="14" t="s">
        <v>52</v>
      </c>
      <c r="D8" s="14" t="s">
        <v>52</v>
      </c>
      <c r="E8" s="14" t="s">
        <v>52</v>
      </c>
      <c r="F8" s="14" t="s">
        <v>52</v>
      </c>
      <c r="G8" s="14" t="s">
        <v>52</v>
      </c>
      <c r="H8" s="14" t="s">
        <v>52</v>
      </c>
      <c r="I8" s="14" t="s">
        <v>52</v>
      </c>
      <c r="J8" s="14" t="s">
        <v>52</v>
      </c>
    </row>
    <row r="9" spans="1:10" ht="23.25" customHeight="1" x14ac:dyDescent="0.25">
      <c r="A9" s="16" t="s">
        <v>48</v>
      </c>
      <c r="B9" s="3">
        <v>273006</v>
      </c>
      <c r="C9" s="3">
        <v>54233</v>
      </c>
      <c r="D9" s="3">
        <v>76300</v>
      </c>
      <c r="E9" s="3">
        <v>0</v>
      </c>
      <c r="F9" s="3">
        <v>0</v>
      </c>
      <c r="G9" s="3">
        <v>8000</v>
      </c>
      <c r="H9" s="3">
        <v>0</v>
      </c>
      <c r="I9" s="3">
        <v>0</v>
      </c>
      <c r="J9" s="3">
        <f>B9+C9+D9+E9+F9+G9+H9+I9</f>
        <v>411539</v>
      </c>
    </row>
    <row r="10" spans="1:10" s="622" customFormat="1" ht="26.25" x14ac:dyDescent="0.25">
      <c r="A10" s="16" t="s">
        <v>94</v>
      </c>
      <c r="B10" s="3">
        <v>24500</v>
      </c>
      <c r="C10" s="3">
        <v>4650</v>
      </c>
      <c r="D10" s="3">
        <v>3700</v>
      </c>
      <c r="E10" s="3">
        <v>0</v>
      </c>
      <c r="F10" s="3">
        <v>0</v>
      </c>
      <c r="G10" s="3">
        <v>650</v>
      </c>
      <c r="H10" s="3">
        <v>0</v>
      </c>
      <c r="I10" s="3">
        <v>0</v>
      </c>
      <c r="J10" s="3">
        <f>B10+C10+D10+E10+F10+G10+H10+I10</f>
        <v>33500</v>
      </c>
    </row>
    <row r="11" spans="1:10" s="17" customFormat="1" ht="24.75" customHeight="1" x14ac:dyDescent="0.25">
      <c r="A11" s="110" t="s">
        <v>28</v>
      </c>
      <c r="B11" s="4">
        <f t="shared" ref="B11:J11" si="0">B9+B10</f>
        <v>297506</v>
      </c>
      <c r="C11" s="4">
        <f t="shared" si="0"/>
        <v>58883</v>
      </c>
      <c r="D11" s="4">
        <f t="shared" si="0"/>
        <v>80000</v>
      </c>
      <c r="E11" s="4">
        <f t="shared" si="0"/>
        <v>0</v>
      </c>
      <c r="F11" s="4">
        <f t="shared" si="0"/>
        <v>0</v>
      </c>
      <c r="G11" s="4">
        <f t="shared" si="0"/>
        <v>8650</v>
      </c>
      <c r="H11" s="4">
        <f t="shared" si="0"/>
        <v>0</v>
      </c>
      <c r="I11" s="4">
        <f t="shared" si="0"/>
        <v>0</v>
      </c>
      <c r="J11" s="4">
        <f t="shared" si="0"/>
        <v>445039</v>
      </c>
    </row>
  </sheetData>
  <mergeCells count="4">
    <mergeCell ref="A1:J1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activeCell="F2" sqref="F2"/>
    </sheetView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51"/>
      <c r="C1" s="151"/>
      <c r="D1" s="151"/>
      <c r="E1" s="151"/>
      <c r="F1" s="322" t="s">
        <v>1113</v>
      </c>
    </row>
    <row r="2" spans="1:6" ht="15" x14ac:dyDescent="0.2">
      <c r="A2" s="447"/>
      <c r="B2" s="447"/>
      <c r="C2" s="447"/>
      <c r="D2" s="447"/>
      <c r="E2" s="447"/>
      <c r="F2" s="123"/>
    </row>
    <row r="3" spans="1:6" ht="16.5" x14ac:dyDescent="0.25">
      <c r="A3" s="647" t="s">
        <v>493</v>
      </c>
      <c r="B3" s="647"/>
      <c r="C3" s="647"/>
      <c r="D3" s="647"/>
      <c r="E3" s="647"/>
      <c r="F3" s="647"/>
    </row>
    <row r="4" spans="1:6" ht="16.5" x14ac:dyDescent="0.25">
      <c r="A4" s="647" t="s">
        <v>504</v>
      </c>
      <c r="B4" s="647"/>
      <c r="C4" s="647"/>
      <c r="D4" s="647"/>
      <c r="E4" s="647"/>
      <c r="F4" s="647"/>
    </row>
    <row r="5" spans="1:6" ht="16.5" x14ac:dyDescent="0.25">
      <c r="A5" s="648" t="s">
        <v>494</v>
      </c>
      <c r="B5" s="649" t="s">
        <v>495</v>
      </c>
      <c r="C5" s="649"/>
      <c r="D5" s="649"/>
      <c r="E5" s="649"/>
      <c r="F5" s="649"/>
    </row>
    <row r="6" spans="1:6" ht="66" x14ac:dyDescent="0.2">
      <c r="A6" s="648"/>
      <c r="B6" s="448" t="s">
        <v>496</v>
      </c>
      <c r="C6" s="448" t="s">
        <v>497</v>
      </c>
      <c r="D6" s="448" t="s">
        <v>498</v>
      </c>
      <c r="E6" s="449" t="s">
        <v>499</v>
      </c>
      <c r="F6" s="449" t="s">
        <v>253</v>
      </c>
    </row>
    <row r="7" spans="1:6" ht="16.5" x14ac:dyDescent="0.25">
      <c r="A7" s="450"/>
      <c r="B7" s="450"/>
      <c r="C7" s="450"/>
      <c r="D7" s="451"/>
      <c r="E7" s="452"/>
      <c r="F7" s="452"/>
    </row>
    <row r="8" spans="1:6" ht="16.5" x14ac:dyDescent="0.25">
      <c r="A8" s="450" t="s">
        <v>203</v>
      </c>
      <c r="B8" s="450"/>
      <c r="C8" s="450"/>
      <c r="D8" s="450"/>
      <c r="E8" s="452"/>
      <c r="F8" s="452"/>
    </row>
    <row r="9" spans="1:6" ht="16.5" x14ac:dyDescent="0.25">
      <c r="A9" s="450" t="s">
        <v>500</v>
      </c>
      <c r="B9" s="450">
        <v>14</v>
      </c>
      <c r="C9" s="450">
        <v>0</v>
      </c>
      <c r="D9" s="450">
        <v>3</v>
      </c>
      <c r="E9" s="452">
        <v>0</v>
      </c>
      <c r="F9" s="452">
        <f t="shared" ref="F9:F16" si="0">SUM(B9:E9)</f>
        <v>17</v>
      </c>
    </row>
    <row r="10" spans="1:6" ht="16.5" x14ac:dyDescent="0.25">
      <c r="A10" s="450" t="s">
        <v>501</v>
      </c>
      <c r="B10" s="450">
        <v>32</v>
      </c>
      <c r="C10" s="450">
        <v>23</v>
      </c>
      <c r="D10" s="450">
        <v>0</v>
      </c>
      <c r="E10" s="452">
        <v>3</v>
      </c>
      <c r="F10" s="452">
        <f>SUM(B10:E10)</f>
        <v>58</v>
      </c>
    </row>
    <row r="11" spans="1:6" ht="16.5" x14ac:dyDescent="0.25">
      <c r="A11" s="450" t="s">
        <v>53</v>
      </c>
      <c r="B11" s="450">
        <v>23</v>
      </c>
      <c r="C11" s="450">
        <v>0</v>
      </c>
      <c r="D11" s="450">
        <v>39</v>
      </c>
      <c r="E11" s="452">
        <v>2</v>
      </c>
      <c r="F11" s="452">
        <f>SUM(B11:E11)</f>
        <v>64</v>
      </c>
    </row>
    <row r="12" spans="1:6" ht="16.5" x14ac:dyDescent="0.25">
      <c r="A12" s="450" t="s">
        <v>484</v>
      </c>
      <c r="B12" s="450">
        <v>6</v>
      </c>
      <c r="C12" s="450">
        <v>0</v>
      </c>
      <c r="D12" s="450">
        <v>2</v>
      </c>
      <c r="E12" s="452">
        <v>0</v>
      </c>
      <c r="F12" s="452">
        <f t="shared" si="0"/>
        <v>8</v>
      </c>
    </row>
    <row r="13" spans="1:6" ht="16.5" x14ac:dyDescent="0.25">
      <c r="A13" s="450" t="s">
        <v>54</v>
      </c>
      <c r="B13" s="450"/>
      <c r="C13" s="450"/>
      <c r="D13" s="450"/>
      <c r="E13" s="452"/>
      <c r="F13" s="452"/>
    </row>
    <row r="14" spans="1:6" ht="16.5" x14ac:dyDescent="0.25">
      <c r="A14" s="450" t="s">
        <v>502</v>
      </c>
      <c r="B14" s="450">
        <v>67</v>
      </c>
      <c r="C14" s="450">
        <v>0</v>
      </c>
      <c r="D14" s="450">
        <v>4</v>
      </c>
      <c r="E14" s="452">
        <v>5</v>
      </c>
      <c r="F14" s="452">
        <f t="shared" si="0"/>
        <v>76</v>
      </c>
    </row>
    <row r="15" spans="1:6" ht="16.5" x14ac:dyDescent="0.25">
      <c r="A15" s="450" t="s">
        <v>503</v>
      </c>
      <c r="B15" s="450">
        <v>7</v>
      </c>
      <c r="C15" s="450">
        <v>0</v>
      </c>
      <c r="D15" s="450">
        <v>0</v>
      </c>
      <c r="E15" s="452">
        <v>0</v>
      </c>
      <c r="F15" s="452">
        <f t="shared" si="0"/>
        <v>7</v>
      </c>
    </row>
    <row r="16" spans="1:6" ht="16.5" x14ac:dyDescent="0.25">
      <c r="A16" s="450" t="s">
        <v>36</v>
      </c>
      <c r="B16" s="450">
        <v>6</v>
      </c>
      <c r="C16" s="450">
        <v>0</v>
      </c>
      <c r="D16" s="450">
        <v>15</v>
      </c>
      <c r="E16" s="452">
        <v>0</v>
      </c>
      <c r="F16" s="452">
        <f t="shared" si="0"/>
        <v>21</v>
      </c>
    </row>
    <row r="17" spans="1:6" ht="16.5" x14ac:dyDescent="0.25">
      <c r="A17" s="450"/>
      <c r="B17" s="450"/>
      <c r="C17" s="450"/>
      <c r="D17" s="450"/>
      <c r="E17" s="452"/>
      <c r="F17" s="452"/>
    </row>
    <row r="18" spans="1:6" ht="16.5" x14ac:dyDescent="0.25">
      <c r="A18" s="453" t="s">
        <v>28</v>
      </c>
      <c r="B18" s="454">
        <f>B9+B10+B11+B12+B14+B15+B16</f>
        <v>155</v>
      </c>
      <c r="C18" s="454">
        <f>C9+C10+C11+C12+C14+C15+C16</f>
        <v>23</v>
      </c>
      <c r="D18" s="454">
        <f>D9+D10+D11+D12+D14+D15+D16</f>
        <v>63</v>
      </c>
      <c r="E18" s="454">
        <f>E9+E10+E11+E12+E14+E15+E16</f>
        <v>10</v>
      </c>
      <c r="F18" s="454">
        <f>F9+F10+F11+F12+F14+F15+F16</f>
        <v>251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view="pageBreakPreview" zoomScale="110" zoomScaleNormal="100" zoomScaleSheetLayoutView="110" workbookViewId="0">
      <selection activeCell="I1" sqref="I1"/>
    </sheetView>
  </sheetViews>
  <sheetFormatPr defaultRowHeight="12.75" x14ac:dyDescent="0.2"/>
  <cols>
    <col min="1" max="1" width="40" style="138" customWidth="1"/>
    <col min="2" max="2" width="10.42578125" style="138" customWidth="1"/>
    <col min="3" max="4" width="10.42578125" style="123" customWidth="1"/>
    <col min="5" max="5" width="4.7109375" style="138" customWidth="1"/>
    <col min="6" max="6" width="32.42578125" style="138" customWidth="1"/>
    <col min="7" max="7" width="10.42578125" style="138" customWidth="1"/>
    <col min="8" max="8" width="10.7109375" style="123" bestFit="1" customWidth="1"/>
    <col min="9" max="249" width="9.140625" style="138"/>
    <col min="250" max="250" width="40" style="138" customWidth="1"/>
    <col min="251" max="251" width="12" style="138" customWidth="1"/>
    <col min="252" max="254" width="10.42578125" style="138" customWidth="1"/>
    <col min="255" max="255" width="11" style="138" customWidth="1"/>
    <col min="256" max="256" width="4.7109375" style="138" customWidth="1"/>
    <col min="257" max="257" width="32.42578125" style="138" customWidth="1"/>
    <col min="258" max="258" width="12" style="138" customWidth="1"/>
    <col min="259" max="261" width="13.5703125" style="138" customWidth="1"/>
    <col min="262" max="262" width="11" style="138" customWidth="1"/>
    <col min="263" max="505" width="9.140625" style="138"/>
    <col min="506" max="506" width="40" style="138" customWidth="1"/>
    <col min="507" max="507" width="12" style="138" customWidth="1"/>
    <col min="508" max="510" width="10.42578125" style="138" customWidth="1"/>
    <col min="511" max="511" width="11" style="138" customWidth="1"/>
    <col min="512" max="512" width="4.7109375" style="138" customWidth="1"/>
    <col min="513" max="513" width="32.42578125" style="138" customWidth="1"/>
    <col min="514" max="514" width="12" style="138" customWidth="1"/>
    <col min="515" max="517" width="13.5703125" style="138" customWidth="1"/>
    <col min="518" max="518" width="11" style="138" customWidth="1"/>
    <col min="519" max="761" width="9.140625" style="138"/>
    <col min="762" max="762" width="40" style="138" customWidth="1"/>
    <col min="763" max="763" width="12" style="138" customWidth="1"/>
    <col min="764" max="766" width="10.42578125" style="138" customWidth="1"/>
    <col min="767" max="767" width="11" style="138" customWidth="1"/>
    <col min="768" max="768" width="4.7109375" style="138" customWidth="1"/>
    <col min="769" max="769" width="32.42578125" style="138" customWidth="1"/>
    <col min="770" max="770" width="12" style="138" customWidth="1"/>
    <col min="771" max="773" width="13.5703125" style="138" customWidth="1"/>
    <col min="774" max="774" width="11" style="138" customWidth="1"/>
    <col min="775" max="1017" width="9.140625" style="138"/>
    <col min="1018" max="1018" width="40" style="138" customWidth="1"/>
    <col min="1019" max="1019" width="12" style="138" customWidth="1"/>
    <col min="1020" max="1022" width="10.42578125" style="138" customWidth="1"/>
    <col min="1023" max="1023" width="11" style="138" customWidth="1"/>
    <col min="1024" max="1024" width="4.7109375" style="138" customWidth="1"/>
    <col min="1025" max="1025" width="32.42578125" style="138" customWidth="1"/>
    <col min="1026" max="1026" width="12" style="138" customWidth="1"/>
    <col min="1027" max="1029" width="13.5703125" style="138" customWidth="1"/>
    <col min="1030" max="1030" width="11" style="138" customWidth="1"/>
    <col min="1031" max="1273" width="9.140625" style="138"/>
    <col min="1274" max="1274" width="40" style="138" customWidth="1"/>
    <col min="1275" max="1275" width="12" style="138" customWidth="1"/>
    <col min="1276" max="1278" width="10.42578125" style="138" customWidth="1"/>
    <col min="1279" max="1279" width="11" style="138" customWidth="1"/>
    <col min="1280" max="1280" width="4.7109375" style="138" customWidth="1"/>
    <col min="1281" max="1281" width="32.42578125" style="138" customWidth="1"/>
    <col min="1282" max="1282" width="12" style="138" customWidth="1"/>
    <col min="1283" max="1285" width="13.5703125" style="138" customWidth="1"/>
    <col min="1286" max="1286" width="11" style="138" customWidth="1"/>
    <col min="1287" max="1529" width="9.140625" style="138"/>
    <col min="1530" max="1530" width="40" style="138" customWidth="1"/>
    <col min="1531" max="1531" width="12" style="138" customWidth="1"/>
    <col min="1532" max="1534" width="10.42578125" style="138" customWidth="1"/>
    <col min="1535" max="1535" width="11" style="138" customWidth="1"/>
    <col min="1536" max="1536" width="4.7109375" style="138" customWidth="1"/>
    <col min="1537" max="1537" width="32.42578125" style="138" customWidth="1"/>
    <col min="1538" max="1538" width="12" style="138" customWidth="1"/>
    <col min="1539" max="1541" width="13.5703125" style="138" customWidth="1"/>
    <col min="1542" max="1542" width="11" style="138" customWidth="1"/>
    <col min="1543" max="1785" width="9.140625" style="138"/>
    <col min="1786" max="1786" width="40" style="138" customWidth="1"/>
    <col min="1787" max="1787" width="12" style="138" customWidth="1"/>
    <col min="1788" max="1790" width="10.42578125" style="138" customWidth="1"/>
    <col min="1791" max="1791" width="11" style="138" customWidth="1"/>
    <col min="1792" max="1792" width="4.7109375" style="138" customWidth="1"/>
    <col min="1793" max="1793" width="32.42578125" style="138" customWidth="1"/>
    <col min="1794" max="1794" width="12" style="138" customWidth="1"/>
    <col min="1795" max="1797" width="13.5703125" style="138" customWidth="1"/>
    <col min="1798" max="1798" width="11" style="138" customWidth="1"/>
    <col min="1799" max="2041" width="9.140625" style="138"/>
    <col min="2042" max="2042" width="40" style="138" customWidth="1"/>
    <col min="2043" max="2043" width="12" style="138" customWidth="1"/>
    <col min="2044" max="2046" width="10.42578125" style="138" customWidth="1"/>
    <col min="2047" max="2047" width="11" style="138" customWidth="1"/>
    <col min="2048" max="2048" width="4.7109375" style="138" customWidth="1"/>
    <col min="2049" max="2049" width="32.42578125" style="138" customWidth="1"/>
    <col min="2050" max="2050" width="12" style="138" customWidth="1"/>
    <col min="2051" max="2053" width="13.5703125" style="138" customWidth="1"/>
    <col min="2054" max="2054" width="11" style="138" customWidth="1"/>
    <col min="2055" max="2297" width="9.140625" style="138"/>
    <col min="2298" max="2298" width="40" style="138" customWidth="1"/>
    <col min="2299" max="2299" width="12" style="138" customWidth="1"/>
    <col min="2300" max="2302" width="10.42578125" style="138" customWidth="1"/>
    <col min="2303" max="2303" width="11" style="138" customWidth="1"/>
    <col min="2304" max="2304" width="4.7109375" style="138" customWidth="1"/>
    <col min="2305" max="2305" width="32.42578125" style="138" customWidth="1"/>
    <col min="2306" max="2306" width="12" style="138" customWidth="1"/>
    <col min="2307" max="2309" width="13.5703125" style="138" customWidth="1"/>
    <col min="2310" max="2310" width="11" style="138" customWidth="1"/>
    <col min="2311" max="2553" width="9.140625" style="138"/>
    <col min="2554" max="2554" width="40" style="138" customWidth="1"/>
    <col min="2555" max="2555" width="12" style="138" customWidth="1"/>
    <col min="2556" max="2558" width="10.42578125" style="138" customWidth="1"/>
    <col min="2559" max="2559" width="11" style="138" customWidth="1"/>
    <col min="2560" max="2560" width="4.7109375" style="138" customWidth="1"/>
    <col min="2561" max="2561" width="32.42578125" style="138" customWidth="1"/>
    <col min="2562" max="2562" width="12" style="138" customWidth="1"/>
    <col min="2563" max="2565" width="13.5703125" style="138" customWidth="1"/>
    <col min="2566" max="2566" width="11" style="138" customWidth="1"/>
    <col min="2567" max="2809" width="9.140625" style="138"/>
    <col min="2810" max="2810" width="40" style="138" customWidth="1"/>
    <col min="2811" max="2811" width="12" style="138" customWidth="1"/>
    <col min="2812" max="2814" width="10.42578125" style="138" customWidth="1"/>
    <col min="2815" max="2815" width="11" style="138" customWidth="1"/>
    <col min="2816" max="2816" width="4.7109375" style="138" customWidth="1"/>
    <col min="2817" max="2817" width="32.42578125" style="138" customWidth="1"/>
    <col min="2818" max="2818" width="12" style="138" customWidth="1"/>
    <col min="2819" max="2821" width="13.5703125" style="138" customWidth="1"/>
    <col min="2822" max="2822" width="11" style="138" customWidth="1"/>
    <col min="2823" max="3065" width="9.140625" style="138"/>
    <col min="3066" max="3066" width="40" style="138" customWidth="1"/>
    <col min="3067" max="3067" width="12" style="138" customWidth="1"/>
    <col min="3068" max="3070" width="10.42578125" style="138" customWidth="1"/>
    <col min="3071" max="3071" width="11" style="138" customWidth="1"/>
    <col min="3072" max="3072" width="4.7109375" style="138" customWidth="1"/>
    <col min="3073" max="3073" width="32.42578125" style="138" customWidth="1"/>
    <col min="3074" max="3074" width="12" style="138" customWidth="1"/>
    <col min="3075" max="3077" width="13.5703125" style="138" customWidth="1"/>
    <col min="3078" max="3078" width="11" style="138" customWidth="1"/>
    <col min="3079" max="3321" width="9.140625" style="138"/>
    <col min="3322" max="3322" width="40" style="138" customWidth="1"/>
    <col min="3323" max="3323" width="12" style="138" customWidth="1"/>
    <col min="3324" max="3326" width="10.42578125" style="138" customWidth="1"/>
    <col min="3327" max="3327" width="11" style="138" customWidth="1"/>
    <col min="3328" max="3328" width="4.7109375" style="138" customWidth="1"/>
    <col min="3329" max="3329" width="32.42578125" style="138" customWidth="1"/>
    <col min="3330" max="3330" width="12" style="138" customWidth="1"/>
    <col min="3331" max="3333" width="13.5703125" style="138" customWidth="1"/>
    <col min="3334" max="3334" width="11" style="138" customWidth="1"/>
    <col min="3335" max="3577" width="9.140625" style="138"/>
    <col min="3578" max="3578" width="40" style="138" customWidth="1"/>
    <col min="3579" max="3579" width="12" style="138" customWidth="1"/>
    <col min="3580" max="3582" width="10.42578125" style="138" customWidth="1"/>
    <col min="3583" max="3583" width="11" style="138" customWidth="1"/>
    <col min="3584" max="3584" width="4.7109375" style="138" customWidth="1"/>
    <col min="3585" max="3585" width="32.42578125" style="138" customWidth="1"/>
    <col min="3586" max="3586" width="12" style="138" customWidth="1"/>
    <col min="3587" max="3589" width="13.5703125" style="138" customWidth="1"/>
    <col min="3590" max="3590" width="11" style="138" customWidth="1"/>
    <col min="3591" max="3833" width="9.140625" style="138"/>
    <col min="3834" max="3834" width="40" style="138" customWidth="1"/>
    <col min="3835" max="3835" width="12" style="138" customWidth="1"/>
    <col min="3836" max="3838" width="10.42578125" style="138" customWidth="1"/>
    <col min="3839" max="3839" width="11" style="138" customWidth="1"/>
    <col min="3840" max="3840" width="4.7109375" style="138" customWidth="1"/>
    <col min="3841" max="3841" width="32.42578125" style="138" customWidth="1"/>
    <col min="3842" max="3842" width="12" style="138" customWidth="1"/>
    <col min="3843" max="3845" width="13.5703125" style="138" customWidth="1"/>
    <col min="3846" max="3846" width="11" style="138" customWidth="1"/>
    <col min="3847" max="4089" width="9.140625" style="138"/>
    <col min="4090" max="4090" width="40" style="138" customWidth="1"/>
    <col min="4091" max="4091" width="12" style="138" customWidth="1"/>
    <col min="4092" max="4094" width="10.42578125" style="138" customWidth="1"/>
    <col min="4095" max="4095" width="11" style="138" customWidth="1"/>
    <col min="4096" max="4096" width="4.7109375" style="138" customWidth="1"/>
    <col min="4097" max="4097" width="32.42578125" style="138" customWidth="1"/>
    <col min="4098" max="4098" width="12" style="138" customWidth="1"/>
    <col min="4099" max="4101" width="13.5703125" style="138" customWidth="1"/>
    <col min="4102" max="4102" width="11" style="138" customWidth="1"/>
    <col min="4103" max="4345" width="9.140625" style="138"/>
    <col min="4346" max="4346" width="40" style="138" customWidth="1"/>
    <col min="4347" max="4347" width="12" style="138" customWidth="1"/>
    <col min="4348" max="4350" width="10.42578125" style="138" customWidth="1"/>
    <col min="4351" max="4351" width="11" style="138" customWidth="1"/>
    <col min="4352" max="4352" width="4.7109375" style="138" customWidth="1"/>
    <col min="4353" max="4353" width="32.42578125" style="138" customWidth="1"/>
    <col min="4354" max="4354" width="12" style="138" customWidth="1"/>
    <col min="4355" max="4357" width="13.5703125" style="138" customWidth="1"/>
    <col min="4358" max="4358" width="11" style="138" customWidth="1"/>
    <col min="4359" max="4601" width="9.140625" style="138"/>
    <col min="4602" max="4602" width="40" style="138" customWidth="1"/>
    <col min="4603" max="4603" width="12" style="138" customWidth="1"/>
    <col min="4604" max="4606" width="10.42578125" style="138" customWidth="1"/>
    <col min="4607" max="4607" width="11" style="138" customWidth="1"/>
    <col min="4608" max="4608" width="4.7109375" style="138" customWidth="1"/>
    <col min="4609" max="4609" width="32.42578125" style="138" customWidth="1"/>
    <col min="4610" max="4610" width="12" style="138" customWidth="1"/>
    <col min="4611" max="4613" width="13.5703125" style="138" customWidth="1"/>
    <col min="4614" max="4614" width="11" style="138" customWidth="1"/>
    <col min="4615" max="4857" width="9.140625" style="138"/>
    <col min="4858" max="4858" width="40" style="138" customWidth="1"/>
    <col min="4859" max="4859" width="12" style="138" customWidth="1"/>
    <col min="4860" max="4862" width="10.42578125" style="138" customWidth="1"/>
    <col min="4863" max="4863" width="11" style="138" customWidth="1"/>
    <col min="4864" max="4864" width="4.7109375" style="138" customWidth="1"/>
    <col min="4865" max="4865" width="32.42578125" style="138" customWidth="1"/>
    <col min="4866" max="4866" width="12" style="138" customWidth="1"/>
    <col min="4867" max="4869" width="13.5703125" style="138" customWidth="1"/>
    <col min="4870" max="4870" width="11" style="138" customWidth="1"/>
    <col min="4871" max="5113" width="9.140625" style="138"/>
    <col min="5114" max="5114" width="40" style="138" customWidth="1"/>
    <col min="5115" max="5115" width="12" style="138" customWidth="1"/>
    <col min="5116" max="5118" width="10.42578125" style="138" customWidth="1"/>
    <col min="5119" max="5119" width="11" style="138" customWidth="1"/>
    <col min="5120" max="5120" width="4.7109375" style="138" customWidth="1"/>
    <col min="5121" max="5121" width="32.42578125" style="138" customWidth="1"/>
    <col min="5122" max="5122" width="12" style="138" customWidth="1"/>
    <col min="5123" max="5125" width="13.5703125" style="138" customWidth="1"/>
    <col min="5126" max="5126" width="11" style="138" customWidth="1"/>
    <col min="5127" max="5369" width="9.140625" style="138"/>
    <col min="5370" max="5370" width="40" style="138" customWidth="1"/>
    <col min="5371" max="5371" width="12" style="138" customWidth="1"/>
    <col min="5372" max="5374" width="10.42578125" style="138" customWidth="1"/>
    <col min="5375" max="5375" width="11" style="138" customWidth="1"/>
    <col min="5376" max="5376" width="4.7109375" style="138" customWidth="1"/>
    <col min="5377" max="5377" width="32.42578125" style="138" customWidth="1"/>
    <col min="5378" max="5378" width="12" style="138" customWidth="1"/>
    <col min="5379" max="5381" width="13.5703125" style="138" customWidth="1"/>
    <col min="5382" max="5382" width="11" style="138" customWidth="1"/>
    <col min="5383" max="5625" width="9.140625" style="138"/>
    <col min="5626" max="5626" width="40" style="138" customWidth="1"/>
    <col min="5627" max="5627" width="12" style="138" customWidth="1"/>
    <col min="5628" max="5630" width="10.42578125" style="138" customWidth="1"/>
    <col min="5631" max="5631" width="11" style="138" customWidth="1"/>
    <col min="5632" max="5632" width="4.7109375" style="138" customWidth="1"/>
    <col min="5633" max="5633" width="32.42578125" style="138" customWidth="1"/>
    <col min="5634" max="5634" width="12" style="138" customWidth="1"/>
    <col min="5635" max="5637" width="13.5703125" style="138" customWidth="1"/>
    <col min="5638" max="5638" width="11" style="138" customWidth="1"/>
    <col min="5639" max="5881" width="9.140625" style="138"/>
    <col min="5882" max="5882" width="40" style="138" customWidth="1"/>
    <col min="5883" max="5883" width="12" style="138" customWidth="1"/>
    <col min="5884" max="5886" width="10.42578125" style="138" customWidth="1"/>
    <col min="5887" max="5887" width="11" style="138" customWidth="1"/>
    <col min="5888" max="5888" width="4.7109375" style="138" customWidth="1"/>
    <col min="5889" max="5889" width="32.42578125" style="138" customWidth="1"/>
    <col min="5890" max="5890" width="12" style="138" customWidth="1"/>
    <col min="5891" max="5893" width="13.5703125" style="138" customWidth="1"/>
    <col min="5894" max="5894" width="11" style="138" customWidth="1"/>
    <col min="5895" max="6137" width="9.140625" style="138"/>
    <col min="6138" max="6138" width="40" style="138" customWidth="1"/>
    <col min="6139" max="6139" width="12" style="138" customWidth="1"/>
    <col min="6140" max="6142" width="10.42578125" style="138" customWidth="1"/>
    <col min="6143" max="6143" width="11" style="138" customWidth="1"/>
    <col min="6144" max="6144" width="4.7109375" style="138" customWidth="1"/>
    <col min="6145" max="6145" width="32.42578125" style="138" customWidth="1"/>
    <col min="6146" max="6146" width="12" style="138" customWidth="1"/>
    <col min="6147" max="6149" width="13.5703125" style="138" customWidth="1"/>
    <col min="6150" max="6150" width="11" style="138" customWidth="1"/>
    <col min="6151" max="6393" width="9.140625" style="138"/>
    <col min="6394" max="6394" width="40" style="138" customWidth="1"/>
    <col min="6395" max="6395" width="12" style="138" customWidth="1"/>
    <col min="6396" max="6398" width="10.42578125" style="138" customWidth="1"/>
    <col min="6399" max="6399" width="11" style="138" customWidth="1"/>
    <col min="6400" max="6400" width="4.7109375" style="138" customWidth="1"/>
    <col min="6401" max="6401" width="32.42578125" style="138" customWidth="1"/>
    <col min="6402" max="6402" width="12" style="138" customWidth="1"/>
    <col min="6403" max="6405" width="13.5703125" style="138" customWidth="1"/>
    <col min="6406" max="6406" width="11" style="138" customWidth="1"/>
    <col min="6407" max="6649" width="9.140625" style="138"/>
    <col min="6650" max="6650" width="40" style="138" customWidth="1"/>
    <col min="6651" max="6651" width="12" style="138" customWidth="1"/>
    <col min="6652" max="6654" width="10.42578125" style="138" customWidth="1"/>
    <col min="6655" max="6655" width="11" style="138" customWidth="1"/>
    <col min="6656" max="6656" width="4.7109375" style="138" customWidth="1"/>
    <col min="6657" max="6657" width="32.42578125" style="138" customWidth="1"/>
    <col min="6658" max="6658" width="12" style="138" customWidth="1"/>
    <col min="6659" max="6661" width="13.5703125" style="138" customWidth="1"/>
    <col min="6662" max="6662" width="11" style="138" customWidth="1"/>
    <col min="6663" max="6905" width="9.140625" style="138"/>
    <col min="6906" max="6906" width="40" style="138" customWidth="1"/>
    <col min="6907" max="6907" width="12" style="138" customWidth="1"/>
    <col min="6908" max="6910" width="10.42578125" style="138" customWidth="1"/>
    <col min="6911" max="6911" width="11" style="138" customWidth="1"/>
    <col min="6912" max="6912" width="4.7109375" style="138" customWidth="1"/>
    <col min="6913" max="6913" width="32.42578125" style="138" customWidth="1"/>
    <col min="6914" max="6914" width="12" style="138" customWidth="1"/>
    <col min="6915" max="6917" width="13.5703125" style="138" customWidth="1"/>
    <col min="6918" max="6918" width="11" style="138" customWidth="1"/>
    <col min="6919" max="7161" width="9.140625" style="138"/>
    <col min="7162" max="7162" width="40" style="138" customWidth="1"/>
    <col min="7163" max="7163" width="12" style="138" customWidth="1"/>
    <col min="7164" max="7166" width="10.42578125" style="138" customWidth="1"/>
    <col min="7167" max="7167" width="11" style="138" customWidth="1"/>
    <col min="7168" max="7168" width="4.7109375" style="138" customWidth="1"/>
    <col min="7169" max="7169" width="32.42578125" style="138" customWidth="1"/>
    <col min="7170" max="7170" width="12" style="138" customWidth="1"/>
    <col min="7171" max="7173" width="13.5703125" style="138" customWidth="1"/>
    <col min="7174" max="7174" width="11" style="138" customWidth="1"/>
    <col min="7175" max="7417" width="9.140625" style="138"/>
    <col min="7418" max="7418" width="40" style="138" customWidth="1"/>
    <col min="7419" max="7419" width="12" style="138" customWidth="1"/>
    <col min="7420" max="7422" width="10.42578125" style="138" customWidth="1"/>
    <col min="7423" max="7423" width="11" style="138" customWidth="1"/>
    <col min="7424" max="7424" width="4.7109375" style="138" customWidth="1"/>
    <col min="7425" max="7425" width="32.42578125" style="138" customWidth="1"/>
    <col min="7426" max="7426" width="12" style="138" customWidth="1"/>
    <col min="7427" max="7429" width="13.5703125" style="138" customWidth="1"/>
    <col min="7430" max="7430" width="11" style="138" customWidth="1"/>
    <col min="7431" max="7673" width="9.140625" style="138"/>
    <col min="7674" max="7674" width="40" style="138" customWidth="1"/>
    <col min="7675" max="7675" width="12" style="138" customWidth="1"/>
    <col min="7676" max="7678" width="10.42578125" style="138" customWidth="1"/>
    <col min="7679" max="7679" width="11" style="138" customWidth="1"/>
    <col min="7680" max="7680" width="4.7109375" style="138" customWidth="1"/>
    <col min="7681" max="7681" width="32.42578125" style="138" customWidth="1"/>
    <col min="7682" max="7682" width="12" style="138" customWidth="1"/>
    <col min="7683" max="7685" width="13.5703125" style="138" customWidth="1"/>
    <col min="7686" max="7686" width="11" style="138" customWidth="1"/>
    <col min="7687" max="7929" width="9.140625" style="138"/>
    <col min="7930" max="7930" width="40" style="138" customWidth="1"/>
    <col min="7931" max="7931" width="12" style="138" customWidth="1"/>
    <col min="7932" max="7934" width="10.42578125" style="138" customWidth="1"/>
    <col min="7935" max="7935" width="11" style="138" customWidth="1"/>
    <col min="7936" max="7936" width="4.7109375" style="138" customWidth="1"/>
    <col min="7937" max="7937" width="32.42578125" style="138" customWidth="1"/>
    <col min="7938" max="7938" width="12" style="138" customWidth="1"/>
    <col min="7939" max="7941" width="13.5703125" style="138" customWidth="1"/>
    <col min="7942" max="7942" width="11" style="138" customWidth="1"/>
    <col min="7943" max="8185" width="9.140625" style="138"/>
    <col min="8186" max="8186" width="40" style="138" customWidth="1"/>
    <col min="8187" max="8187" width="12" style="138" customWidth="1"/>
    <col min="8188" max="8190" width="10.42578125" style="138" customWidth="1"/>
    <col min="8191" max="8191" width="11" style="138" customWidth="1"/>
    <col min="8192" max="8192" width="4.7109375" style="138" customWidth="1"/>
    <col min="8193" max="8193" width="32.42578125" style="138" customWidth="1"/>
    <col min="8194" max="8194" width="12" style="138" customWidth="1"/>
    <col min="8195" max="8197" width="13.5703125" style="138" customWidth="1"/>
    <col min="8198" max="8198" width="11" style="138" customWidth="1"/>
    <col min="8199" max="8441" width="9.140625" style="138"/>
    <col min="8442" max="8442" width="40" style="138" customWidth="1"/>
    <col min="8443" max="8443" width="12" style="138" customWidth="1"/>
    <col min="8444" max="8446" width="10.42578125" style="138" customWidth="1"/>
    <col min="8447" max="8447" width="11" style="138" customWidth="1"/>
    <col min="8448" max="8448" width="4.7109375" style="138" customWidth="1"/>
    <col min="8449" max="8449" width="32.42578125" style="138" customWidth="1"/>
    <col min="8450" max="8450" width="12" style="138" customWidth="1"/>
    <col min="8451" max="8453" width="13.5703125" style="138" customWidth="1"/>
    <col min="8454" max="8454" width="11" style="138" customWidth="1"/>
    <col min="8455" max="8697" width="9.140625" style="138"/>
    <col min="8698" max="8698" width="40" style="138" customWidth="1"/>
    <col min="8699" max="8699" width="12" style="138" customWidth="1"/>
    <col min="8700" max="8702" width="10.42578125" style="138" customWidth="1"/>
    <col min="8703" max="8703" width="11" style="138" customWidth="1"/>
    <col min="8704" max="8704" width="4.7109375" style="138" customWidth="1"/>
    <col min="8705" max="8705" width="32.42578125" style="138" customWidth="1"/>
    <col min="8706" max="8706" width="12" style="138" customWidth="1"/>
    <col min="8707" max="8709" width="13.5703125" style="138" customWidth="1"/>
    <col min="8710" max="8710" width="11" style="138" customWidth="1"/>
    <col min="8711" max="8953" width="9.140625" style="138"/>
    <col min="8954" max="8954" width="40" style="138" customWidth="1"/>
    <col min="8955" max="8955" width="12" style="138" customWidth="1"/>
    <col min="8956" max="8958" width="10.42578125" style="138" customWidth="1"/>
    <col min="8959" max="8959" width="11" style="138" customWidth="1"/>
    <col min="8960" max="8960" width="4.7109375" style="138" customWidth="1"/>
    <col min="8961" max="8961" width="32.42578125" style="138" customWidth="1"/>
    <col min="8962" max="8962" width="12" style="138" customWidth="1"/>
    <col min="8963" max="8965" width="13.5703125" style="138" customWidth="1"/>
    <col min="8966" max="8966" width="11" style="138" customWidth="1"/>
    <col min="8967" max="9209" width="9.140625" style="138"/>
    <col min="9210" max="9210" width="40" style="138" customWidth="1"/>
    <col min="9211" max="9211" width="12" style="138" customWidth="1"/>
    <col min="9212" max="9214" width="10.42578125" style="138" customWidth="1"/>
    <col min="9215" max="9215" width="11" style="138" customWidth="1"/>
    <col min="9216" max="9216" width="4.7109375" style="138" customWidth="1"/>
    <col min="9217" max="9217" width="32.42578125" style="138" customWidth="1"/>
    <col min="9218" max="9218" width="12" style="138" customWidth="1"/>
    <col min="9219" max="9221" width="13.5703125" style="138" customWidth="1"/>
    <col min="9222" max="9222" width="11" style="138" customWidth="1"/>
    <col min="9223" max="9465" width="9.140625" style="138"/>
    <col min="9466" max="9466" width="40" style="138" customWidth="1"/>
    <col min="9467" max="9467" width="12" style="138" customWidth="1"/>
    <col min="9468" max="9470" width="10.42578125" style="138" customWidth="1"/>
    <col min="9471" max="9471" width="11" style="138" customWidth="1"/>
    <col min="9472" max="9472" width="4.7109375" style="138" customWidth="1"/>
    <col min="9473" max="9473" width="32.42578125" style="138" customWidth="1"/>
    <col min="9474" max="9474" width="12" style="138" customWidth="1"/>
    <col min="9475" max="9477" width="13.5703125" style="138" customWidth="1"/>
    <col min="9478" max="9478" width="11" style="138" customWidth="1"/>
    <col min="9479" max="9721" width="9.140625" style="138"/>
    <col min="9722" max="9722" width="40" style="138" customWidth="1"/>
    <col min="9723" max="9723" width="12" style="138" customWidth="1"/>
    <col min="9724" max="9726" width="10.42578125" style="138" customWidth="1"/>
    <col min="9727" max="9727" width="11" style="138" customWidth="1"/>
    <col min="9728" max="9728" width="4.7109375" style="138" customWidth="1"/>
    <col min="9729" max="9729" width="32.42578125" style="138" customWidth="1"/>
    <col min="9730" max="9730" width="12" style="138" customWidth="1"/>
    <col min="9731" max="9733" width="13.5703125" style="138" customWidth="1"/>
    <col min="9734" max="9734" width="11" style="138" customWidth="1"/>
    <col min="9735" max="9977" width="9.140625" style="138"/>
    <col min="9978" max="9978" width="40" style="138" customWidth="1"/>
    <col min="9979" max="9979" width="12" style="138" customWidth="1"/>
    <col min="9980" max="9982" width="10.42578125" style="138" customWidth="1"/>
    <col min="9983" max="9983" width="11" style="138" customWidth="1"/>
    <col min="9984" max="9984" width="4.7109375" style="138" customWidth="1"/>
    <col min="9985" max="9985" width="32.42578125" style="138" customWidth="1"/>
    <col min="9986" max="9986" width="12" style="138" customWidth="1"/>
    <col min="9987" max="9989" width="13.5703125" style="138" customWidth="1"/>
    <col min="9990" max="9990" width="11" style="138" customWidth="1"/>
    <col min="9991" max="10233" width="9.140625" style="138"/>
    <col min="10234" max="10234" width="40" style="138" customWidth="1"/>
    <col min="10235" max="10235" width="12" style="138" customWidth="1"/>
    <col min="10236" max="10238" width="10.42578125" style="138" customWidth="1"/>
    <col min="10239" max="10239" width="11" style="138" customWidth="1"/>
    <col min="10240" max="10240" width="4.7109375" style="138" customWidth="1"/>
    <col min="10241" max="10241" width="32.42578125" style="138" customWidth="1"/>
    <col min="10242" max="10242" width="12" style="138" customWidth="1"/>
    <col min="10243" max="10245" width="13.5703125" style="138" customWidth="1"/>
    <col min="10246" max="10246" width="11" style="138" customWidth="1"/>
    <col min="10247" max="10489" width="9.140625" style="138"/>
    <col min="10490" max="10490" width="40" style="138" customWidth="1"/>
    <col min="10491" max="10491" width="12" style="138" customWidth="1"/>
    <col min="10492" max="10494" width="10.42578125" style="138" customWidth="1"/>
    <col min="10495" max="10495" width="11" style="138" customWidth="1"/>
    <col min="10496" max="10496" width="4.7109375" style="138" customWidth="1"/>
    <col min="10497" max="10497" width="32.42578125" style="138" customWidth="1"/>
    <col min="10498" max="10498" width="12" style="138" customWidth="1"/>
    <col min="10499" max="10501" width="13.5703125" style="138" customWidth="1"/>
    <col min="10502" max="10502" width="11" style="138" customWidth="1"/>
    <col min="10503" max="10745" width="9.140625" style="138"/>
    <col min="10746" max="10746" width="40" style="138" customWidth="1"/>
    <col min="10747" max="10747" width="12" style="138" customWidth="1"/>
    <col min="10748" max="10750" width="10.42578125" style="138" customWidth="1"/>
    <col min="10751" max="10751" width="11" style="138" customWidth="1"/>
    <col min="10752" max="10752" width="4.7109375" style="138" customWidth="1"/>
    <col min="10753" max="10753" width="32.42578125" style="138" customWidth="1"/>
    <col min="10754" max="10754" width="12" style="138" customWidth="1"/>
    <col min="10755" max="10757" width="13.5703125" style="138" customWidth="1"/>
    <col min="10758" max="10758" width="11" style="138" customWidth="1"/>
    <col min="10759" max="11001" width="9.140625" style="138"/>
    <col min="11002" max="11002" width="40" style="138" customWidth="1"/>
    <col min="11003" max="11003" width="12" style="138" customWidth="1"/>
    <col min="11004" max="11006" width="10.42578125" style="138" customWidth="1"/>
    <col min="11007" max="11007" width="11" style="138" customWidth="1"/>
    <col min="11008" max="11008" width="4.7109375" style="138" customWidth="1"/>
    <col min="11009" max="11009" width="32.42578125" style="138" customWidth="1"/>
    <col min="11010" max="11010" width="12" style="138" customWidth="1"/>
    <col min="11011" max="11013" width="13.5703125" style="138" customWidth="1"/>
    <col min="11014" max="11014" width="11" style="138" customWidth="1"/>
    <col min="11015" max="11257" width="9.140625" style="138"/>
    <col min="11258" max="11258" width="40" style="138" customWidth="1"/>
    <col min="11259" max="11259" width="12" style="138" customWidth="1"/>
    <col min="11260" max="11262" width="10.42578125" style="138" customWidth="1"/>
    <col min="11263" max="11263" width="11" style="138" customWidth="1"/>
    <col min="11264" max="11264" width="4.7109375" style="138" customWidth="1"/>
    <col min="11265" max="11265" width="32.42578125" style="138" customWidth="1"/>
    <col min="11266" max="11266" width="12" style="138" customWidth="1"/>
    <col min="11267" max="11269" width="13.5703125" style="138" customWidth="1"/>
    <col min="11270" max="11270" width="11" style="138" customWidth="1"/>
    <col min="11271" max="11513" width="9.140625" style="138"/>
    <col min="11514" max="11514" width="40" style="138" customWidth="1"/>
    <col min="11515" max="11515" width="12" style="138" customWidth="1"/>
    <col min="11516" max="11518" width="10.42578125" style="138" customWidth="1"/>
    <col min="11519" max="11519" width="11" style="138" customWidth="1"/>
    <col min="11520" max="11520" width="4.7109375" style="138" customWidth="1"/>
    <col min="11521" max="11521" width="32.42578125" style="138" customWidth="1"/>
    <col min="11522" max="11522" width="12" style="138" customWidth="1"/>
    <col min="11523" max="11525" width="13.5703125" style="138" customWidth="1"/>
    <col min="11526" max="11526" width="11" style="138" customWidth="1"/>
    <col min="11527" max="11769" width="9.140625" style="138"/>
    <col min="11770" max="11770" width="40" style="138" customWidth="1"/>
    <col min="11771" max="11771" width="12" style="138" customWidth="1"/>
    <col min="11772" max="11774" width="10.42578125" style="138" customWidth="1"/>
    <col min="11775" max="11775" width="11" style="138" customWidth="1"/>
    <col min="11776" max="11776" width="4.7109375" style="138" customWidth="1"/>
    <col min="11777" max="11777" width="32.42578125" style="138" customWidth="1"/>
    <col min="11778" max="11778" width="12" style="138" customWidth="1"/>
    <col min="11779" max="11781" width="13.5703125" style="138" customWidth="1"/>
    <col min="11782" max="11782" width="11" style="138" customWidth="1"/>
    <col min="11783" max="12025" width="9.140625" style="138"/>
    <col min="12026" max="12026" width="40" style="138" customWidth="1"/>
    <col min="12027" max="12027" width="12" style="138" customWidth="1"/>
    <col min="12028" max="12030" width="10.42578125" style="138" customWidth="1"/>
    <col min="12031" max="12031" width="11" style="138" customWidth="1"/>
    <col min="12032" max="12032" width="4.7109375" style="138" customWidth="1"/>
    <col min="12033" max="12033" width="32.42578125" style="138" customWidth="1"/>
    <col min="12034" max="12034" width="12" style="138" customWidth="1"/>
    <col min="12035" max="12037" width="13.5703125" style="138" customWidth="1"/>
    <col min="12038" max="12038" width="11" style="138" customWidth="1"/>
    <col min="12039" max="12281" width="9.140625" style="138"/>
    <col min="12282" max="12282" width="40" style="138" customWidth="1"/>
    <col min="12283" max="12283" width="12" style="138" customWidth="1"/>
    <col min="12284" max="12286" width="10.42578125" style="138" customWidth="1"/>
    <col min="12287" max="12287" width="11" style="138" customWidth="1"/>
    <col min="12288" max="12288" width="4.7109375" style="138" customWidth="1"/>
    <col min="12289" max="12289" width="32.42578125" style="138" customWidth="1"/>
    <col min="12290" max="12290" width="12" style="138" customWidth="1"/>
    <col min="12291" max="12293" width="13.5703125" style="138" customWidth="1"/>
    <col min="12294" max="12294" width="11" style="138" customWidth="1"/>
    <col min="12295" max="12537" width="9.140625" style="138"/>
    <col min="12538" max="12538" width="40" style="138" customWidth="1"/>
    <col min="12539" max="12539" width="12" style="138" customWidth="1"/>
    <col min="12540" max="12542" width="10.42578125" style="138" customWidth="1"/>
    <col min="12543" max="12543" width="11" style="138" customWidth="1"/>
    <col min="12544" max="12544" width="4.7109375" style="138" customWidth="1"/>
    <col min="12545" max="12545" width="32.42578125" style="138" customWidth="1"/>
    <col min="12546" max="12546" width="12" style="138" customWidth="1"/>
    <col min="12547" max="12549" width="13.5703125" style="138" customWidth="1"/>
    <col min="12550" max="12550" width="11" style="138" customWidth="1"/>
    <col min="12551" max="12793" width="9.140625" style="138"/>
    <col min="12794" max="12794" width="40" style="138" customWidth="1"/>
    <col min="12795" max="12795" width="12" style="138" customWidth="1"/>
    <col min="12796" max="12798" width="10.42578125" style="138" customWidth="1"/>
    <col min="12799" max="12799" width="11" style="138" customWidth="1"/>
    <col min="12800" max="12800" width="4.7109375" style="138" customWidth="1"/>
    <col min="12801" max="12801" width="32.42578125" style="138" customWidth="1"/>
    <col min="12802" max="12802" width="12" style="138" customWidth="1"/>
    <col min="12803" max="12805" width="13.5703125" style="138" customWidth="1"/>
    <col min="12806" max="12806" width="11" style="138" customWidth="1"/>
    <col min="12807" max="13049" width="9.140625" style="138"/>
    <col min="13050" max="13050" width="40" style="138" customWidth="1"/>
    <col min="13051" max="13051" width="12" style="138" customWidth="1"/>
    <col min="13052" max="13054" width="10.42578125" style="138" customWidth="1"/>
    <col min="13055" max="13055" width="11" style="138" customWidth="1"/>
    <col min="13056" max="13056" width="4.7109375" style="138" customWidth="1"/>
    <col min="13057" max="13057" width="32.42578125" style="138" customWidth="1"/>
    <col min="13058" max="13058" width="12" style="138" customWidth="1"/>
    <col min="13059" max="13061" width="13.5703125" style="138" customWidth="1"/>
    <col min="13062" max="13062" width="11" style="138" customWidth="1"/>
    <col min="13063" max="13305" width="9.140625" style="138"/>
    <col min="13306" max="13306" width="40" style="138" customWidth="1"/>
    <col min="13307" max="13307" width="12" style="138" customWidth="1"/>
    <col min="13308" max="13310" width="10.42578125" style="138" customWidth="1"/>
    <col min="13311" max="13311" width="11" style="138" customWidth="1"/>
    <col min="13312" max="13312" width="4.7109375" style="138" customWidth="1"/>
    <col min="13313" max="13313" width="32.42578125" style="138" customWidth="1"/>
    <col min="13314" max="13314" width="12" style="138" customWidth="1"/>
    <col min="13315" max="13317" width="13.5703125" style="138" customWidth="1"/>
    <col min="13318" max="13318" width="11" style="138" customWidth="1"/>
    <col min="13319" max="13561" width="9.140625" style="138"/>
    <col min="13562" max="13562" width="40" style="138" customWidth="1"/>
    <col min="13563" max="13563" width="12" style="138" customWidth="1"/>
    <col min="13564" max="13566" width="10.42578125" style="138" customWidth="1"/>
    <col min="13567" max="13567" width="11" style="138" customWidth="1"/>
    <col min="13568" max="13568" width="4.7109375" style="138" customWidth="1"/>
    <col min="13569" max="13569" width="32.42578125" style="138" customWidth="1"/>
    <col min="13570" max="13570" width="12" style="138" customWidth="1"/>
    <col min="13571" max="13573" width="13.5703125" style="138" customWidth="1"/>
    <col min="13574" max="13574" width="11" style="138" customWidth="1"/>
    <col min="13575" max="13817" width="9.140625" style="138"/>
    <col min="13818" max="13818" width="40" style="138" customWidth="1"/>
    <col min="13819" max="13819" width="12" style="138" customWidth="1"/>
    <col min="13820" max="13822" width="10.42578125" style="138" customWidth="1"/>
    <col min="13823" max="13823" width="11" style="138" customWidth="1"/>
    <col min="13824" max="13824" width="4.7109375" style="138" customWidth="1"/>
    <col min="13825" max="13825" width="32.42578125" style="138" customWidth="1"/>
    <col min="13826" max="13826" width="12" style="138" customWidth="1"/>
    <col min="13827" max="13829" width="13.5703125" style="138" customWidth="1"/>
    <col min="13830" max="13830" width="11" style="138" customWidth="1"/>
    <col min="13831" max="14073" width="9.140625" style="138"/>
    <col min="14074" max="14074" width="40" style="138" customWidth="1"/>
    <col min="14075" max="14075" width="12" style="138" customWidth="1"/>
    <col min="14076" max="14078" width="10.42578125" style="138" customWidth="1"/>
    <col min="14079" max="14079" width="11" style="138" customWidth="1"/>
    <col min="14080" max="14080" width="4.7109375" style="138" customWidth="1"/>
    <col min="14081" max="14081" width="32.42578125" style="138" customWidth="1"/>
    <col min="14082" max="14082" width="12" style="138" customWidth="1"/>
    <col min="14083" max="14085" width="13.5703125" style="138" customWidth="1"/>
    <col min="14086" max="14086" width="11" style="138" customWidth="1"/>
    <col min="14087" max="14329" width="9.140625" style="138"/>
    <col min="14330" max="14330" width="40" style="138" customWidth="1"/>
    <col min="14331" max="14331" width="12" style="138" customWidth="1"/>
    <col min="14332" max="14334" width="10.42578125" style="138" customWidth="1"/>
    <col min="14335" max="14335" width="11" style="138" customWidth="1"/>
    <col min="14336" max="14336" width="4.7109375" style="138" customWidth="1"/>
    <col min="14337" max="14337" width="32.42578125" style="138" customWidth="1"/>
    <col min="14338" max="14338" width="12" style="138" customWidth="1"/>
    <col min="14339" max="14341" width="13.5703125" style="138" customWidth="1"/>
    <col min="14342" max="14342" width="11" style="138" customWidth="1"/>
    <col min="14343" max="14585" width="9.140625" style="138"/>
    <col min="14586" max="14586" width="40" style="138" customWidth="1"/>
    <col min="14587" max="14587" width="12" style="138" customWidth="1"/>
    <col min="14588" max="14590" width="10.42578125" style="138" customWidth="1"/>
    <col min="14591" max="14591" width="11" style="138" customWidth="1"/>
    <col min="14592" max="14592" width="4.7109375" style="138" customWidth="1"/>
    <col min="14593" max="14593" width="32.42578125" style="138" customWidth="1"/>
    <col min="14594" max="14594" width="12" style="138" customWidth="1"/>
    <col min="14595" max="14597" width="13.5703125" style="138" customWidth="1"/>
    <col min="14598" max="14598" width="11" style="138" customWidth="1"/>
    <col min="14599" max="14841" width="9.140625" style="138"/>
    <col min="14842" max="14842" width="40" style="138" customWidth="1"/>
    <col min="14843" max="14843" width="12" style="138" customWidth="1"/>
    <col min="14844" max="14846" width="10.42578125" style="138" customWidth="1"/>
    <col min="14847" max="14847" width="11" style="138" customWidth="1"/>
    <col min="14848" max="14848" width="4.7109375" style="138" customWidth="1"/>
    <col min="14849" max="14849" width="32.42578125" style="138" customWidth="1"/>
    <col min="14850" max="14850" width="12" style="138" customWidth="1"/>
    <col min="14851" max="14853" width="13.5703125" style="138" customWidth="1"/>
    <col min="14854" max="14854" width="11" style="138" customWidth="1"/>
    <col min="14855" max="15097" width="9.140625" style="138"/>
    <col min="15098" max="15098" width="40" style="138" customWidth="1"/>
    <col min="15099" max="15099" width="12" style="138" customWidth="1"/>
    <col min="15100" max="15102" width="10.42578125" style="138" customWidth="1"/>
    <col min="15103" max="15103" width="11" style="138" customWidth="1"/>
    <col min="15104" max="15104" width="4.7109375" style="138" customWidth="1"/>
    <col min="15105" max="15105" width="32.42578125" style="138" customWidth="1"/>
    <col min="15106" max="15106" width="12" style="138" customWidth="1"/>
    <col min="15107" max="15109" width="13.5703125" style="138" customWidth="1"/>
    <col min="15110" max="15110" width="11" style="138" customWidth="1"/>
    <col min="15111" max="15353" width="9.140625" style="138"/>
    <col min="15354" max="15354" width="40" style="138" customWidth="1"/>
    <col min="15355" max="15355" width="12" style="138" customWidth="1"/>
    <col min="15356" max="15358" width="10.42578125" style="138" customWidth="1"/>
    <col min="15359" max="15359" width="11" style="138" customWidth="1"/>
    <col min="15360" max="15360" width="4.7109375" style="138" customWidth="1"/>
    <col min="15361" max="15361" width="32.42578125" style="138" customWidth="1"/>
    <col min="15362" max="15362" width="12" style="138" customWidth="1"/>
    <col min="15363" max="15365" width="13.5703125" style="138" customWidth="1"/>
    <col min="15366" max="15366" width="11" style="138" customWidth="1"/>
    <col min="15367" max="15609" width="9.140625" style="138"/>
    <col min="15610" max="15610" width="40" style="138" customWidth="1"/>
    <col min="15611" max="15611" width="12" style="138" customWidth="1"/>
    <col min="15612" max="15614" width="10.42578125" style="138" customWidth="1"/>
    <col min="15615" max="15615" width="11" style="138" customWidth="1"/>
    <col min="15616" max="15616" width="4.7109375" style="138" customWidth="1"/>
    <col min="15617" max="15617" width="32.42578125" style="138" customWidth="1"/>
    <col min="15618" max="15618" width="12" style="138" customWidth="1"/>
    <col min="15619" max="15621" width="13.5703125" style="138" customWidth="1"/>
    <col min="15622" max="15622" width="11" style="138" customWidth="1"/>
    <col min="15623" max="15865" width="9.140625" style="138"/>
    <col min="15866" max="15866" width="40" style="138" customWidth="1"/>
    <col min="15867" max="15867" width="12" style="138" customWidth="1"/>
    <col min="15868" max="15870" width="10.42578125" style="138" customWidth="1"/>
    <col min="15871" max="15871" width="11" style="138" customWidth="1"/>
    <col min="15872" max="15872" width="4.7109375" style="138" customWidth="1"/>
    <col min="15873" max="15873" width="32.42578125" style="138" customWidth="1"/>
    <col min="15874" max="15874" width="12" style="138" customWidth="1"/>
    <col min="15875" max="15877" width="13.5703125" style="138" customWidth="1"/>
    <col min="15878" max="15878" width="11" style="138" customWidth="1"/>
    <col min="15879" max="16121" width="9.140625" style="138"/>
    <col min="16122" max="16122" width="40" style="138" customWidth="1"/>
    <col min="16123" max="16123" width="12" style="138" customWidth="1"/>
    <col min="16124" max="16126" width="10.42578125" style="138" customWidth="1"/>
    <col min="16127" max="16127" width="11" style="138" customWidth="1"/>
    <col min="16128" max="16128" width="4.7109375" style="138" customWidth="1"/>
    <col min="16129" max="16129" width="32.42578125" style="138" customWidth="1"/>
    <col min="16130" max="16130" width="12" style="138" customWidth="1"/>
    <col min="16131" max="16133" width="13.5703125" style="138" customWidth="1"/>
    <col min="16134" max="16134" width="11" style="138" customWidth="1"/>
    <col min="16135" max="16384" width="9.140625" style="138"/>
  </cols>
  <sheetData>
    <row r="1" spans="1:10" s="619" customFormat="1" ht="12" x14ac:dyDescent="0.2">
      <c r="A1" s="149"/>
      <c r="B1" s="148"/>
      <c r="C1" s="143"/>
      <c r="D1" s="143"/>
      <c r="E1" s="148"/>
      <c r="F1" s="617"/>
      <c r="G1" s="148"/>
      <c r="H1" s="618"/>
      <c r="I1" s="618" t="s">
        <v>1114</v>
      </c>
    </row>
    <row r="2" spans="1:10" ht="12.75" customHeight="1" x14ac:dyDescent="0.25">
      <c r="A2" s="149"/>
      <c r="B2" s="148"/>
      <c r="C2" s="143"/>
      <c r="D2" s="143"/>
      <c r="E2" s="148"/>
      <c r="F2" s="147"/>
      <c r="G2" s="146"/>
      <c r="H2" s="212"/>
    </row>
    <row r="3" spans="1:10" x14ac:dyDescent="0.2">
      <c r="A3" s="650" t="s">
        <v>143</v>
      </c>
      <c r="B3" s="651"/>
      <c r="C3" s="651"/>
      <c r="D3" s="651"/>
      <c r="E3" s="651"/>
      <c r="F3" s="651"/>
      <c r="G3" s="651"/>
    </row>
    <row r="4" spans="1:10" x14ac:dyDescent="0.2">
      <c r="A4" s="652" t="s">
        <v>1073</v>
      </c>
      <c r="B4" s="653"/>
      <c r="C4" s="653"/>
      <c r="D4" s="653"/>
      <c r="E4" s="653"/>
      <c r="F4" s="653"/>
      <c r="G4" s="653"/>
    </row>
    <row r="5" spans="1:10" x14ac:dyDescent="0.2">
      <c r="A5" s="124"/>
      <c r="B5" s="125"/>
      <c r="C5" s="125"/>
      <c r="D5" s="125"/>
      <c r="E5" s="125"/>
      <c r="F5" s="124"/>
      <c r="G5" s="143"/>
    </row>
    <row r="6" spans="1:10" x14ac:dyDescent="0.2">
      <c r="A6" s="126" t="s">
        <v>144</v>
      </c>
      <c r="B6" s="127"/>
      <c r="C6" s="127"/>
      <c r="D6" s="127"/>
      <c r="E6" s="125"/>
      <c r="F6" s="126" t="s">
        <v>145</v>
      </c>
      <c r="G6" s="143"/>
    </row>
    <row r="7" spans="1:10" x14ac:dyDescent="0.2">
      <c r="A7" s="210"/>
      <c r="B7" s="211" t="s">
        <v>229</v>
      </c>
      <c r="C7" s="211" t="s">
        <v>230</v>
      </c>
      <c r="D7" s="211" t="s">
        <v>319</v>
      </c>
      <c r="E7" s="128"/>
      <c r="F7" s="210"/>
      <c r="G7" s="211" t="s">
        <v>229</v>
      </c>
      <c r="H7" s="211" t="s">
        <v>230</v>
      </c>
      <c r="I7" s="211" t="s">
        <v>319</v>
      </c>
    </row>
    <row r="8" spans="1:10" x14ac:dyDescent="0.2">
      <c r="A8" s="126"/>
      <c r="B8" s="129" t="s">
        <v>29</v>
      </c>
      <c r="C8" s="129" t="s">
        <v>29</v>
      </c>
      <c r="D8" s="129"/>
      <c r="E8" s="130"/>
      <c r="F8" s="131"/>
      <c r="G8" s="129" t="s">
        <v>29</v>
      </c>
      <c r="H8" s="129" t="s">
        <v>29</v>
      </c>
    </row>
    <row r="9" spans="1:10" x14ac:dyDescent="0.2">
      <c r="A9" s="124" t="s">
        <v>146</v>
      </c>
      <c r="B9" s="132">
        <v>196842</v>
      </c>
      <c r="C9" s="132">
        <v>273593</v>
      </c>
      <c r="D9" s="132">
        <f>'1. m. bevételek'!D13+'1. m. bevételek'!D18+'1. m. bevételek'!D23+'1. m. bevételek'!D33+'1. m. bevételek'!D59</f>
        <v>288047</v>
      </c>
      <c r="E9" s="132"/>
      <c r="F9" s="124" t="s">
        <v>26</v>
      </c>
      <c r="G9" s="140">
        <v>644513</v>
      </c>
      <c r="H9" s="140">
        <v>789494</v>
      </c>
      <c r="I9" s="140">
        <f>'2. m. kiadások'!D10+'2. m. kiadások'!D24+'2. m. kiadások'!D38+'2. m. kiadások'!D52+'2. m. kiadások'!D78</f>
        <v>831738</v>
      </c>
      <c r="J9" s="140"/>
    </row>
    <row r="10" spans="1:10" x14ac:dyDescent="0.2">
      <c r="A10" s="124" t="s">
        <v>69</v>
      </c>
      <c r="B10" s="132">
        <v>797342</v>
      </c>
      <c r="C10" s="132">
        <v>833000</v>
      </c>
      <c r="D10" s="132">
        <f>'1. m. bevételek'!D79</f>
        <v>838000</v>
      </c>
      <c r="E10" s="132"/>
      <c r="F10" s="124" t="s">
        <v>147</v>
      </c>
      <c r="G10" s="140">
        <v>143411</v>
      </c>
      <c r="H10" s="140">
        <v>150705</v>
      </c>
      <c r="I10" s="140">
        <f>'2. m. kiadások'!D11+'2. m. kiadások'!D25+'2. m. kiadások'!D39+'2. m. kiadások'!D53+'2. m. kiadások'!D95</f>
        <v>160170</v>
      </c>
      <c r="J10" s="140"/>
    </row>
    <row r="11" spans="1:10" x14ac:dyDescent="0.2">
      <c r="A11" s="124" t="s">
        <v>148</v>
      </c>
      <c r="B11" s="132">
        <v>1252532</v>
      </c>
      <c r="C11" s="132">
        <v>1173886</v>
      </c>
      <c r="D11" s="132">
        <f>'1. m. bevételek'!D99-D22</f>
        <v>1113245</v>
      </c>
      <c r="E11" s="132"/>
      <c r="F11" s="124" t="s">
        <v>31</v>
      </c>
      <c r="G11" s="140">
        <v>816279</v>
      </c>
      <c r="H11" s="140">
        <v>1059254</v>
      </c>
      <c r="I11" s="140">
        <f>'2. m. kiadások'!D12+'2. m. kiadások'!D26+'2. m. kiadások'!D40+'2. m. kiadások'!D54+'2. m. kiadások'!D173</f>
        <v>1041843</v>
      </c>
      <c r="J11" s="140"/>
    </row>
    <row r="12" spans="1:10" ht="24" x14ac:dyDescent="0.2">
      <c r="A12" s="124" t="s">
        <v>149</v>
      </c>
      <c r="B12" s="132">
        <v>150294</v>
      </c>
      <c r="C12" s="132">
        <v>233654</v>
      </c>
      <c r="D12" s="132">
        <f>'1. m. bevételek'!D130+'1. m. bevételek'!D37</f>
        <v>236178</v>
      </c>
      <c r="E12" s="132"/>
      <c r="F12" s="135" t="s">
        <v>225</v>
      </c>
      <c r="G12" s="140">
        <v>586830</v>
      </c>
      <c r="H12" s="140">
        <v>619999</v>
      </c>
      <c r="I12" s="140">
        <f>'2. m. kiadások'!D206+'2. m. kiadások'!D228</f>
        <v>632032</v>
      </c>
      <c r="J12" s="140"/>
    </row>
    <row r="13" spans="1:10" ht="24" x14ac:dyDescent="0.2">
      <c r="A13" s="124" t="s">
        <v>150</v>
      </c>
      <c r="B13" s="132">
        <v>5183</v>
      </c>
      <c r="C13" s="132">
        <v>0</v>
      </c>
      <c r="D13" s="132">
        <f>'1. m. bevételek'!D146</f>
        <v>0</v>
      </c>
      <c r="E13" s="132"/>
      <c r="F13" s="124" t="s">
        <v>56</v>
      </c>
      <c r="G13" s="140">
        <v>27292</v>
      </c>
      <c r="H13" s="140">
        <v>54866</v>
      </c>
      <c r="I13" s="140">
        <f>'2. m. kiadások'!D197</f>
        <v>53769</v>
      </c>
      <c r="J13" s="140"/>
    </row>
    <row r="14" spans="1:10" x14ac:dyDescent="0.2">
      <c r="A14" s="124" t="s">
        <v>151</v>
      </c>
      <c r="B14" s="132">
        <v>1540</v>
      </c>
      <c r="C14" s="132">
        <v>18000</v>
      </c>
      <c r="D14" s="132">
        <f>'1. m. bevételek'!D166</f>
        <v>24200</v>
      </c>
      <c r="E14" s="132"/>
      <c r="F14" s="124" t="s">
        <v>152</v>
      </c>
      <c r="G14" s="140">
        <v>984239</v>
      </c>
      <c r="H14" s="140">
        <v>868730</v>
      </c>
      <c r="I14" s="140">
        <f>'2. m. kiadások'!D353</f>
        <v>0</v>
      </c>
      <c r="J14" s="140"/>
    </row>
    <row r="15" spans="1:10" x14ac:dyDescent="0.2">
      <c r="A15" s="133" t="s">
        <v>153</v>
      </c>
      <c r="B15" s="132">
        <v>71588</v>
      </c>
      <c r="C15" s="132">
        <v>248110</v>
      </c>
      <c r="D15" s="132">
        <f>'1. m. bevételek'!D184</f>
        <v>126809</v>
      </c>
      <c r="E15" s="132"/>
      <c r="F15" s="124" t="s">
        <v>155</v>
      </c>
      <c r="G15" s="140">
        <v>9400</v>
      </c>
      <c r="H15" s="140">
        <v>11750</v>
      </c>
      <c r="I15" s="140">
        <f>'2. m. kiadások'!D245</f>
        <v>7000</v>
      </c>
      <c r="J15" s="140"/>
    </row>
    <row r="16" spans="1:10" x14ac:dyDescent="0.2">
      <c r="A16" s="124" t="s">
        <v>154</v>
      </c>
      <c r="B16" s="132">
        <v>984239</v>
      </c>
      <c r="C16" s="132">
        <v>868730</v>
      </c>
      <c r="D16" s="132">
        <f>'1. m. bevételek'!D201</f>
        <v>0</v>
      </c>
      <c r="E16" s="132"/>
      <c r="F16" s="124" t="s">
        <v>157</v>
      </c>
      <c r="G16" s="140">
        <v>1178</v>
      </c>
      <c r="H16" s="140">
        <v>162138</v>
      </c>
      <c r="I16" s="140">
        <f>'2. m. kiadások'!D238+'2. m. kiadások'!D240</f>
        <v>25575</v>
      </c>
      <c r="J16" s="140"/>
    </row>
    <row r="17" spans="1:10" ht="24" x14ac:dyDescent="0.2">
      <c r="A17" s="124" t="s">
        <v>156</v>
      </c>
      <c r="B17" s="132">
        <v>38852</v>
      </c>
      <c r="C17" s="132">
        <v>41199</v>
      </c>
      <c r="D17" s="132">
        <f>'1. m. bevételek'!D204</f>
        <v>0</v>
      </c>
      <c r="E17" s="132"/>
      <c r="F17" s="142" t="s">
        <v>170</v>
      </c>
      <c r="G17" s="140">
        <v>39627</v>
      </c>
      <c r="H17" s="140">
        <v>38852</v>
      </c>
      <c r="I17" s="140">
        <f>'2. m. kiadások'!D356</f>
        <v>41199</v>
      </c>
      <c r="J17" s="140"/>
    </row>
    <row r="18" spans="1:10" x14ac:dyDescent="0.2">
      <c r="A18" s="144"/>
      <c r="B18" s="132"/>
      <c r="C18" s="132"/>
      <c r="D18" s="132"/>
      <c r="E18" s="132"/>
      <c r="H18" s="140"/>
      <c r="I18" s="140"/>
      <c r="J18" s="140"/>
    </row>
    <row r="19" spans="1:10" x14ac:dyDescent="0.2">
      <c r="A19" s="126" t="s">
        <v>158</v>
      </c>
      <c r="B19" s="134">
        <f>SUM(B9:B18)</f>
        <v>3498412</v>
      </c>
      <c r="C19" s="134">
        <f>SUM(C9:C18)</f>
        <v>3690172</v>
      </c>
      <c r="D19" s="134">
        <f>SUM(D9:D18)</f>
        <v>2626479</v>
      </c>
      <c r="E19" s="145"/>
      <c r="F19" s="126" t="s">
        <v>159</v>
      </c>
      <c r="G19" s="141">
        <f>SUM(G9:G17)</f>
        <v>3252769</v>
      </c>
      <c r="H19" s="141">
        <f>SUM(H9:H18)</f>
        <v>3755788</v>
      </c>
      <c r="I19" s="141">
        <f>SUM(I9:I18)</f>
        <v>2793326</v>
      </c>
      <c r="J19" s="140"/>
    </row>
    <row r="20" spans="1:10" x14ac:dyDescent="0.2">
      <c r="A20" s="144"/>
      <c r="B20" s="134"/>
      <c r="C20" s="134"/>
      <c r="D20" s="134"/>
      <c r="E20" s="134"/>
      <c r="F20" s="124"/>
      <c r="G20" s="140"/>
      <c r="H20" s="140"/>
      <c r="I20" s="140"/>
      <c r="J20" s="140"/>
    </row>
    <row r="21" spans="1:10" x14ac:dyDescent="0.2">
      <c r="A21" s="124" t="s">
        <v>80</v>
      </c>
      <c r="B21" s="140">
        <v>117618</v>
      </c>
      <c r="C21" s="140">
        <v>556151</v>
      </c>
      <c r="D21" s="140">
        <f>'1. m. bevételek'!D110</f>
        <v>436982</v>
      </c>
      <c r="E21" s="143"/>
      <c r="F21" s="124" t="s">
        <v>58</v>
      </c>
      <c r="G21" s="140">
        <v>203517</v>
      </c>
      <c r="H21" s="140">
        <v>510962</v>
      </c>
      <c r="I21" s="140">
        <f>'2. m. kiadások'!D15+'2. m. kiadások'!D31+'2. m. kiadások'!D43+'2. m. kiadások'!D59+'2. m. kiadások'!D287</f>
        <v>656089</v>
      </c>
      <c r="J21" s="140"/>
    </row>
    <row r="22" spans="1:10" x14ac:dyDescent="0.2">
      <c r="A22" s="124" t="s">
        <v>240</v>
      </c>
      <c r="B22" s="132">
        <v>32480</v>
      </c>
      <c r="C22" s="132">
        <v>2268</v>
      </c>
      <c r="D22" s="132">
        <f>'1. m. bevételek'!D94</f>
        <v>0</v>
      </c>
      <c r="E22" s="132"/>
      <c r="F22" s="124" t="s">
        <v>24</v>
      </c>
      <c r="G22" s="140">
        <v>225339</v>
      </c>
      <c r="H22" s="140">
        <v>328677</v>
      </c>
      <c r="I22" s="140">
        <f>'2. m. kiadások'!D20+'2. m. kiadások'!D46+'2. m. kiadások'!D321+'2. m. kiadások'!D34</f>
        <v>365446</v>
      </c>
      <c r="J22" s="140"/>
    </row>
    <row r="23" spans="1:10" ht="24" x14ac:dyDescent="0.2">
      <c r="A23" s="124" t="s">
        <v>160</v>
      </c>
      <c r="B23" s="132">
        <v>2737</v>
      </c>
      <c r="C23" s="132">
        <v>2000</v>
      </c>
      <c r="D23" s="132">
        <f>'1. m. bevételek'!D150</f>
        <v>2000</v>
      </c>
      <c r="E23" s="132"/>
      <c r="F23" s="135" t="s">
        <v>224</v>
      </c>
      <c r="G23" s="140">
        <v>13303</v>
      </c>
      <c r="H23" s="140">
        <v>15822</v>
      </c>
      <c r="I23" s="140">
        <f>'2. m. kiadások'!D325+'2. m. kiadások'!D335</f>
        <v>23015</v>
      </c>
      <c r="J23" s="140"/>
    </row>
    <row r="24" spans="1:10" x14ac:dyDescent="0.2">
      <c r="A24" s="124" t="s">
        <v>161</v>
      </c>
      <c r="B24" s="136">
        <v>236297</v>
      </c>
      <c r="C24" s="136">
        <v>191200</v>
      </c>
      <c r="D24" s="136">
        <f>'1. m. bevételek'!D140</f>
        <v>361353</v>
      </c>
      <c r="E24" s="136"/>
      <c r="F24" s="124" t="s">
        <v>180</v>
      </c>
      <c r="G24" s="140">
        <v>17109</v>
      </c>
      <c r="H24" s="140">
        <v>21004</v>
      </c>
      <c r="I24" s="140">
        <f>'2. m. kiadások'!D352</f>
        <v>20668</v>
      </c>
      <c r="J24" s="140"/>
    </row>
    <row r="25" spans="1:10" x14ac:dyDescent="0.2">
      <c r="A25" s="133" t="s">
        <v>162</v>
      </c>
      <c r="B25" s="132">
        <v>357</v>
      </c>
      <c r="C25" s="132">
        <v>32329</v>
      </c>
      <c r="D25" s="132">
        <f>'1. m. bevételek'!D159</f>
        <v>8850</v>
      </c>
      <c r="E25" s="132"/>
      <c r="F25" s="124" t="s">
        <v>223</v>
      </c>
      <c r="G25" s="140">
        <v>290</v>
      </c>
      <c r="H25" s="140">
        <v>462377</v>
      </c>
      <c r="I25" s="140">
        <f>'2. m. kiadások'!D343</f>
        <v>137620</v>
      </c>
      <c r="J25" s="140"/>
    </row>
    <row r="26" spans="1:10" x14ac:dyDescent="0.2">
      <c r="A26" s="124" t="s">
        <v>163</v>
      </c>
      <c r="B26" s="132">
        <v>420413</v>
      </c>
      <c r="C26" s="132">
        <v>383010</v>
      </c>
      <c r="D26" s="132">
        <f>'1. m. bevételek'!D195</f>
        <v>323000</v>
      </c>
      <c r="E26" s="132"/>
      <c r="F26" s="124" t="s">
        <v>165</v>
      </c>
      <c r="G26" s="140">
        <v>3390</v>
      </c>
      <c r="H26" s="140">
        <v>0</v>
      </c>
      <c r="I26" s="140">
        <v>0</v>
      </c>
      <c r="J26" s="140"/>
    </row>
    <row r="27" spans="1:10" x14ac:dyDescent="0.2">
      <c r="A27" s="124" t="s">
        <v>164</v>
      </c>
      <c r="B27" s="132">
        <v>38541</v>
      </c>
      <c r="C27" s="132">
        <v>237500</v>
      </c>
      <c r="D27" s="132">
        <f>'1. m. bevételek'!D200</f>
        <v>237500</v>
      </c>
      <c r="E27" s="132"/>
      <c r="H27" s="140"/>
      <c r="I27" s="140"/>
      <c r="J27" s="140"/>
    </row>
    <row r="28" spans="1:10" x14ac:dyDescent="0.2">
      <c r="A28" s="133"/>
      <c r="B28" s="132"/>
      <c r="C28" s="132"/>
      <c r="D28" s="132"/>
      <c r="E28" s="132"/>
      <c r="F28" s="142"/>
      <c r="G28" s="140"/>
      <c r="H28" s="140"/>
      <c r="I28" s="140"/>
      <c r="J28" s="140"/>
    </row>
    <row r="29" spans="1:10" x14ac:dyDescent="0.2">
      <c r="A29" s="126" t="s">
        <v>166</v>
      </c>
      <c r="B29" s="134">
        <f>SUM(B21:B28)</f>
        <v>848443</v>
      </c>
      <c r="C29" s="134">
        <f>SUM(C21:C28)</f>
        <v>1404458</v>
      </c>
      <c r="D29" s="134">
        <f>SUM(D21:D28)</f>
        <v>1369685</v>
      </c>
      <c r="E29" s="134"/>
      <c r="F29" s="126" t="s">
        <v>167</v>
      </c>
      <c r="G29" s="141">
        <f>SUM(G21:G28)</f>
        <v>462948</v>
      </c>
      <c r="H29" s="141">
        <f>SUM(H21:H28)</f>
        <v>1338842</v>
      </c>
      <c r="I29" s="141">
        <f>SUM(I21:I28)</f>
        <v>1202838</v>
      </c>
      <c r="J29" s="140"/>
    </row>
    <row r="30" spans="1:10" x14ac:dyDescent="0.2">
      <c r="A30" s="126"/>
      <c r="B30" s="134"/>
      <c r="C30" s="134"/>
      <c r="D30" s="134"/>
      <c r="E30" s="134"/>
      <c r="F30" s="126"/>
      <c r="G30" s="141"/>
      <c r="H30" s="141"/>
      <c r="I30" s="140"/>
      <c r="J30" s="140"/>
    </row>
    <row r="31" spans="1:10" x14ac:dyDescent="0.2">
      <c r="A31" s="126"/>
      <c r="B31" s="134"/>
      <c r="C31" s="134"/>
      <c r="D31" s="134"/>
      <c r="E31" s="134"/>
      <c r="F31" s="126"/>
      <c r="G31" s="140"/>
      <c r="H31" s="140"/>
      <c r="I31" s="140"/>
      <c r="J31" s="140"/>
    </row>
    <row r="32" spans="1:10" x14ac:dyDescent="0.2">
      <c r="A32" s="137" t="s">
        <v>168</v>
      </c>
      <c r="B32" s="139">
        <f>SUM(B29,B19)</f>
        <v>4346855</v>
      </c>
      <c r="C32" s="139">
        <f>SUM(C29,C19)</f>
        <v>5094630</v>
      </c>
      <c r="D32" s="139">
        <f>SUM(D29,D19)</f>
        <v>3996164</v>
      </c>
      <c r="E32" s="139"/>
      <c r="F32" s="137" t="s">
        <v>169</v>
      </c>
      <c r="G32" s="139">
        <f>SUM(G29,G19)</f>
        <v>3715717</v>
      </c>
      <c r="H32" s="139">
        <f>SUM(H29,H19)</f>
        <v>5094630</v>
      </c>
      <c r="I32" s="139">
        <f>SUM(I29,I19)</f>
        <v>3996164</v>
      </c>
      <c r="J32" s="140"/>
    </row>
    <row r="33" spans="1:7" x14ac:dyDescent="0.2">
      <c r="A33" s="123"/>
      <c r="B33" s="123"/>
      <c r="E33" s="123"/>
      <c r="F33" s="123"/>
      <c r="G33" s="123"/>
    </row>
    <row r="34" spans="1:7" x14ac:dyDescent="0.2">
      <c r="A34" s="123"/>
      <c r="B34" s="123"/>
      <c r="E34" s="123"/>
      <c r="F34" s="123"/>
      <c r="G34" s="123"/>
    </row>
    <row r="35" spans="1:7" x14ac:dyDescent="0.2">
      <c r="A35" s="123"/>
      <c r="B35" s="123"/>
      <c r="E35" s="123"/>
      <c r="F35" s="123"/>
      <c r="G35" s="123"/>
    </row>
  </sheetData>
  <mergeCells count="2">
    <mergeCell ref="A3:G3"/>
    <mergeCell ref="A4:G4"/>
  </mergeCells>
  <pageMargins left="0.7" right="0.7" top="0.75" bottom="0.75" header="0.3" footer="0.3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2" sqref="M2"/>
    </sheetView>
  </sheetViews>
  <sheetFormatPr defaultRowHeight="12.75" x14ac:dyDescent="0.2"/>
  <cols>
    <col min="1" max="1" width="6.42578125" style="259" customWidth="1"/>
    <col min="2" max="2" width="30.7109375" style="281" customWidth="1"/>
    <col min="3" max="4" width="11.5703125" style="259" customWidth="1"/>
    <col min="5" max="12" width="9.85546875" style="259" bestFit="1" customWidth="1"/>
    <col min="13" max="13" width="10.7109375" style="259" customWidth="1"/>
    <col min="14" max="14" width="11.5703125" style="259" customWidth="1"/>
    <col min="15" max="16" width="11.28515625" style="260" customWidth="1"/>
    <col min="17" max="17" width="11.85546875" style="260" customWidth="1"/>
    <col min="18" max="20" width="11.28515625" style="260" customWidth="1"/>
    <col min="21" max="21" width="11.85546875" style="259" customWidth="1"/>
    <col min="22" max="256" width="9.140625" style="259"/>
    <col min="257" max="257" width="6.42578125" style="259" customWidth="1"/>
    <col min="258" max="258" width="30.7109375" style="259" customWidth="1"/>
    <col min="259" max="260" width="11.5703125" style="259" customWidth="1"/>
    <col min="261" max="262" width="8.7109375" style="259" customWidth="1"/>
    <col min="263" max="266" width="9.85546875" style="259" bestFit="1" customWidth="1"/>
    <col min="267" max="268" width="8.7109375" style="259" customWidth="1"/>
    <col min="269" max="269" width="10.7109375" style="259" customWidth="1"/>
    <col min="270" max="270" width="34.7109375" style="259" customWidth="1"/>
    <col min="271" max="272" width="11.28515625" style="259" customWidth="1"/>
    <col min="273" max="273" width="11.85546875" style="259" customWidth="1"/>
    <col min="274" max="276" width="11.28515625" style="259" customWidth="1"/>
    <col min="277" max="277" width="11.85546875" style="259" customWidth="1"/>
    <col min="278" max="512" width="9.140625" style="259"/>
    <col min="513" max="513" width="6.42578125" style="259" customWidth="1"/>
    <col min="514" max="514" width="30.7109375" style="259" customWidth="1"/>
    <col min="515" max="516" width="11.5703125" style="259" customWidth="1"/>
    <col min="517" max="518" width="8.7109375" style="259" customWidth="1"/>
    <col min="519" max="522" width="9.85546875" style="259" bestFit="1" customWidth="1"/>
    <col min="523" max="524" width="8.7109375" style="259" customWidth="1"/>
    <col min="525" max="525" width="10.7109375" style="259" customWidth="1"/>
    <col min="526" max="526" width="34.7109375" style="259" customWidth="1"/>
    <col min="527" max="528" width="11.28515625" style="259" customWidth="1"/>
    <col min="529" max="529" width="11.85546875" style="259" customWidth="1"/>
    <col min="530" max="532" width="11.28515625" style="259" customWidth="1"/>
    <col min="533" max="533" width="11.85546875" style="259" customWidth="1"/>
    <col min="534" max="768" width="9.140625" style="259"/>
    <col min="769" max="769" width="6.42578125" style="259" customWidth="1"/>
    <col min="770" max="770" width="30.7109375" style="259" customWidth="1"/>
    <col min="771" max="772" width="11.5703125" style="259" customWidth="1"/>
    <col min="773" max="774" width="8.7109375" style="259" customWidth="1"/>
    <col min="775" max="778" width="9.85546875" style="259" bestFit="1" customWidth="1"/>
    <col min="779" max="780" width="8.7109375" style="259" customWidth="1"/>
    <col min="781" max="781" width="10.7109375" style="259" customWidth="1"/>
    <col min="782" max="782" width="34.7109375" style="259" customWidth="1"/>
    <col min="783" max="784" width="11.28515625" style="259" customWidth="1"/>
    <col min="785" max="785" width="11.85546875" style="259" customWidth="1"/>
    <col min="786" max="788" width="11.28515625" style="259" customWidth="1"/>
    <col min="789" max="789" width="11.85546875" style="259" customWidth="1"/>
    <col min="790" max="1024" width="9.140625" style="259"/>
    <col min="1025" max="1025" width="6.42578125" style="259" customWidth="1"/>
    <col min="1026" max="1026" width="30.7109375" style="259" customWidth="1"/>
    <col min="1027" max="1028" width="11.5703125" style="259" customWidth="1"/>
    <col min="1029" max="1030" width="8.7109375" style="259" customWidth="1"/>
    <col min="1031" max="1034" width="9.85546875" style="259" bestFit="1" customWidth="1"/>
    <col min="1035" max="1036" width="8.7109375" style="259" customWidth="1"/>
    <col min="1037" max="1037" width="10.7109375" style="259" customWidth="1"/>
    <col min="1038" max="1038" width="34.7109375" style="259" customWidth="1"/>
    <col min="1039" max="1040" width="11.28515625" style="259" customWidth="1"/>
    <col min="1041" max="1041" width="11.85546875" style="259" customWidth="1"/>
    <col min="1042" max="1044" width="11.28515625" style="259" customWidth="1"/>
    <col min="1045" max="1045" width="11.85546875" style="259" customWidth="1"/>
    <col min="1046" max="1280" width="9.140625" style="259"/>
    <col min="1281" max="1281" width="6.42578125" style="259" customWidth="1"/>
    <col min="1282" max="1282" width="30.7109375" style="259" customWidth="1"/>
    <col min="1283" max="1284" width="11.5703125" style="259" customWidth="1"/>
    <col min="1285" max="1286" width="8.7109375" style="259" customWidth="1"/>
    <col min="1287" max="1290" width="9.85546875" style="259" bestFit="1" customWidth="1"/>
    <col min="1291" max="1292" width="8.7109375" style="259" customWidth="1"/>
    <col min="1293" max="1293" width="10.7109375" style="259" customWidth="1"/>
    <col min="1294" max="1294" width="34.7109375" style="259" customWidth="1"/>
    <col min="1295" max="1296" width="11.28515625" style="259" customWidth="1"/>
    <col min="1297" max="1297" width="11.85546875" style="259" customWidth="1"/>
    <col min="1298" max="1300" width="11.28515625" style="259" customWidth="1"/>
    <col min="1301" max="1301" width="11.85546875" style="259" customWidth="1"/>
    <col min="1302" max="1536" width="9.140625" style="259"/>
    <col min="1537" max="1537" width="6.42578125" style="259" customWidth="1"/>
    <col min="1538" max="1538" width="30.7109375" style="259" customWidth="1"/>
    <col min="1539" max="1540" width="11.5703125" style="259" customWidth="1"/>
    <col min="1541" max="1542" width="8.7109375" style="259" customWidth="1"/>
    <col min="1543" max="1546" width="9.85546875" style="259" bestFit="1" customWidth="1"/>
    <col min="1547" max="1548" width="8.7109375" style="259" customWidth="1"/>
    <col min="1549" max="1549" width="10.7109375" style="259" customWidth="1"/>
    <col min="1550" max="1550" width="34.7109375" style="259" customWidth="1"/>
    <col min="1551" max="1552" width="11.28515625" style="259" customWidth="1"/>
    <col min="1553" max="1553" width="11.85546875" style="259" customWidth="1"/>
    <col min="1554" max="1556" width="11.28515625" style="259" customWidth="1"/>
    <col min="1557" max="1557" width="11.85546875" style="259" customWidth="1"/>
    <col min="1558" max="1792" width="9.140625" style="259"/>
    <col min="1793" max="1793" width="6.42578125" style="259" customWidth="1"/>
    <col min="1794" max="1794" width="30.7109375" style="259" customWidth="1"/>
    <col min="1795" max="1796" width="11.5703125" style="259" customWidth="1"/>
    <col min="1797" max="1798" width="8.7109375" style="259" customWidth="1"/>
    <col min="1799" max="1802" width="9.85546875" style="259" bestFit="1" customWidth="1"/>
    <col min="1803" max="1804" width="8.7109375" style="259" customWidth="1"/>
    <col min="1805" max="1805" width="10.7109375" style="259" customWidth="1"/>
    <col min="1806" max="1806" width="34.7109375" style="259" customWidth="1"/>
    <col min="1807" max="1808" width="11.28515625" style="259" customWidth="1"/>
    <col min="1809" max="1809" width="11.85546875" style="259" customWidth="1"/>
    <col min="1810" max="1812" width="11.28515625" style="259" customWidth="1"/>
    <col min="1813" max="1813" width="11.85546875" style="259" customWidth="1"/>
    <col min="1814" max="2048" width="9.140625" style="259"/>
    <col min="2049" max="2049" width="6.42578125" style="259" customWidth="1"/>
    <col min="2050" max="2050" width="30.7109375" style="259" customWidth="1"/>
    <col min="2051" max="2052" width="11.5703125" style="259" customWidth="1"/>
    <col min="2053" max="2054" width="8.7109375" style="259" customWidth="1"/>
    <col min="2055" max="2058" width="9.85546875" style="259" bestFit="1" customWidth="1"/>
    <col min="2059" max="2060" width="8.7109375" style="259" customWidth="1"/>
    <col min="2061" max="2061" width="10.7109375" style="259" customWidth="1"/>
    <col min="2062" max="2062" width="34.7109375" style="259" customWidth="1"/>
    <col min="2063" max="2064" width="11.28515625" style="259" customWidth="1"/>
    <col min="2065" max="2065" width="11.85546875" style="259" customWidth="1"/>
    <col min="2066" max="2068" width="11.28515625" style="259" customWidth="1"/>
    <col min="2069" max="2069" width="11.85546875" style="259" customWidth="1"/>
    <col min="2070" max="2304" width="9.140625" style="259"/>
    <col min="2305" max="2305" width="6.42578125" style="259" customWidth="1"/>
    <col min="2306" max="2306" width="30.7109375" style="259" customWidth="1"/>
    <col min="2307" max="2308" width="11.5703125" style="259" customWidth="1"/>
    <col min="2309" max="2310" width="8.7109375" style="259" customWidth="1"/>
    <col min="2311" max="2314" width="9.85546875" style="259" bestFit="1" customWidth="1"/>
    <col min="2315" max="2316" width="8.7109375" style="259" customWidth="1"/>
    <col min="2317" max="2317" width="10.7109375" style="259" customWidth="1"/>
    <col min="2318" max="2318" width="34.7109375" style="259" customWidth="1"/>
    <col min="2319" max="2320" width="11.28515625" style="259" customWidth="1"/>
    <col min="2321" max="2321" width="11.85546875" style="259" customWidth="1"/>
    <col min="2322" max="2324" width="11.28515625" style="259" customWidth="1"/>
    <col min="2325" max="2325" width="11.85546875" style="259" customWidth="1"/>
    <col min="2326" max="2560" width="9.140625" style="259"/>
    <col min="2561" max="2561" width="6.42578125" style="259" customWidth="1"/>
    <col min="2562" max="2562" width="30.7109375" style="259" customWidth="1"/>
    <col min="2563" max="2564" width="11.5703125" style="259" customWidth="1"/>
    <col min="2565" max="2566" width="8.7109375" style="259" customWidth="1"/>
    <col min="2567" max="2570" width="9.85546875" style="259" bestFit="1" customWidth="1"/>
    <col min="2571" max="2572" width="8.7109375" style="259" customWidth="1"/>
    <col min="2573" max="2573" width="10.7109375" style="259" customWidth="1"/>
    <col min="2574" max="2574" width="34.7109375" style="259" customWidth="1"/>
    <col min="2575" max="2576" width="11.28515625" style="259" customWidth="1"/>
    <col min="2577" max="2577" width="11.85546875" style="259" customWidth="1"/>
    <col min="2578" max="2580" width="11.28515625" style="259" customWidth="1"/>
    <col min="2581" max="2581" width="11.85546875" style="259" customWidth="1"/>
    <col min="2582" max="2816" width="9.140625" style="259"/>
    <col min="2817" max="2817" width="6.42578125" style="259" customWidth="1"/>
    <col min="2818" max="2818" width="30.7109375" style="259" customWidth="1"/>
    <col min="2819" max="2820" width="11.5703125" style="259" customWidth="1"/>
    <col min="2821" max="2822" width="8.7109375" style="259" customWidth="1"/>
    <col min="2823" max="2826" width="9.85546875" style="259" bestFit="1" customWidth="1"/>
    <col min="2827" max="2828" width="8.7109375" style="259" customWidth="1"/>
    <col min="2829" max="2829" width="10.7109375" style="259" customWidth="1"/>
    <col min="2830" max="2830" width="34.7109375" style="259" customWidth="1"/>
    <col min="2831" max="2832" width="11.28515625" style="259" customWidth="1"/>
    <col min="2833" max="2833" width="11.85546875" style="259" customWidth="1"/>
    <col min="2834" max="2836" width="11.28515625" style="259" customWidth="1"/>
    <col min="2837" max="2837" width="11.85546875" style="259" customWidth="1"/>
    <col min="2838" max="3072" width="9.140625" style="259"/>
    <col min="3073" max="3073" width="6.42578125" style="259" customWidth="1"/>
    <col min="3074" max="3074" width="30.7109375" style="259" customWidth="1"/>
    <col min="3075" max="3076" width="11.5703125" style="259" customWidth="1"/>
    <col min="3077" max="3078" width="8.7109375" style="259" customWidth="1"/>
    <col min="3079" max="3082" width="9.85546875" style="259" bestFit="1" customWidth="1"/>
    <col min="3083" max="3084" width="8.7109375" style="259" customWidth="1"/>
    <col min="3085" max="3085" width="10.7109375" style="259" customWidth="1"/>
    <col min="3086" max="3086" width="34.7109375" style="259" customWidth="1"/>
    <col min="3087" max="3088" width="11.28515625" style="259" customWidth="1"/>
    <col min="3089" max="3089" width="11.85546875" style="259" customWidth="1"/>
    <col min="3090" max="3092" width="11.28515625" style="259" customWidth="1"/>
    <col min="3093" max="3093" width="11.85546875" style="259" customWidth="1"/>
    <col min="3094" max="3328" width="9.140625" style="259"/>
    <col min="3329" max="3329" width="6.42578125" style="259" customWidth="1"/>
    <col min="3330" max="3330" width="30.7109375" style="259" customWidth="1"/>
    <col min="3331" max="3332" width="11.5703125" style="259" customWidth="1"/>
    <col min="3333" max="3334" width="8.7109375" style="259" customWidth="1"/>
    <col min="3335" max="3338" width="9.85546875" style="259" bestFit="1" customWidth="1"/>
    <col min="3339" max="3340" width="8.7109375" style="259" customWidth="1"/>
    <col min="3341" max="3341" width="10.7109375" style="259" customWidth="1"/>
    <col min="3342" max="3342" width="34.7109375" style="259" customWidth="1"/>
    <col min="3343" max="3344" width="11.28515625" style="259" customWidth="1"/>
    <col min="3345" max="3345" width="11.85546875" style="259" customWidth="1"/>
    <col min="3346" max="3348" width="11.28515625" style="259" customWidth="1"/>
    <col min="3349" max="3349" width="11.85546875" style="259" customWidth="1"/>
    <col min="3350" max="3584" width="9.140625" style="259"/>
    <col min="3585" max="3585" width="6.42578125" style="259" customWidth="1"/>
    <col min="3586" max="3586" width="30.7109375" style="259" customWidth="1"/>
    <col min="3587" max="3588" width="11.5703125" style="259" customWidth="1"/>
    <col min="3589" max="3590" width="8.7109375" style="259" customWidth="1"/>
    <col min="3591" max="3594" width="9.85546875" style="259" bestFit="1" customWidth="1"/>
    <col min="3595" max="3596" width="8.7109375" style="259" customWidth="1"/>
    <col min="3597" max="3597" width="10.7109375" style="259" customWidth="1"/>
    <col min="3598" max="3598" width="34.7109375" style="259" customWidth="1"/>
    <col min="3599" max="3600" width="11.28515625" style="259" customWidth="1"/>
    <col min="3601" max="3601" width="11.85546875" style="259" customWidth="1"/>
    <col min="3602" max="3604" width="11.28515625" style="259" customWidth="1"/>
    <col min="3605" max="3605" width="11.85546875" style="259" customWidth="1"/>
    <col min="3606" max="3840" width="9.140625" style="259"/>
    <col min="3841" max="3841" width="6.42578125" style="259" customWidth="1"/>
    <col min="3842" max="3842" width="30.7109375" style="259" customWidth="1"/>
    <col min="3843" max="3844" width="11.5703125" style="259" customWidth="1"/>
    <col min="3845" max="3846" width="8.7109375" style="259" customWidth="1"/>
    <col min="3847" max="3850" width="9.85546875" style="259" bestFit="1" customWidth="1"/>
    <col min="3851" max="3852" width="8.7109375" style="259" customWidth="1"/>
    <col min="3853" max="3853" width="10.7109375" style="259" customWidth="1"/>
    <col min="3854" max="3854" width="34.7109375" style="259" customWidth="1"/>
    <col min="3855" max="3856" width="11.28515625" style="259" customWidth="1"/>
    <col min="3857" max="3857" width="11.85546875" style="259" customWidth="1"/>
    <col min="3858" max="3860" width="11.28515625" style="259" customWidth="1"/>
    <col min="3861" max="3861" width="11.85546875" style="259" customWidth="1"/>
    <col min="3862" max="4096" width="9.140625" style="259"/>
    <col min="4097" max="4097" width="6.42578125" style="259" customWidth="1"/>
    <col min="4098" max="4098" width="30.7109375" style="259" customWidth="1"/>
    <col min="4099" max="4100" width="11.5703125" style="259" customWidth="1"/>
    <col min="4101" max="4102" width="8.7109375" style="259" customWidth="1"/>
    <col min="4103" max="4106" width="9.85546875" style="259" bestFit="1" customWidth="1"/>
    <col min="4107" max="4108" width="8.7109375" style="259" customWidth="1"/>
    <col min="4109" max="4109" width="10.7109375" style="259" customWidth="1"/>
    <col min="4110" max="4110" width="34.7109375" style="259" customWidth="1"/>
    <col min="4111" max="4112" width="11.28515625" style="259" customWidth="1"/>
    <col min="4113" max="4113" width="11.85546875" style="259" customWidth="1"/>
    <col min="4114" max="4116" width="11.28515625" style="259" customWidth="1"/>
    <col min="4117" max="4117" width="11.85546875" style="259" customWidth="1"/>
    <col min="4118" max="4352" width="9.140625" style="259"/>
    <col min="4353" max="4353" width="6.42578125" style="259" customWidth="1"/>
    <col min="4354" max="4354" width="30.7109375" style="259" customWidth="1"/>
    <col min="4355" max="4356" width="11.5703125" style="259" customWidth="1"/>
    <col min="4357" max="4358" width="8.7109375" style="259" customWidth="1"/>
    <col min="4359" max="4362" width="9.85546875" style="259" bestFit="1" customWidth="1"/>
    <col min="4363" max="4364" width="8.7109375" style="259" customWidth="1"/>
    <col min="4365" max="4365" width="10.7109375" style="259" customWidth="1"/>
    <col min="4366" max="4366" width="34.7109375" style="259" customWidth="1"/>
    <col min="4367" max="4368" width="11.28515625" style="259" customWidth="1"/>
    <col min="4369" max="4369" width="11.85546875" style="259" customWidth="1"/>
    <col min="4370" max="4372" width="11.28515625" style="259" customWidth="1"/>
    <col min="4373" max="4373" width="11.85546875" style="259" customWidth="1"/>
    <col min="4374" max="4608" width="9.140625" style="259"/>
    <col min="4609" max="4609" width="6.42578125" style="259" customWidth="1"/>
    <col min="4610" max="4610" width="30.7109375" style="259" customWidth="1"/>
    <col min="4611" max="4612" width="11.5703125" style="259" customWidth="1"/>
    <col min="4613" max="4614" width="8.7109375" style="259" customWidth="1"/>
    <col min="4615" max="4618" width="9.85546875" style="259" bestFit="1" customWidth="1"/>
    <col min="4619" max="4620" width="8.7109375" style="259" customWidth="1"/>
    <col min="4621" max="4621" width="10.7109375" style="259" customWidth="1"/>
    <col min="4622" max="4622" width="34.7109375" style="259" customWidth="1"/>
    <col min="4623" max="4624" width="11.28515625" style="259" customWidth="1"/>
    <col min="4625" max="4625" width="11.85546875" style="259" customWidth="1"/>
    <col min="4626" max="4628" width="11.28515625" style="259" customWidth="1"/>
    <col min="4629" max="4629" width="11.85546875" style="259" customWidth="1"/>
    <col min="4630" max="4864" width="9.140625" style="259"/>
    <col min="4865" max="4865" width="6.42578125" style="259" customWidth="1"/>
    <col min="4866" max="4866" width="30.7109375" style="259" customWidth="1"/>
    <col min="4867" max="4868" width="11.5703125" style="259" customWidth="1"/>
    <col min="4869" max="4870" width="8.7109375" style="259" customWidth="1"/>
    <col min="4871" max="4874" width="9.85546875" style="259" bestFit="1" customWidth="1"/>
    <col min="4875" max="4876" width="8.7109375" style="259" customWidth="1"/>
    <col min="4877" max="4877" width="10.7109375" style="259" customWidth="1"/>
    <col min="4878" max="4878" width="34.7109375" style="259" customWidth="1"/>
    <col min="4879" max="4880" width="11.28515625" style="259" customWidth="1"/>
    <col min="4881" max="4881" width="11.85546875" style="259" customWidth="1"/>
    <col min="4882" max="4884" width="11.28515625" style="259" customWidth="1"/>
    <col min="4885" max="4885" width="11.85546875" style="259" customWidth="1"/>
    <col min="4886" max="5120" width="9.140625" style="259"/>
    <col min="5121" max="5121" width="6.42578125" style="259" customWidth="1"/>
    <col min="5122" max="5122" width="30.7109375" style="259" customWidth="1"/>
    <col min="5123" max="5124" width="11.5703125" style="259" customWidth="1"/>
    <col min="5125" max="5126" width="8.7109375" style="259" customWidth="1"/>
    <col min="5127" max="5130" width="9.85546875" style="259" bestFit="1" customWidth="1"/>
    <col min="5131" max="5132" width="8.7109375" style="259" customWidth="1"/>
    <col min="5133" max="5133" width="10.7109375" style="259" customWidth="1"/>
    <col min="5134" max="5134" width="34.7109375" style="259" customWidth="1"/>
    <col min="5135" max="5136" width="11.28515625" style="259" customWidth="1"/>
    <col min="5137" max="5137" width="11.85546875" style="259" customWidth="1"/>
    <col min="5138" max="5140" width="11.28515625" style="259" customWidth="1"/>
    <col min="5141" max="5141" width="11.85546875" style="259" customWidth="1"/>
    <col min="5142" max="5376" width="9.140625" style="259"/>
    <col min="5377" max="5377" width="6.42578125" style="259" customWidth="1"/>
    <col min="5378" max="5378" width="30.7109375" style="259" customWidth="1"/>
    <col min="5379" max="5380" width="11.5703125" style="259" customWidth="1"/>
    <col min="5381" max="5382" width="8.7109375" style="259" customWidth="1"/>
    <col min="5383" max="5386" width="9.85546875" style="259" bestFit="1" customWidth="1"/>
    <col min="5387" max="5388" width="8.7109375" style="259" customWidth="1"/>
    <col min="5389" max="5389" width="10.7109375" style="259" customWidth="1"/>
    <col min="5390" max="5390" width="34.7109375" style="259" customWidth="1"/>
    <col min="5391" max="5392" width="11.28515625" style="259" customWidth="1"/>
    <col min="5393" max="5393" width="11.85546875" style="259" customWidth="1"/>
    <col min="5394" max="5396" width="11.28515625" style="259" customWidth="1"/>
    <col min="5397" max="5397" width="11.85546875" style="259" customWidth="1"/>
    <col min="5398" max="5632" width="9.140625" style="259"/>
    <col min="5633" max="5633" width="6.42578125" style="259" customWidth="1"/>
    <col min="5634" max="5634" width="30.7109375" style="259" customWidth="1"/>
    <col min="5635" max="5636" width="11.5703125" style="259" customWidth="1"/>
    <col min="5637" max="5638" width="8.7109375" style="259" customWidth="1"/>
    <col min="5639" max="5642" width="9.85546875" style="259" bestFit="1" customWidth="1"/>
    <col min="5643" max="5644" width="8.7109375" style="259" customWidth="1"/>
    <col min="5645" max="5645" width="10.7109375" style="259" customWidth="1"/>
    <col min="5646" max="5646" width="34.7109375" style="259" customWidth="1"/>
    <col min="5647" max="5648" width="11.28515625" style="259" customWidth="1"/>
    <col min="5649" max="5649" width="11.85546875" style="259" customWidth="1"/>
    <col min="5650" max="5652" width="11.28515625" style="259" customWidth="1"/>
    <col min="5653" max="5653" width="11.85546875" style="259" customWidth="1"/>
    <col min="5654" max="5888" width="9.140625" style="259"/>
    <col min="5889" max="5889" width="6.42578125" style="259" customWidth="1"/>
    <col min="5890" max="5890" width="30.7109375" style="259" customWidth="1"/>
    <col min="5891" max="5892" width="11.5703125" style="259" customWidth="1"/>
    <col min="5893" max="5894" width="8.7109375" style="259" customWidth="1"/>
    <col min="5895" max="5898" width="9.85546875" style="259" bestFit="1" customWidth="1"/>
    <col min="5899" max="5900" width="8.7109375" style="259" customWidth="1"/>
    <col min="5901" max="5901" width="10.7109375" style="259" customWidth="1"/>
    <col min="5902" max="5902" width="34.7109375" style="259" customWidth="1"/>
    <col min="5903" max="5904" width="11.28515625" style="259" customWidth="1"/>
    <col min="5905" max="5905" width="11.85546875" style="259" customWidth="1"/>
    <col min="5906" max="5908" width="11.28515625" style="259" customWidth="1"/>
    <col min="5909" max="5909" width="11.85546875" style="259" customWidth="1"/>
    <col min="5910" max="6144" width="9.140625" style="259"/>
    <col min="6145" max="6145" width="6.42578125" style="259" customWidth="1"/>
    <col min="6146" max="6146" width="30.7109375" style="259" customWidth="1"/>
    <col min="6147" max="6148" width="11.5703125" style="259" customWidth="1"/>
    <col min="6149" max="6150" width="8.7109375" style="259" customWidth="1"/>
    <col min="6151" max="6154" width="9.85546875" style="259" bestFit="1" customWidth="1"/>
    <col min="6155" max="6156" width="8.7109375" style="259" customWidth="1"/>
    <col min="6157" max="6157" width="10.7109375" style="259" customWidth="1"/>
    <col min="6158" max="6158" width="34.7109375" style="259" customWidth="1"/>
    <col min="6159" max="6160" width="11.28515625" style="259" customWidth="1"/>
    <col min="6161" max="6161" width="11.85546875" style="259" customWidth="1"/>
    <col min="6162" max="6164" width="11.28515625" style="259" customWidth="1"/>
    <col min="6165" max="6165" width="11.85546875" style="259" customWidth="1"/>
    <col min="6166" max="6400" width="9.140625" style="259"/>
    <col min="6401" max="6401" width="6.42578125" style="259" customWidth="1"/>
    <col min="6402" max="6402" width="30.7109375" style="259" customWidth="1"/>
    <col min="6403" max="6404" width="11.5703125" style="259" customWidth="1"/>
    <col min="6405" max="6406" width="8.7109375" style="259" customWidth="1"/>
    <col min="6407" max="6410" width="9.85546875" style="259" bestFit="1" customWidth="1"/>
    <col min="6411" max="6412" width="8.7109375" style="259" customWidth="1"/>
    <col min="6413" max="6413" width="10.7109375" style="259" customWidth="1"/>
    <col min="6414" max="6414" width="34.7109375" style="259" customWidth="1"/>
    <col min="6415" max="6416" width="11.28515625" style="259" customWidth="1"/>
    <col min="6417" max="6417" width="11.85546875" style="259" customWidth="1"/>
    <col min="6418" max="6420" width="11.28515625" style="259" customWidth="1"/>
    <col min="6421" max="6421" width="11.85546875" style="259" customWidth="1"/>
    <col min="6422" max="6656" width="9.140625" style="259"/>
    <col min="6657" max="6657" width="6.42578125" style="259" customWidth="1"/>
    <col min="6658" max="6658" width="30.7109375" style="259" customWidth="1"/>
    <col min="6659" max="6660" width="11.5703125" style="259" customWidth="1"/>
    <col min="6661" max="6662" width="8.7109375" style="259" customWidth="1"/>
    <col min="6663" max="6666" width="9.85546875" style="259" bestFit="1" customWidth="1"/>
    <col min="6667" max="6668" width="8.7109375" style="259" customWidth="1"/>
    <col min="6669" max="6669" width="10.7109375" style="259" customWidth="1"/>
    <col min="6670" max="6670" width="34.7109375" style="259" customWidth="1"/>
    <col min="6671" max="6672" width="11.28515625" style="259" customWidth="1"/>
    <col min="6673" max="6673" width="11.85546875" style="259" customWidth="1"/>
    <col min="6674" max="6676" width="11.28515625" style="259" customWidth="1"/>
    <col min="6677" max="6677" width="11.85546875" style="259" customWidth="1"/>
    <col min="6678" max="6912" width="9.140625" style="259"/>
    <col min="6913" max="6913" width="6.42578125" style="259" customWidth="1"/>
    <col min="6914" max="6914" width="30.7109375" style="259" customWidth="1"/>
    <col min="6915" max="6916" width="11.5703125" style="259" customWidth="1"/>
    <col min="6917" max="6918" width="8.7109375" style="259" customWidth="1"/>
    <col min="6919" max="6922" width="9.85546875" style="259" bestFit="1" customWidth="1"/>
    <col min="6923" max="6924" width="8.7109375" style="259" customWidth="1"/>
    <col min="6925" max="6925" width="10.7109375" style="259" customWidth="1"/>
    <col min="6926" max="6926" width="34.7109375" style="259" customWidth="1"/>
    <col min="6927" max="6928" width="11.28515625" style="259" customWidth="1"/>
    <col min="6929" max="6929" width="11.85546875" style="259" customWidth="1"/>
    <col min="6930" max="6932" width="11.28515625" style="259" customWidth="1"/>
    <col min="6933" max="6933" width="11.85546875" style="259" customWidth="1"/>
    <col min="6934" max="7168" width="9.140625" style="259"/>
    <col min="7169" max="7169" width="6.42578125" style="259" customWidth="1"/>
    <col min="7170" max="7170" width="30.7109375" style="259" customWidth="1"/>
    <col min="7171" max="7172" width="11.5703125" style="259" customWidth="1"/>
    <col min="7173" max="7174" width="8.7109375" style="259" customWidth="1"/>
    <col min="7175" max="7178" width="9.85546875" style="259" bestFit="1" customWidth="1"/>
    <col min="7179" max="7180" width="8.7109375" style="259" customWidth="1"/>
    <col min="7181" max="7181" width="10.7109375" style="259" customWidth="1"/>
    <col min="7182" max="7182" width="34.7109375" style="259" customWidth="1"/>
    <col min="7183" max="7184" width="11.28515625" style="259" customWidth="1"/>
    <col min="7185" max="7185" width="11.85546875" style="259" customWidth="1"/>
    <col min="7186" max="7188" width="11.28515625" style="259" customWidth="1"/>
    <col min="7189" max="7189" width="11.85546875" style="259" customWidth="1"/>
    <col min="7190" max="7424" width="9.140625" style="259"/>
    <col min="7425" max="7425" width="6.42578125" style="259" customWidth="1"/>
    <col min="7426" max="7426" width="30.7109375" style="259" customWidth="1"/>
    <col min="7427" max="7428" width="11.5703125" style="259" customWidth="1"/>
    <col min="7429" max="7430" width="8.7109375" style="259" customWidth="1"/>
    <col min="7431" max="7434" width="9.85546875" style="259" bestFit="1" customWidth="1"/>
    <col min="7435" max="7436" width="8.7109375" style="259" customWidth="1"/>
    <col min="7437" max="7437" width="10.7109375" style="259" customWidth="1"/>
    <col min="7438" max="7438" width="34.7109375" style="259" customWidth="1"/>
    <col min="7439" max="7440" width="11.28515625" style="259" customWidth="1"/>
    <col min="7441" max="7441" width="11.85546875" style="259" customWidth="1"/>
    <col min="7442" max="7444" width="11.28515625" style="259" customWidth="1"/>
    <col min="7445" max="7445" width="11.85546875" style="259" customWidth="1"/>
    <col min="7446" max="7680" width="9.140625" style="259"/>
    <col min="7681" max="7681" width="6.42578125" style="259" customWidth="1"/>
    <col min="7682" max="7682" width="30.7109375" style="259" customWidth="1"/>
    <col min="7683" max="7684" width="11.5703125" style="259" customWidth="1"/>
    <col min="7685" max="7686" width="8.7109375" style="259" customWidth="1"/>
    <col min="7687" max="7690" width="9.85546875" style="259" bestFit="1" customWidth="1"/>
    <col min="7691" max="7692" width="8.7109375" style="259" customWidth="1"/>
    <col min="7693" max="7693" width="10.7109375" style="259" customWidth="1"/>
    <col min="7694" max="7694" width="34.7109375" style="259" customWidth="1"/>
    <col min="7695" max="7696" width="11.28515625" style="259" customWidth="1"/>
    <col min="7697" max="7697" width="11.85546875" style="259" customWidth="1"/>
    <col min="7698" max="7700" width="11.28515625" style="259" customWidth="1"/>
    <col min="7701" max="7701" width="11.85546875" style="259" customWidth="1"/>
    <col min="7702" max="7936" width="9.140625" style="259"/>
    <col min="7937" max="7937" width="6.42578125" style="259" customWidth="1"/>
    <col min="7938" max="7938" width="30.7109375" style="259" customWidth="1"/>
    <col min="7939" max="7940" width="11.5703125" style="259" customWidth="1"/>
    <col min="7941" max="7942" width="8.7109375" style="259" customWidth="1"/>
    <col min="7943" max="7946" width="9.85546875" style="259" bestFit="1" customWidth="1"/>
    <col min="7947" max="7948" width="8.7109375" style="259" customWidth="1"/>
    <col min="7949" max="7949" width="10.7109375" style="259" customWidth="1"/>
    <col min="7950" max="7950" width="34.7109375" style="259" customWidth="1"/>
    <col min="7951" max="7952" width="11.28515625" style="259" customWidth="1"/>
    <col min="7953" max="7953" width="11.85546875" style="259" customWidth="1"/>
    <col min="7954" max="7956" width="11.28515625" style="259" customWidth="1"/>
    <col min="7957" max="7957" width="11.85546875" style="259" customWidth="1"/>
    <col min="7958" max="8192" width="9.140625" style="259"/>
    <col min="8193" max="8193" width="6.42578125" style="259" customWidth="1"/>
    <col min="8194" max="8194" width="30.7109375" style="259" customWidth="1"/>
    <col min="8195" max="8196" width="11.5703125" style="259" customWidth="1"/>
    <col min="8197" max="8198" width="8.7109375" style="259" customWidth="1"/>
    <col min="8199" max="8202" width="9.85546875" style="259" bestFit="1" customWidth="1"/>
    <col min="8203" max="8204" width="8.7109375" style="259" customWidth="1"/>
    <col min="8205" max="8205" width="10.7109375" style="259" customWidth="1"/>
    <col min="8206" max="8206" width="34.7109375" style="259" customWidth="1"/>
    <col min="8207" max="8208" width="11.28515625" style="259" customWidth="1"/>
    <col min="8209" max="8209" width="11.85546875" style="259" customWidth="1"/>
    <col min="8210" max="8212" width="11.28515625" style="259" customWidth="1"/>
    <col min="8213" max="8213" width="11.85546875" style="259" customWidth="1"/>
    <col min="8214" max="8448" width="9.140625" style="259"/>
    <col min="8449" max="8449" width="6.42578125" style="259" customWidth="1"/>
    <col min="8450" max="8450" width="30.7109375" style="259" customWidth="1"/>
    <col min="8451" max="8452" width="11.5703125" style="259" customWidth="1"/>
    <col min="8453" max="8454" width="8.7109375" style="259" customWidth="1"/>
    <col min="8455" max="8458" width="9.85546875" style="259" bestFit="1" customWidth="1"/>
    <col min="8459" max="8460" width="8.7109375" style="259" customWidth="1"/>
    <col min="8461" max="8461" width="10.7109375" style="259" customWidth="1"/>
    <col min="8462" max="8462" width="34.7109375" style="259" customWidth="1"/>
    <col min="8463" max="8464" width="11.28515625" style="259" customWidth="1"/>
    <col min="8465" max="8465" width="11.85546875" style="259" customWidth="1"/>
    <col min="8466" max="8468" width="11.28515625" style="259" customWidth="1"/>
    <col min="8469" max="8469" width="11.85546875" style="259" customWidth="1"/>
    <col min="8470" max="8704" width="9.140625" style="259"/>
    <col min="8705" max="8705" width="6.42578125" style="259" customWidth="1"/>
    <col min="8706" max="8706" width="30.7109375" style="259" customWidth="1"/>
    <col min="8707" max="8708" width="11.5703125" style="259" customWidth="1"/>
    <col min="8709" max="8710" width="8.7109375" style="259" customWidth="1"/>
    <col min="8711" max="8714" width="9.85546875" style="259" bestFit="1" customWidth="1"/>
    <col min="8715" max="8716" width="8.7109375" style="259" customWidth="1"/>
    <col min="8717" max="8717" width="10.7109375" style="259" customWidth="1"/>
    <col min="8718" max="8718" width="34.7109375" style="259" customWidth="1"/>
    <col min="8719" max="8720" width="11.28515625" style="259" customWidth="1"/>
    <col min="8721" max="8721" width="11.85546875" style="259" customWidth="1"/>
    <col min="8722" max="8724" width="11.28515625" style="259" customWidth="1"/>
    <col min="8725" max="8725" width="11.85546875" style="259" customWidth="1"/>
    <col min="8726" max="8960" width="9.140625" style="259"/>
    <col min="8961" max="8961" width="6.42578125" style="259" customWidth="1"/>
    <col min="8962" max="8962" width="30.7109375" style="259" customWidth="1"/>
    <col min="8963" max="8964" width="11.5703125" style="259" customWidth="1"/>
    <col min="8965" max="8966" width="8.7109375" style="259" customWidth="1"/>
    <col min="8967" max="8970" width="9.85546875" style="259" bestFit="1" customWidth="1"/>
    <col min="8971" max="8972" width="8.7109375" style="259" customWidth="1"/>
    <col min="8973" max="8973" width="10.7109375" style="259" customWidth="1"/>
    <col min="8974" max="8974" width="34.7109375" style="259" customWidth="1"/>
    <col min="8975" max="8976" width="11.28515625" style="259" customWidth="1"/>
    <col min="8977" max="8977" width="11.85546875" style="259" customWidth="1"/>
    <col min="8978" max="8980" width="11.28515625" style="259" customWidth="1"/>
    <col min="8981" max="8981" width="11.85546875" style="259" customWidth="1"/>
    <col min="8982" max="9216" width="9.140625" style="259"/>
    <col min="9217" max="9217" width="6.42578125" style="259" customWidth="1"/>
    <col min="9218" max="9218" width="30.7109375" style="259" customWidth="1"/>
    <col min="9219" max="9220" width="11.5703125" style="259" customWidth="1"/>
    <col min="9221" max="9222" width="8.7109375" style="259" customWidth="1"/>
    <col min="9223" max="9226" width="9.85546875" style="259" bestFit="1" customWidth="1"/>
    <col min="9227" max="9228" width="8.7109375" style="259" customWidth="1"/>
    <col min="9229" max="9229" width="10.7109375" style="259" customWidth="1"/>
    <col min="9230" max="9230" width="34.7109375" style="259" customWidth="1"/>
    <col min="9231" max="9232" width="11.28515625" style="259" customWidth="1"/>
    <col min="9233" max="9233" width="11.85546875" style="259" customWidth="1"/>
    <col min="9234" max="9236" width="11.28515625" style="259" customWidth="1"/>
    <col min="9237" max="9237" width="11.85546875" style="259" customWidth="1"/>
    <col min="9238" max="9472" width="9.140625" style="259"/>
    <col min="9473" max="9473" width="6.42578125" style="259" customWidth="1"/>
    <col min="9474" max="9474" width="30.7109375" style="259" customWidth="1"/>
    <col min="9475" max="9476" width="11.5703125" style="259" customWidth="1"/>
    <col min="9477" max="9478" width="8.7109375" style="259" customWidth="1"/>
    <col min="9479" max="9482" width="9.85546875" style="259" bestFit="1" customWidth="1"/>
    <col min="9483" max="9484" width="8.7109375" style="259" customWidth="1"/>
    <col min="9485" max="9485" width="10.7109375" style="259" customWidth="1"/>
    <col min="9486" max="9486" width="34.7109375" style="259" customWidth="1"/>
    <col min="9487" max="9488" width="11.28515625" style="259" customWidth="1"/>
    <col min="9489" max="9489" width="11.85546875" style="259" customWidth="1"/>
    <col min="9490" max="9492" width="11.28515625" style="259" customWidth="1"/>
    <col min="9493" max="9493" width="11.85546875" style="259" customWidth="1"/>
    <col min="9494" max="9728" width="9.140625" style="259"/>
    <col min="9729" max="9729" width="6.42578125" style="259" customWidth="1"/>
    <col min="9730" max="9730" width="30.7109375" style="259" customWidth="1"/>
    <col min="9731" max="9732" width="11.5703125" style="259" customWidth="1"/>
    <col min="9733" max="9734" width="8.7109375" style="259" customWidth="1"/>
    <col min="9735" max="9738" width="9.85546875" style="259" bestFit="1" customWidth="1"/>
    <col min="9739" max="9740" width="8.7109375" style="259" customWidth="1"/>
    <col min="9741" max="9741" width="10.7109375" style="259" customWidth="1"/>
    <col min="9742" max="9742" width="34.7109375" style="259" customWidth="1"/>
    <col min="9743" max="9744" width="11.28515625" style="259" customWidth="1"/>
    <col min="9745" max="9745" width="11.85546875" style="259" customWidth="1"/>
    <col min="9746" max="9748" width="11.28515625" style="259" customWidth="1"/>
    <col min="9749" max="9749" width="11.85546875" style="259" customWidth="1"/>
    <col min="9750" max="9984" width="9.140625" style="259"/>
    <col min="9985" max="9985" width="6.42578125" style="259" customWidth="1"/>
    <col min="9986" max="9986" width="30.7109375" style="259" customWidth="1"/>
    <col min="9987" max="9988" width="11.5703125" style="259" customWidth="1"/>
    <col min="9989" max="9990" width="8.7109375" style="259" customWidth="1"/>
    <col min="9991" max="9994" width="9.85546875" style="259" bestFit="1" customWidth="1"/>
    <col min="9995" max="9996" width="8.7109375" style="259" customWidth="1"/>
    <col min="9997" max="9997" width="10.7109375" style="259" customWidth="1"/>
    <col min="9998" max="9998" width="34.7109375" style="259" customWidth="1"/>
    <col min="9999" max="10000" width="11.28515625" style="259" customWidth="1"/>
    <col min="10001" max="10001" width="11.85546875" style="259" customWidth="1"/>
    <col min="10002" max="10004" width="11.28515625" style="259" customWidth="1"/>
    <col min="10005" max="10005" width="11.85546875" style="259" customWidth="1"/>
    <col min="10006" max="10240" width="9.140625" style="259"/>
    <col min="10241" max="10241" width="6.42578125" style="259" customWidth="1"/>
    <col min="10242" max="10242" width="30.7109375" style="259" customWidth="1"/>
    <col min="10243" max="10244" width="11.5703125" style="259" customWidth="1"/>
    <col min="10245" max="10246" width="8.7109375" style="259" customWidth="1"/>
    <col min="10247" max="10250" width="9.85546875" style="259" bestFit="1" customWidth="1"/>
    <col min="10251" max="10252" width="8.7109375" style="259" customWidth="1"/>
    <col min="10253" max="10253" width="10.7109375" style="259" customWidth="1"/>
    <col min="10254" max="10254" width="34.7109375" style="259" customWidth="1"/>
    <col min="10255" max="10256" width="11.28515625" style="259" customWidth="1"/>
    <col min="10257" max="10257" width="11.85546875" style="259" customWidth="1"/>
    <col min="10258" max="10260" width="11.28515625" style="259" customWidth="1"/>
    <col min="10261" max="10261" width="11.85546875" style="259" customWidth="1"/>
    <col min="10262" max="10496" width="9.140625" style="259"/>
    <col min="10497" max="10497" width="6.42578125" style="259" customWidth="1"/>
    <col min="10498" max="10498" width="30.7109375" style="259" customWidth="1"/>
    <col min="10499" max="10500" width="11.5703125" style="259" customWidth="1"/>
    <col min="10501" max="10502" width="8.7109375" style="259" customWidth="1"/>
    <col min="10503" max="10506" width="9.85546875" style="259" bestFit="1" customWidth="1"/>
    <col min="10507" max="10508" width="8.7109375" style="259" customWidth="1"/>
    <col min="10509" max="10509" width="10.7109375" style="259" customWidth="1"/>
    <col min="10510" max="10510" width="34.7109375" style="259" customWidth="1"/>
    <col min="10511" max="10512" width="11.28515625" style="259" customWidth="1"/>
    <col min="10513" max="10513" width="11.85546875" style="259" customWidth="1"/>
    <col min="10514" max="10516" width="11.28515625" style="259" customWidth="1"/>
    <col min="10517" max="10517" width="11.85546875" style="259" customWidth="1"/>
    <col min="10518" max="10752" width="9.140625" style="259"/>
    <col min="10753" max="10753" width="6.42578125" style="259" customWidth="1"/>
    <col min="10754" max="10754" width="30.7109375" style="259" customWidth="1"/>
    <col min="10755" max="10756" width="11.5703125" style="259" customWidth="1"/>
    <col min="10757" max="10758" width="8.7109375" style="259" customWidth="1"/>
    <col min="10759" max="10762" width="9.85546875" style="259" bestFit="1" customWidth="1"/>
    <col min="10763" max="10764" width="8.7109375" style="259" customWidth="1"/>
    <col min="10765" max="10765" width="10.7109375" style="259" customWidth="1"/>
    <col min="10766" max="10766" width="34.7109375" style="259" customWidth="1"/>
    <col min="10767" max="10768" width="11.28515625" style="259" customWidth="1"/>
    <col min="10769" max="10769" width="11.85546875" style="259" customWidth="1"/>
    <col min="10770" max="10772" width="11.28515625" style="259" customWidth="1"/>
    <col min="10773" max="10773" width="11.85546875" style="259" customWidth="1"/>
    <col min="10774" max="11008" width="9.140625" style="259"/>
    <col min="11009" max="11009" width="6.42578125" style="259" customWidth="1"/>
    <col min="11010" max="11010" width="30.7109375" style="259" customWidth="1"/>
    <col min="11011" max="11012" width="11.5703125" style="259" customWidth="1"/>
    <col min="11013" max="11014" width="8.7109375" style="259" customWidth="1"/>
    <col min="11015" max="11018" width="9.85546875" style="259" bestFit="1" customWidth="1"/>
    <col min="11019" max="11020" width="8.7109375" style="259" customWidth="1"/>
    <col min="11021" max="11021" width="10.7109375" style="259" customWidth="1"/>
    <col min="11022" max="11022" width="34.7109375" style="259" customWidth="1"/>
    <col min="11023" max="11024" width="11.28515625" style="259" customWidth="1"/>
    <col min="11025" max="11025" width="11.85546875" style="259" customWidth="1"/>
    <col min="11026" max="11028" width="11.28515625" style="259" customWidth="1"/>
    <col min="11029" max="11029" width="11.85546875" style="259" customWidth="1"/>
    <col min="11030" max="11264" width="9.140625" style="259"/>
    <col min="11265" max="11265" width="6.42578125" style="259" customWidth="1"/>
    <col min="11266" max="11266" width="30.7109375" style="259" customWidth="1"/>
    <col min="11267" max="11268" width="11.5703125" style="259" customWidth="1"/>
    <col min="11269" max="11270" width="8.7109375" style="259" customWidth="1"/>
    <col min="11271" max="11274" width="9.85546875" style="259" bestFit="1" customWidth="1"/>
    <col min="11275" max="11276" width="8.7109375" style="259" customWidth="1"/>
    <col min="11277" max="11277" width="10.7109375" style="259" customWidth="1"/>
    <col min="11278" max="11278" width="34.7109375" style="259" customWidth="1"/>
    <col min="11279" max="11280" width="11.28515625" style="259" customWidth="1"/>
    <col min="11281" max="11281" width="11.85546875" style="259" customWidth="1"/>
    <col min="11282" max="11284" width="11.28515625" style="259" customWidth="1"/>
    <col min="11285" max="11285" width="11.85546875" style="259" customWidth="1"/>
    <col min="11286" max="11520" width="9.140625" style="259"/>
    <col min="11521" max="11521" width="6.42578125" style="259" customWidth="1"/>
    <col min="11522" max="11522" width="30.7109375" style="259" customWidth="1"/>
    <col min="11523" max="11524" width="11.5703125" style="259" customWidth="1"/>
    <col min="11525" max="11526" width="8.7109375" style="259" customWidth="1"/>
    <col min="11527" max="11530" width="9.85546875" style="259" bestFit="1" customWidth="1"/>
    <col min="11531" max="11532" width="8.7109375" style="259" customWidth="1"/>
    <col min="11533" max="11533" width="10.7109375" style="259" customWidth="1"/>
    <col min="11534" max="11534" width="34.7109375" style="259" customWidth="1"/>
    <col min="11535" max="11536" width="11.28515625" style="259" customWidth="1"/>
    <col min="11537" max="11537" width="11.85546875" style="259" customWidth="1"/>
    <col min="11538" max="11540" width="11.28515625" style="259" customWidth="1"/>
    <col min="11541" max="11541" width="11.85546875" style="259" customWidth="1"/>
    <col min="11542" max="11776" width="9.140625" style="259"/>
    <col min="11777" max="11777" width="6.42578125" style="259" customWidth="1"/>
    <col min="11778" max="11778" width="30.7109375" style="259" customWidth="1"/>
    <col min="11779" max="11780" width="11.5703125" style="259" customWidth="1"/>
    <col min="11781" max="11782" width="8.7109375" style="259" customWidth="1"/>
    <col min="11783" max="11786" width="9.85546875" style="259" bestFit="1" customWidth="1"/>
    <col min="11787" max="11788" width="8.7109375" style="259" customWidth="1"/>
    <col min="11789" max="11789" width="10.7109375" style="259" customWidth="1"/>
    <col min="11790" max="11790" width="34.7109375" style="259" customWidth="1"/>
    <col min="11791" max="11792" width="11.28515625" style="259" customWidth="1"/>
    <col min="11793" max="11793" width="11.85546875" style="259" customWidth="1"/>
    <col min="11794" max="11796" width="11.28515625" style="259" customWidth="1"/>
    <col min="11797" max="11797" width="11.85546875" style="259" customWidth="1"/>
    <col min="11798" max="12032" width="9.140625" style="259"/>
    <col min="12033" max="12033" width="6.42578125" style="259" customWidth="1"/>
    <col min="12034" max="12034" width="30.7109375" style="259" customWidth="1"/>
    <col min="12035" max="12036" width="11.5703125" style="259" customWidth="1"/>
    <col min="12037" max="12038" width="8.7109375" style="259" customWidth="1"/>
    <col min="12039" max="12042" width="9.85546875" style="259" bestFit="1" customWidth="1"/>
    <col min="12043" max="12044" width="8.7109375" style="259" customWidth="1"/>
    <col min="12045" max="12045" width="10.7109375" style="259" customWidth="1"/>
    <col min="12046" max="12046" width="34.7109375" style="259" customWidth="1"/>
    <col min="12047" max="12048" width="11.28515625" style="259" customWidth="1"/>
    <col min="12049" max="12049" width="11.85546875" style="259" customWidth="1"/>
    <col min="12050" max="12052" width="11.28515625" style="259" customWidth="1"/>
    <col min="12053" max="12053" width="11.85546875" style="259" customWidth="1"/>
    <col min="12054" max="12288" width="9.140625" style="259"/>
    <col min="12289" max="12289" width="6.42578125" style="259" customWidth="1"/>
    <col min="12290" max="12290" width="30.7109375" style="259" customWidth="1"/>
    <col min="12291" max="12292" width="11.5703125" style="259" customWidth="1"/>
    <col min="12293" max="12294" width="8.7109375" style="259" customWidth="1"/>
    <col min="12295" max="12298" width="9.85546875" style="259" bestFit="1" customWidth="1"/>
    <col min="12299" max="12300" width="8.7109375" style="259" customWidth="1"/>
    <col min="12301" max="12301" width="10.7109375" style="259" customWidth="1"/>
    <col min="12302" max="12302" width="34.7109375" style="259" customWidth="1"/>
    <col min="12303" max="12304" width="11.28515625" style="259" customWidth="1"/>
    <col min="12305" max="12305" width="11.85546875" style="259" customWidth="1"/>
    <col min="12306" max="12308" width="11.28515625" style="259" customWidth="1"/>
    <col min="12309" max="12309" width="11.85546875" style="259" customWidth="1"/>
    <col min="12310" max="12544" width="9.140625" style="259"/>
    <col min="12545" max="12545" width="6.42578125" style="259" customWidth="1"/>
    <col min="12546" max="12546" width="30.7109375" style="259" customWidth="1"/>
    <col min="12547" max="12548" width="11.5703125" style="259" customWidth="1"/>
    <col min="12549" max="12550" width="8.7109375" style="259" customWidth="1"/>
    <col min="12551" max="12554" width="9.85546875" style="259" bestFit="1" customWidth="1"/>
    <col min="12555" max="12556" width="8.7109375" style="259" customWidth="1"/>
    <col min="12557" max="12557" width="10.7109375" style="259" customWidth="1"/>
    <col min="12558" max="12558" width="34.7109375" style="259" customWidth="1"/>
    <col min="12559" max="12560" width="11.28515625" style="259" customWidth="1"/>
    <col min="12561" max="12561" width="11.85546875" style="259" customWidth="1"/>
    <col min="12562" max="12564" width="11.28515625" style="259" customWidth="1"/>
    <col min="12565" max="12565" width="11.85546875" style="259" customWidth="1"/>
    <col min="12566" max="12800" width="9.140625" style="259"/>
    <col min="12801" max="12801" width="6.42578125" style="259" customWidth="1"/>
    <col min="12802" max="12802" width="30.7109375" style="259" customWidth="1"/>
    <col min="12803" max="12804" width="11.5703125" style="259" customWidth="1"/>
    <col min="12805" max="12806" width="8.7109375" style="259" customWidth="1"/>
    <col min="12807" max="12810" width="9.85546875" style="259" bestFit="1" customWidth="1"/>
    <col min="12811" max="12812" width="8.7109375" style="259" customWidth="1"/>
    <col min="12813" max="12813" width="10.7109375" style="259" customWidth="1"/>
    <col min="12814" max="12814" width="34.7109375" style="259" customWidth="1"/>
    <col min="12815" max="12816" width="11.28515625" style="259" customWidth="1"/>
    <col min="12817" max="12817" width="11.85546875" style="259" customWidth="1"/>
    <col min="12818" max="12820" width="11.28515625" style="259" customWidth="1"/>
    <col min="12821" max="12821" width="11.85546875" style="259" customWidth="1"/>
    <col min="12822" max="13056" width="9.140625" style="259"/>
    <col min="13057" max="13057" width="6.42578125" style="259" customWidth="1"/>
    <col min="13058" max="13058" width="30.7109375" style="259" customWidth="1"/>
    <col min="13059" max="13060" width="11.5703125" style="259" customWidth="1"/>
    <col min="13061" max="13062" width="8.7109375" style="259" customWidth="1"/>
    <col min="13063" max="13066" width="9.85546875" style="259" bestFit="1" customWidth="1"/>
    <col min="13067" max="13068" width="8.7109375" style="259" customWidth="1"/>
    <col min="13069" max="13069" width="10.7109375" style="259" customWidth="1"/>
    <col min="13070" max="13070" width="34.7109375" style="259" customWidth="1"/>
    <col min="13071" max="13072" width="11.28515625" style="259" customWidth="1"/>
    <col min="13073" max="13073" width="11.85546875" style="259" customWidth="1"/>
    <col min="13074" max="13076" width="11.28515625" style="259" customWidth="1"/>
    <col min="13077" max="13077" width="11.85546875" style="259" customWidth="1"/>
    <col min="13078" max="13312" width="9.140625" style="259"/>
    <col min="13313" max="13313" width="6.42578125" style="259" customWidth="1"/>
    <col min="13314" max="13314" width="30.7109375" style="259" customWidth="1"/>
    <col min="13315" max="13316" width="11.5703125" style="259" customWidth="1"/>
    <col min="13317" max="13318" width="8.7109375" style="259" customWidth="1"/>
    <col min="13319" max="13322" width="9.85546875" style="259" bestFit="1" customWidth="1"/>
    <col min="13323" max="13324" width="8.7109375" style="259" customWidth="1"/>
    <col min="13325" max="13325" width="10.7109375" style="259" customWidth="1"/>
    <col min="13326" max="13326" width="34.7109375" style="259" customWidth="1"/>
    <col min="13327" max="13328" width="11.28515625" style="259" customWidth="1"/>
    <col min="13329" max="13329" width="11.85546875" style="259" customWidth="1"/>
    <col min="13330" max="13332" width="11.28515625" style="259" customWidth="1"/>
    <col min="13333" max="13333" width="11.85546875" style="259" customWidth="1"/>
    <col min="13334" max="13568" width="9.140625" style="259"/>
    <col min="13569" max="13569" width="6.42578125" style="259" customWidth="1"/>
    <col min="13570" max="13570" width="30.7109375" style="259" customWidth="1"/>
    <col min="13571" max="13572" width="11.5703125" style="259" customWidth="1"/>
    <col min="13573" max="13574" width="8.7109375" style="259" customWidth="1"/>
    <col min="13575" max="13578" width="9.85546875" style="259" bestFit="1" customWidth="1"/>
    <col min="13579" max="13580" width="8.7109375" style="259" customWidth="1"/>
    <col min="13581" max="13581" width="10.7109375" style="259" customWidth="1"/>
    <col min="13582" max="13582" width="34.7109375" style="259" customWidth="1"/>
    <col min="13583" max="13584" width="11.28515625" style="259" customWidth="1"/>
    <col min="13585" max="13585" width="11.85546875" style="259" customWidth="1"/>
    <col min="13586" max="13588" width="11.28515625" style="259" customWidth="1"/>
    <col min="13589" max="13589" width="11.85546875" style="259" customWidth="1"/>
    <col min="13590" max="13824" width="9.140625" style="259"/>
    <col min="13825" max="13825" width="6.42578125" style="259" customWidth="1"/>
    <col min="13826" max="13826" width="30.7109375" style="259" customWidth="1"/>
    <col min="13827" max="13828" width="11.5703125" style="259" customWidth="1"/>
    <col min="13829" max="13830" width="8.7109375" style="259" customWidth="1"/>
    <col min="13831" max="13834" width="9.85546875" style="259" bestFit="1" customWidth="1"/>
    <col min="13835" max="13836" width="8.7109375" style="259" customWidth="1"/>
    <col min="13837" max="13837" width="10.7109375" style="259" customWidth="1"/>
    <col min="13838" max="13838" width="34.7109375" style="259" customWidth="1"/>
    <col min="13839" max="13840" width="11.28515625" style="259" customWidth="1"/>
    <col min="13841" max="13841" width="11.85546875" style="259" customWidth="1"/>
    <col min="13842" max="13844" width="11.28515625" style="259" customWidth="1"/>
    <col min="13845" max="13845" width="11.85546875" style="259" customWidth="1"/>
    <col min="13846" max="14080" width="9.140625" style="259"/>
    <col min="14081" max="14081" width="6.42578125" style="259" customWidth="1"/>
    <col min="14082" max="14082" width="30.7109375" style="259" customWidth="1"/>
    <col min="14083" max="14084" width="11.5703125" style="259" customWidth="1"/>
    <col min="14085" max="14086" width="8.7109375" style="259" customWidth="1"/>
    <col min="14087" max="14090" width="9.85546875" style="259" bestFit="1" customWidth="1"/>
    <col min="14091" max="14092" width="8.7109375" style="259" customWidth="1"/>
    <col min="14093" max="14093" width="10.7109375" style="259" customWidth="1"/>
    <col min="14094" max="14094" width="34.7109375" style="259" customWidth="1"/>
    <col min="14095" max="14096" width="11.28515625" style="259" customWidth="1"/>
    <col min="14097" max="14097" width="11.85546875" style="259" customWidth="1"/>
    <col min="14098" max="14100" width="11.28515625" style="259" customWidth="1"/>
    <col min="14101" max="14101" width="11.85546875" style="259" customWidth="1"/>
    <col min="14102" max="14336" width="9.140625" style="259"/>
    <col min="14337" max="14337" width="6.42578125" style="259" customWidth="1"/>
    <col min="14338" max="14338" width="30.7109375" style="259" customWidth="1"/>
    <col min="14339" max="14340" width="11.5703125" style="259" customWidth="1"/>
    <col min="14341" max="14342" width="8.7109375" style="259" customWidth="1"/>
    <col min="14343" max="14346" width="9.85546875" style="259" bestFit="1" customWidth="1"/>
    <col min="14347" max="14348" width="8.7109375" style="259" customWidth="1"/>
    <col min="14349" max="14349" width="10.7109375" style="259" customWidth="1"/>
    <col min="14350" max="14350" width="34.7109375" style="259" customWidth="1"/>
    <col min="14351" max="14352" width="11.28515625" style="259" customWidth="1"/>
    <col min="14353" max="14353" width="11.85546875" style="259" customWidth="1"/>
    <col min="14354" max="14356" width="11.28515625" style="259" customWidth="1"/>
    <col min="14357" max="14357" width="11.85546875" style="259" customWidth="1"/>
    <col min="14358" max="14592" width="9.140625" style="259"/>
    <col min="14593" max="14593" width="6.42578125" style="259" customWidth="1"/>
    <col min="14594" max="14594" width="30.7109375" style="259" customWidth="1"/>
    <col min="14595" max="14596" width="11.5703125" style="259" customWidth="1"/>
    <col min="14597" max="14598" width="8.7109375" style="259" customWidth="1"/>
    <col min="14599" max="14602" width="9.85546875" style="259" bestFit="1" customWidth="1"/>
    <col min="14603" max="14604" width="8.7109375" style="259" customWidth="1"/>
    <col min="14605" max="14605" width="10.7109375" style="259" customWidth="1"/>
    <col min="14606" max="14606" width="34.7109375" style="259" customWidth="1"/>
    <col min="14607" max="14608" width="11.28515625" style="259" customWidth="1"/>
    <col min="14609" max="14609" width="11.85546875" style="259" customWidth="1"/>
    <col min="14610" max="14612" width="11.28515625" style="259" customWidth="1"/>
    <col min="14613" max="14613" width="11.85546875" style="259" customWidth="1"/>
    <col min="14614" max="14848" width="9.140625" style="259"/>
    <col min="14849" max="14849" width="6.42578125" style="259" customWidth="1"/>
    <col min="14850" max="14850" width="30.7109375" style="259" customWidth="1"/>
    <col min="14851" max="14852" width="11.5703125" style="259" customWidth="1"/>
    <col min="14853" max="14854" width="8.7109375" style="259" customWidth="1"/>
    <col min="14855" max="14858" width="9.85546875" style="259" bestFit="1" customWidth="1"/>
    <col min="14859" max="14860" width="8.7109375" style="259" customWidth="1"/>
    <col min="14861" max="14861" width="10.7109375" style="259" customWidth="1"/>
    <col min="14862" max="14862" width="34.7109375" style="259" customWidth="1"/>
    <col min="14863" max="14864" width="11.28515625" style="259" customWidth="1"/>
    <col min="14865" max="14865" width="11.85546875" style="259" customWidth="1"/>
    <col min="14866" max="14868" width="11.28515625" style="259" customWidth="1"/>
    <col min="14869" max="14869" width="11.85546875" style="259" customWidth="1"/>
    <col min="14870" max="15104" width="9.140625" style="259"/>
    <col min="15105" max="15105" width="6.42578125" style="259" customWidth="1"/>
    <col min="15106" max="15106" width="30.7109375" style="259" customWidth="1"/>
    <col min="15107" max="15108" width="11.5703125" style="259" customWidth="1"/>
    <col min="15109" max="15110" width="8.7109375" style="259" customWidth="1"/>
    <col min="15111" max="15114" width="9.85546875" style="259" bestFit="1" customWidth="1"/>
    <col min="15115" max="15116" width="8.7109375" style="259" customWidth="1"/>
    <col min="15117" max="15117" width="10.7109375" style="259" customWidth="1"/>
    <col min="15118" max="15118" width="34.7109375" style="259" customWidth="1"/>
    <col min="15119" max="15120" width="11.28515625" style="259" customWidth="1"/>
    <col min="15121" max="15121" width="11.85546875" style="259" customWidth="1"/>
    <col min="15122" max="15124" width="11.28515625" style="259" customWidth="1"/>
    <col min="15125" max="15125" width="11.85546875" style="259" customWidth="1"/>
    <col min="15126" max="15360" width="9.140625" style="259"/>
    <col min="15361" max="15361" width="6.42578125" style="259" customWidth="1"/>
    <col min="15362" max="15362" width="30.7109375" style="259" customWidth="1"/>
    <col min="15363" max="15364" width="11.5703125" style="259" customWidth="1"/>
    <col min="15365" max="15366" width="8.7109375" style="259" customWidth="1"/>
    <col min="15367" max="15370" width="9.85546875" style="259" bestFit="1" customWidth="1"/>
    <col min="15371" max="15372" width="8.7109375" style="259" customWidth="1"/>
    <col min="15373" max="15373" width="10.7109375" style="259" customWidth="1"/>
    <col min="15374" max="15374" width="34.7109375" style="259" customWidth="1"/>
    <col min="15375" max="15376" width="11.28515625" style="259" customWidth="1"/>
    <col min="15377" max="15377" width="11.85546875" style="259" customWidth="1"/>
    <col min="15378" max="15380" width="11.28515625" style="259" customWidth="1"/>
    <col min="15381" max="15381" width="11.85546875" style="259" customWidth="1"/>
    <col min="15382" max="15616" width="9.140625" style="259"/>
    <col min="15617" max="15617" width="6.42578125" style="259" customWidth="1"/>
    <col min="15618" max="15618" width="30.7109375" style="259" customWidth="1"/>
    <col min="15619" max="15620" width="11.5703125" style="259" customWidth="1"/>
    <col min="15621" max="15622" width="8.7109375" style="259" customWidth="1"/>
    <col min="15623" max="15626" width="9.85546875" style="259" bestFit="1" customWidth="1"/>
    <col min="15627" max="15628" width="8.7109375" style="259" customWidth="1"/>
    <col min="15629" max="15629" width="10.7109375" style="259" customWidth="1"/>
    <col min="15630" max="15630" width="34.7109375" style="259" customWidth="1"/>
    <col min="15631" max="15632" width="11.28515625" style="259" customWidth="1"/>
    <col min="15633" max="15633" width="11.85546875" style="259" customWidth="1"/>
    <col min="15634" max="15636" width="11.28515625" style="259" customWidth="1"/>
    <col min="15637" max="15637" width="11.85546875" style="259" customWidth="1"/>
    <col min="15638" max="15872" width="9.140625" style="259"/>
    <col min="15873" max="15873" width="6.42578125" style="259" customWidth="1"/>
    <col min="15874" max="15874" width="30.7109375" style="259" customWidth="1"/>
    <col min="15875" max="15876" width="11.5703125" style="259" customWidth="1"/>
    <col min="15877" max="15878" width="8.7109375" style="259" customWidth="1"/>
    <col min="15879" max="15882" width="9.85546875" style="259" bestFit="1" customWidth="1"/>
    <col min="15883" max="15884" width="8.7109375" style="259" customWidth="1"/>
    <col min="15885" max="15885" width="10.7109375" style="259" customWidth="1"/>
    <col min="15886" max="15886" width="34.7109375" style="259" customWidth="1"/>
    <col min="15887" max="15888" width="11.28515625" style="259" customWidth="1"/>
    <col min="15889" max="15889" width="11.85546875" style="259" customWidth="1"/>
    <col min="15890" max="15892" width="11.28515625" style="259" customWidth="1"/>
    <col min="15893" max="15893" width="11.85546875" style="259" customWidth="1"/>
    <col min="15894" max="16128" width="9.140625" style="259"/>
    <col min="16129" max="16129" width="6.42578125" style="259" customWidth="1"/>
    <col min="16130" max="16130" width="30.7109375" style="259" customWidth="1"/>
    <col min="16131" max="16132" width="11.5703125" style="259" customWidth="1"/>
    <col min="16133" max="16134" width="8.7109375" style="259" customWidth="1"/>
    <col min="16135" max="16138" width="9.85546875" style="259" bestFit="1" customWidth="1"/>
    <col min="16139" max="16140" width="8.7109375" style="259" customWidth="1"/>
    <col min="16141" max="16141" width="10.7109375" style="259" customWidth="1"/>
    <col min="16142" max="16142" width="34.7109375" style="259" customWidth="1"/>
    <col min="16143" max="16144" width="11.28515625" style="259" customWidth="1"/>
    <col min="16145" max="16145" width="11.85546875" style="259" customWidth="1"/>
    <col min="16146" max="16148" width="11.28515625" style="259" customWidth="1"/>
    <col min="16149" max="16149" width="11.85546875" style="259" customWidth="1"/>
    <col min="16150" max="16384" width="9.140625" style="259"/>
  </cols>
  <sheetData>
    <row r="1" spans="1:21" ht="1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58" t="s">
        <v>1115</v>
      </c>
    </row>
    <row r="2" spans="1:21" ht="12.75" customHeight="1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55"/>
    </row>
    <row r="3" spans="1:21" ht="12.75" customHeight="1" x14ac:dyDescent="0.2">
      <c r="A3" s="262"/>
      <c r="B3" s="263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21" ht="12.75" customHeight="1" x14ac:dyDescent="0.2">
      <c r="A4" s="654" t="s">
        <v>290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</row>
    <row r="5" spans="1:21" ht="12.75" customHeight="1" x14ac:dyDescent="0.2">
      <c r="A5" s="262"/>
      <c r="B5" s="263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U5" s="264"/>
    </row>
    <row r="6" spans="1:21" ht="12.75" customHeight="1" x14ac:dyDescent="0.2">
      <c r="A6" s="265"/>
      <c r="B6" s="266"/>
      <c r="C6" s="267"/>
      <c r="D6" s="267"/>
      <c r="E6" s="267"/>
      <c r="F6" s="267"/>
      <c r="G6" s="267"/>
      <c r="H6" s="267"/>
      <c r="I6" s="267"/>
      <c r="J6" s="267"/>
      <c r="K6" s="268"/>
      <c r="L6" s="267"/>
      <c r="M6" s="267"/>
      <c r="N6" s="260"/>
      <c r="T6" s="259"/>
    </row>
    <row r="7" spans="1:21" ht="12.75" customHeight="1" x14ac:dyDescent="0.2">
      <c r="A7" s="655" t="s">
        <v>291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655"/>
      <c r="M7" s="655"/>
    </row>
    <row r="8" spans="1:21" ht="12.75" customHeight="1" x14ac:dyDescent="0.2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69" t="s">
        <v>249</v>
      </c>
    </row>
    <row r="9" spans="1:21" ht="12.75" customHeight="1" x14ac:dyDescent="0.2">
      <c r="A9" s="664" t="s">
        <v>292</v>
      </c>
      <c r="B9" s="663" t="s">
        <v>293</v>
      </c>
      <c r="C9" s="663" t="s">
        <v>313</v>
      </c>
      <c r="D9" s="663" t="s">
        <v>294</v>
      </c>
      <c r="E9" s="660" t="s">
        <v>303</v>
      </c>
      <c r="F9" s="660"/>
      <c r="G9" s="660"/>
      <c r="H9" s="660"/>
      <c r="I9" s="660"/>
      <c r="J9" s="660"/>
      <c r="K9" s="660"/>
      <c r="L9" s="660"/>
      <c r="M9" s="291"/>
    </row>
    <row r="10" spans="1:21" ht="35.25" customHeight="1" x14ac:dyDescent="0.2">
      <c r="A10" s="664"/>
      <c r="B10" s="663"/>
      <c r="C10" s="663"/>
      <c r="D10" s="663"/>
      <c r="E10" s="271" t="s">
        <v>286</v>
      </c>
      <c r="F10" s="270" t="s">
        <v>287</v>
      </c>
      <c r="G10" s="271" t="s">
        <v>295</v>
      </c>
      <c r="H10" s="270" t="s">
        <v>296</v>
      </c>
      <c r="I10" s="271" t="s">
        <v>297</v>
      </c>
      <c r="J10" s="270" t="s">
        <v>298</v>
      </c>
      <c r="K10" s="271" t="s">
        <v>316</v>
      </c>
      <c r="L10" s="270" t="s">
        <v>317</v>
      </c>
      <c r="M10" s="272" t="s">
        <v>253</v>
      </c>
      <c r="O10" s="259"/>
      <c r="P10" s="259"/>
      <c r="Q10" s="259"/>
      <c r="R10" s="259"/>
      <c r="S10" s="259"/>
      <c r="T10" s="259"/>
    </row>
    <row r="11" spans="1:21" x14ac:dyDescent="0.2">
      <c r="A11" s="286" t="s">
        <v>299</v>
      </c>
      <c r="B11" s="287"/>
      <c r="C11" s="288"/>
      <c r="D11" s="288"/>
      <c r="E11" s="288"/>
      <c r="F11" s="288"/>
      <c r="G11" s="289"/>
      <c r="H11" s="289"/>
      <c r="I11" s="289"/>
      <c r="J11" s="289"/>
      <c r="K11" s="290"/>
      <c r="L11" s="289"/>
      <c r="M11" s="288">
        <f>SUM(E11:L11)</f>
        <v>0</v>
      </c>
      <c r="O11" s="259"/>
      <c r="P11" s="259"/>
      <c r="Q11" s="259"/>
      <c r="R11" s="259"/>
      <c r="S11" s="259"/>
      <c r="T11" s="259"/>
    </row>
    <row r="12" spans="1:21" x14ac:dyDescent="0.2">
      <c r="A12" s="273" t="s">
        <v>300</v>
      </c>
      <c r="B12" s="274"/>
      <c r="C12" s="275"/>
      <c r="D12" s="275"/>
      <c r="E12" s="275"/>
      <c r="F12" s="275"/>
      <c r="G12" s="276"/>
      <c r="H12" s="276"/>
      <c r="I12" s="276"/>
      <c r="J12" s="276"/>
      <c r="K12" s="277"/>
      <c r="L12" s="276"/>
      <c r="M12" s="275">
        <f>SUM(E12:L12)</f>
        <v>0</v>
      </c>
      <c r="O12" s="259"/>
      <c r="P12" s="259"/>
      <c r="Q12" s="259"/>
      <c r="R12" s="259"/>
      <c r="S12" s="259"/>
      <c r="T12" s="259"/>
    </row>
    <row r="13" spans="1:21" x14ac:dyDescent="0.2">
      <c r="A13" s="273" t="s">
        <v>301</v>
      </c>
      <c r="B13" s="274"/>
      <c r="C13" s="275"/>
      <c r="D13" s="275"/>
      <c r="E13" s="275"/>
      <c r="F13" s="275"/>
      <c r="G13" s="276"/>
      <c r="H13" s="276"/>
      <c r="I13" s="276"/>
      <c r="J13" s="276"/>
      <c r="K13" s="277"/>
      <c r="L13" s="276"/>
      <c r="M13" s="275">
        <f>SUM(E13:L13)</f>
        <v>0</v>
      </c>
      <c r="O13" s="259"/>
      <c r="P13" s="259"/>
      <c r="Q13" s="259"/>
      <c r="R13" s="259"/>
      <c r="S13" s="259"/>
      <c r="T13" s="259"/>
    </row>
    <row r="14" spans="1:21" x14ac:dyDescent="0.2">
      <c r="A14" s="276"/>
      <c r="B14" s="278" t="s">
        <v>28</v>
      </c>
      <c r="C14" s="277">
        <f>SUM(C11:C13)</f>
        <v>0</v>
      </c>
      <c r="D14" s="277"/>
      <c r="E14" s="277">
        <f t="shared" ref="E14:M14" si="0">SUM(E11:E13)</f>
        <v>0</v>
      </c>
      <c r="F14" s="277">
        <f t="shared" si="0"/>
        <v>0</v>
      </c>
      <c r="G14" s="277">
        <f t="shared" si="0"/>
        <v>0</v>
      </c>
      <c r="H14" s="277">
        <f t="shared" si="0"/>
        <v>0</v>
      </c>
      <c r="I14" s="277">
        <f t="shared" si="0"/>
        <v>0</v>
      </c>
      <c r="J14" s="277">
        <f t="shared" si="0"/>
        <v>0</v>
      </c>
      <c r="K14" s="277">
        <f t="shared" si="0"/>
        <v>0</v>
      </c>
      <c r="L14" s="277">
        <f t="shared" si="0"/>
        <v>0</v>
      </c>
      <c r="M14" s="277">
        <f t="shared" si="0"/>
        <v>0</v>
      </c>
      <c r="O14" s="259"/>
      <c r="P14" s="259"/>
      <c r="Q14" s="259"/>
      <c r="R14" s="259"/>
      <c r="S14" s="259"/>
      <c r="T14" s="259"/>
    </row>
    <row r="15" spans="1:21" x14ac:dyDescent="0.2">
      <c r="A15" s="267"/>
      <c r="B15" s="279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O15" s="259"/>
      <c r="P15" s="259"/>
      <c r="Q15" s="259"/>
      <c r="R15" s="259"/>
      <c r="S15" s="259"/>
      <c r="T15" s="259"/>
    </row>
    <row r="16" spans="1:21" ht="12.75" customHeight="1" x14ac:dyDescent="0.2">
      <c r="A16" s="654" t="s">
        <v>302</v>
      </c>
      <c r="B16" s="654"/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</row>
    <row r="17" spans="1:20" ht="12.75" customHeight="1" x14ac:dyDescent="0.2">
      <c r="L17" s="282"/>
      <c r="M17" s="283" t="s">
        <v>249</v>
      </c>
    </row>
    <row r="18" spans="1:20" ht="12.75" customHeight="1" x14ac:dyDescent="0.2">
      <c r="A18" s="656" t="s">
        <v>292</v>
      </c>
      <c r="B18" s="658" t="s">
        <v>293</v>
      </c>
      <c r="C18" s="658" t="s">
        <v>313</v>
      </c>
      <c r="D18" s="658" t="s">
        <v>294</v>
      </c>
      <c r="E18" s="660" t="s">
        <v>303</v>
      </c>
      <c r="F18" s="660"/>
      <c r="G18" s="660"/>
      <c r="H18" s="660"/>
      <c r="I18" s="660"/>
      <c r="J18" s="660"/>
      <c r="K18" s="660"/>
      <c r="L18" s="660"/>
      <c r="M18" s="661" t="s">
        <v>382</v>
      </c>
    </row>
    <row r="19" spans="1:20" ht="35.25" customHeight="1" x14ac:dyDescent="0.2">
      <c r="A19" s="657"/>
      <c r="B19" s="659"/>
      <c r="C19" s="659"/>
      <c r="D19" s="659"/>
      <c r="E19" s="271" t="s">
        <v>286</v>
      </c>
      <c r="F19" s="270" t="s">
        <v>287</v>
      </c>
      <c r="G19" s="271" t="s">
        <v>295</v>
      </c>
      <c r="H19" s="270" t="s">
        <v>296</v>
      </c>
      <c r="I19" s="271" t="s">
        <v>297</v>
      </c>
      <c r="J19" s="270" t="s">
        <v>298</v>
      </c>
      <c r="K19" s="271" t="s">
        <v>316</v>
      </c>
      <c r="L19" s="270" t="s">
        <v>317</v>
      </c>
      <c r="M19" s="662"/>
      <c r="O19" s="259"/>
      <c r="P19" s="259"/>
      <c r="Q19" s="259"/>
      <c r="R19" s="259"/>
      <c r="S19" s="259"/>
      <c r="T19" s="259"/>
    </row>
    <row r="20" spans="1:20" ht="12.75" customHeight="1" x14ac:dyDescent="0.2">
      <c r="A20" s="273" t="s">
        <v>299</v>
      </c>
      <c r="B20" s="274" t="s">
        <v>304</v>
      </c>
      <c r="C20" s="275">
        <v>5957000</v>
      </c>
      <c r="D20" s="275">
        <v>0</v>
      </c>
      <c r="E20" s="275">
        <v>2172000</v>
      </c>
      <c r="F20" s="275">
        <v>2172000</v>
      </c>
      <c r="G20" s="292">
        <v>1613000</v>
      </c>
      <c r="H20" s="275">
        <v>0</v>
      </c>
      <c r="I20" s="275">
        <v>0</v>
      </c>
      <c r="J20" s="275">
        <v>0</v>
      </c>
      <c r="K20" s="275">
        <v>0</v>
      </c>
      <c r="L20" s="275">
        <v>0</v>
      </c>
      <c r="M20" s="284">
        <f t="shared" ref="M20:M26" si="1">SUM(E20:L20)</f>
        <v>5957000</v>
      </c>
      <c r="O20" s="259"/>
      <c r="P20" s="259"/>
      <c r="Q20" s="259"/>
      <c r="R20" s="259"/>
      <c r="S20" s="259"/>
      <c r="T20" s="259"/>
    </row>
    <row r="21" spans="1:20" ht="12.75" customHeight="1" x14ac:dyDescent="0.2">
      <c r="A21" s="273" t="s">
        <v>300</v>
      </c>
      <c r="B21" s="274" t="s">
        <v>305</v>
      </c>
      <c r="C21" s="275">
        <v>2818984</v>
      </c>
      <c r="D21" s="275">
        <v>0</v>
      </c>
      <c r="E21" s="275">
        <v>1120000</v>
      </c>
      <c r="F21" s="275">
        <v>1120000</v>
      </c>
      <c r="G21" s="292">
        <v>578984</v>
      </c>
      <c r="H21" s="275">
        <v>0</v>
      </c>
      <c r="I21" s="275">
        <v>0</v>
      </c>
      <c r="J21" s="275">
        <v>0</v>
      </c>
      <c r="K21" s="275">
        <v>0</v>
      </c>
      <c r="L21" s="275">
        <v>0</v>
      </c>
      <c r="M21" s="284">
        <f t="shared" si="1"/>
        <v>2818984</v>
      </c>
      <c r="O21" s="259"/>
      <c r="P21" s="259"/>
      <c r="Q21" s="259"/>
      <c r="R21" s="259"/>
      <c r="S21" s="259"/>
      <c r="T21" s="259"/>
    </row>
    <row r="22" spans="1:20" ht="12.75" customHeight="1" x14ac:dyDescent="0.2">
      <c r="A22" s="273" t="s">
        <v>301</v>
      </c>
      <c r="B22" s="274" t="s">
        <v>306</v>
      </c>
      <c r="C22" s="275">
        <v>6140000</v>
      </c>
      <c r="D22" s="275">
        <v>0</v>
      </c>
      <c r="E22" s="275">
        <v>2240000</v>
      </c>
      <c r="F22" s="275">
        <v>2240000</v>
      </c>
      <c r="G22" s="292">
        <v>1660000</v>
      </c>
      <c r="H22" s="275">
        <v>0</v>
      </c>
      <c r="I22" s="275">
        <v>0</v>
      </c>
      <c r="J22" s="275">
        <v>0</v>
      </c>
      <c r="K22" s="275">
        <v>0</v>
      </c>
      <c r="L22" s="275">
        <v>0</v>
      </c>
      <c r="M22" s="284">
        <f t="shared" si="1"/>
        <v>6140000</v>
      </c>
      <c r="O22" s="259"/>
      <c r="P22" s="259"/>
      <c r="Q22" s="259"/>
      <c r="R22" s="259"/>
      <c r="S22" s="259"/>
      <c r="T22" s="259"/>
    </row>
    <row r="23" spans="1:20" ht="12.75" customHeight="1" x14ac:dyDescent="0.2">
      <c r="A23" s="273" t="s">
        <v>307</v>
      </c>
      <c r="B23" s="274" t="s">
        <v>308</v>
      </c>
      <c r="C23" s="275">
        <v>3690000</v>
      </c>
      <c r="D23" s="275">
        <v>0</v>
      </c>
      <c r="E23" s="275">
        <v>1340000</v>
      </c>
      <c r="F23" s="275">
        <v>1340000</v>
      </c>
      <c r="G23" s="292">
        <v>1010000</v>
      </c>
      <c r="H23" s="275">
        <v>0</v>
      </c>
      <c r="I23" s="275">
        <v>0</v>
      </c>
      <c r="J23" s="275">
        <v>0</v>
      </c>
      <c r="K23" s="275">
        <v>0</v>
      </c>
      <c r="L23" s="275">
        <v>0</v>
      </c>
      <c r="M23" s="284">
        <f t="shared" si="1"/>
        <v>3690000</v>
      </c>
      <c r="O23" s="259"/>
      <c r="P23" s="259"/>
      <c r="Q23" s="259"/>
      <c r="R23" s="259"/>
      <c r="S23" s="259"/>
      <c r="T23" s="259"/>
    </row>
    <row r="24" spans="1:20" ht="12.75" customHeight="1" x14ac:dyDescent="0.2">
      <c r="A24" s="273" t="s">
        <v>309</v>
      </c>
      <c r="B24" s="274" t="s">
        <v>310</v>
      </c>
      <c r="C24" s="275">
        <v>1535000</v>
      </c>
      <c r="D24" s="275">
        <v>0</v>
      </c>
      <c r="E24" s="275">
        <v>560000</v>
      </c>
      <c r="F24" s="275">
        <v>560000</v>
      </c>
      <c r="G24" s="292">
        <v>415000</v>
      </c>
      <c r="H24" s="275">
        <v>0</v>
      </c>
      <c r="I24" s="275">
        <v>0</v>
      </c>
      <c r="J24" s="275">
        <v>0</v>
      </c>
      <c r="K24" s="275">
        <v>0</v>
      </c>
      <c r="L24" s="275">
        <v>0</v>
      </c>
      <c r="M24" s="284">
        <f t="shared" si="1"/>
        <v>1535000</v>
      </c>
      <c r="O24" s="259"/>
      <c r="P24" s="259"/>
      <c r="Q24" s="259"/>
      <c r="R24" s="259"/>
      <c r="S24" s="259"/>
      <c r="T24" s="259"/>
    </row>
    <row r="25" spans="1:20" ht="12.75" customHeight="1" x14ac:dyDescent="0.2">
      <c r="A25" s="273" t="s">
        <v>311</v>
      </c>
      <c r="B25" s="274" t="s">
        <v>312</v>
      </c>
      <c r="C25" s="275">
        <v>39116540</v>
      </c>
      <c r="D25" s="275">
        <v>0</v>
      </c>
      <c r="E25" s="275">
        <v>13236000</v>
      </c>
      <c r="F25" s="275">
        <v>13236000</v>
      </c>
      <c r="G25" s="292">
        <v>12644540</v>
      </c>
      <c r="H25" s="275">
        <v>0</v>
      </c>
      <c r="I25" s="275">
        <v>0</v>
      </c>
      <c r="J25" s="275">
        <v>0</v>
      </c>
      <c r="K25" s="275">
        <v>0</v>
      </c>
      <c r="L25" s="275">
        <v>0</v>
      </c>
      <c r="M25" s="284">
        <f t="shared" si="1"/>
        <v>39116540</v>
      </c>
      <c r="O25" s="259"/>
      <c r="P25" s="259"/>
      <c r="Q25" s="259"/>
      <c r="R25" s="259"/>
      <c r="S25" s="259"/>
      <c r="T25" s="259"/>
    </row>
    <row r="26" spans="1:20" ht="12.75" customHeight="1" x14ac:dyDescent="0.2">
      <c r="A26" s="273" t="s">
        <v>314</v>
      </c>
      <c r="B26" s="274" t="s">
        <v>315</v>
      </c>
      <c r="C26" s="275">
        <v>0</v>
      </c>
      <c r="D26" s="275">
        <v>237500000</v>
      </c>
      <c r="E26" s="275">
        <v>0</v>
      </c>
      <c r="F26" s="275">
        <v>26388888</v>
      </c>
      <c r="G26" s="275">
        <v>26388888</v>
      </c>
      <c r="H26" s="275">
        <v>26388888</v>
      </c>
      <c r="I26" s="275">
        <v>26388888</v>
      </c>
      <c r="J26" s="275">
        <v>26388888</v>
      </c>
      <c r="K26" s="275">
        <v>26388888</v>
      </c>
      <c r="L26" s="275">
        <v>79166672</v>
      </c>
      <c r="M26" s="284">
        <f t="shared" si="1"/>
        <v>237500000</v>
      </c>
      <c r="O26" s="259"/>
      <c r="P26" s="259"/>
      <c r="Q26" s="259"/>
      <c r="R26" s="259"/>
      <c r="S26" s="259"/>
      <c r="T26" s="259"/>
    </row>
    <row r="27" spans="1:20" ht="12.75" customHeight="1" x14ac:dyDescent="0.2">
      <c r="A27" s="273"/>
      <c r="B27" s="278" t="s">
        <v>28</v>
      </c>
      <c r="C27" s="284">
        <f>SUM(C20:C26)</f>
        <v>59257524</v>
      </c>
      <c r="D27" s="284">
        <f t="shared" ref="D27:M27" si="2">SUM(D20:D26)</f>
        <v>237500000</v>
      </c>
      <c r="E27" s="284">
        <f t="shared" si="2"/>
        <v>20668000</v>
      </c>
      <c r="F27" s="284">
        <f t="shared" si="2"/>
        <v>47056888</v>
      </c>
      <c r="G27" s="284">
        <f t="shared" si="2"/>
        <v>44310412</v>
      </c>
      <c r="H27" s="284">
        <f t="shared" si="2"/>
        <v>26388888</v>
      </c>
      <c r="I27" s="284">
        <f t="shared" si="2"/>
        <v>26388888</v>
      </c>
      <c r="J27" s="284">
        <f t="shared" si="2"/>
        <v>26388888</v>
      </c>
      <c r="K27" s="284">
        <f t="shared" si="2"/>
        <v>26388888</v>
      </c>
      <c r="L27" s="284">
        <f t="shared" si="2"/>
        <v>79166672</v>
      </c>
      <c r="M27" s="284">
        <f t="shared" si="2"/>
        <v>296757524</v>
      </c>
      <c r="O27" s="259"/>
      <c r="P27" s="259"/>
      <c r="Q27" s="259"/>
      <c r="R27" s="259"/>
      <c r="S27" s="259"/>
      <c r="T27" s="259"/>
    </row>
    <row r="30" spans="1:20" x14ac:dyDescent="0.2">
      <c r="F30" s="260"/>
      <c r="G30" s="260"/>
      <c r="H30" s="260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323" customWidth="1"/>
    <col min="2" max="2" width="24.42578125" style="324" customWidth="1"/>
    <col min="3" max="3" width="15.42578125" style="323" customWidth="1"/>
    <col min="4" max="4" width="17.85546875" style="323" customWidth="1"/>
    <col min="5" max="5" width="14.140625" style="323" customWidth="1"/>
    <col min="6" max="6" width="14.42578125" style="325" customWidth="1"/>
    <col min="7" max="7" width="10.42578125" style="323" bestFit="1" customWidth="1"/>
    <col min="8" max="8" width="10.42578125" style="323" customWidth="1"/>
    <col min="9" max="9" width="10.140625" style="323" customWidth="1"/>
    <col min="10" max="10" width="10.5703125" style="323" customWidth="1"/>
    <col min="11" max="11" width="10.42578125" style="323" bestFit="1" customWidth="1"/>
    <col min="12" max="256" width="9.140625" style="323"/>
    <col min="257" max="257" width="2.42578125" style="323" customWidth="1"/>
    <col min="258" max="258" width="24.42578125" style="323" customWidth="1"/>
    <col min="259" max="259" width="15.42578125" style="323" customWidth="1"/>
    <col min="260" max="260" width="17.85546875" style="323" customWidth="1"/>
    <col min="261" max="261" width="14.140625" style="323" customWidth="1"/>
    <col min="262" max="262" width="14.42578125" style="323" customWidth="1"/>
    <col min="263" max="263" width="10.42578125" style="323" bestFit="1" customWidth="1"/>
    <col min="264" max="264" width="10.42578125" style="323" customWidth="1"/>
    <col min="265" max="265" width="10.140625" style="323" customWidth="1"/>
    <col min="266" max="266" width="10.5703125" style="323" customWidth="1"/>
    <col min="267" max="267" width="10.42578125" style="323" bestFit="1" customWidth="1"/>
    <col min="268" max="512" width="9.140625" style="323"/>
    <col min="513" max="513" width="2.42578125" style="323" customWidth="1"/>
    <col min="514" max="514" width="24.42578125" style="323" customWidth="1"/>
    <col min="515" max="515" width="15.42578125" style="323" customWidth="1"/>
    <col min="516" max="516" width="17.85546875" style="323" customWidth="1"/>
    <col min="517" max="517" width="14.140625" style="323" customWidth="1"/>
    <col min="518" max="518" width="14.42578125" style="323" customWidth="1"/>
    <col min="519" max="519" width="10.42578125" style="323" bestFit="1" customWidth="1"/>
    <col min="520" max="520" width="10.42578125" style="323" customWidth="1"/>
    <col min="521" max="521" width="10.140625" style="323" customWidth="1"/>
    <col min="522" max="522" width="10.5703125" style="323" customWidth="1"/>
    <col min="523" max="523" width="10.42578125" style="323" bestFit="1" customWidth="1"/>
    <col min="524" max="768" width="9.140625" style="323"/>
    <col min="769" max="769" width="2.42578125" style="323" customWidth="1"/>
    <col min="770" max="770" width="24.42578125" style="323" customWidth="1"/>
    <col min="771" max="771" width="15.42578125" style="323" customWidth="1"/>
    <col min="772" max="772" width="17.85546875" style="323" customWidth="1"/>
    <col min="773" max="773" width="14.140625" style="323" customWidth="1"/>
    <col min="774" max="774" width="14.42578125" style="323" customWidth="1"/>
    <col min="775" max="775" width="10.42578125" style="323" bestFit="1" customWidth="1"/>
    <col min="776" max="776" width="10.42578125" style="323" customWidth="1"/>
    <col min="777" max="777" width="10.140625" style="323" customWidth="1"/>
    <col min="778" max="778" width="10.5703125" style="323" customWidth="1"/>
    <col min="779" max="779" width="10.42578125" style="323" bestFit="1" customWidth="1"/>
    <col min="780" max="1024" width="9.140625" style="323"/>
    <col min="1025" max="1025" width="2.42578125" style="323" customWidth="1"/>
    <col min="1026" max="1026" width="24.42578125" style="323" customWidth="1"/>
    <col min="1027" max="1027" width="15.42578125" style="323" customWidth="1"/>
    <col min="1028" max="1028" width="17.85546875" style="323" customWidth="1"/>
    <col min="1029" max="1029" width="14.140625" style="323" customWidth="1"/>
    <col min="1030" max="1030" width="14.42578125" style="323" customWidth="1"/>
    <col min="1031" max="1031" width="10.42578125" style="323" bestFit="1" customWidth="1"/>
    <col min="1032" max="1032" width="10.42578125" style="323" customWidth="1"/>
    <col min="1033" max="1033" width="10.140625" style="323" customWidth="1"/>
    <col min="1034" max="1034" width="10.5703125" style="323" customWidth="1"/>
    <col min="1035" max="1035" width="10.42578125" style="323" bestFit="1" customWidth="1"/>
    <col min="1036" max="1280" width="9.140625" style="323"/>
    <col min="1281" max="1281" width="2.42578125" style="323" customWidth="1"/>
    <col min="1282" max="1282" width="24.42578125" style="323" customWidth="1"/>
    <col min="1283" max="1283" width="15.42578125" style="323" customWidth="1"/>
    <col min="1284" max="1284" width="17.85546875" style="323" customWidth="1"/>
    <col min="1285" max="1285" width="14.140625" style="323" customWidth="1"/>
    <col min="1286" max="1286" width="14.42578125" style="323" customWidth="1"/>
    <col min="1287" max="1287" width="10.42578125" style="323" bestFit="1" customWidth="1"/>
    <col min="1288" max="1288" width="10.42578125" style="323" customWidth="1"/>
    <col min="1289" max="1289" width="10.140625" style="323" customWidth="1"/>
    <col min="1290" max="1290" width="10.5703125" style="323" customWidth="1"/>
    <col min="1291" max="1291" width="10.42578125" style="323" bestFit="1" customWidth="1"/>
    <col min="1292" max="1536" width="9.140625" style="323"/>
    <col min="1537" max="1537" width="2.42578125" style="323" customWidth="1"/>
    <col min="1538" max="1538" width="24.42578125" style="323" customWidth="1"/>
    <col min="1539" max="1539" width="15.42578125" style="323" customWidth="1"/>
    <col min="1540" max="1540" width="17.85546875" style="323" customWidth="1"/>
    <col min="1541" max="1541" width="14.140625" style="323" customWidth="1"/>
    <col min="1542" max="1542" width="14.42578125" style="323" customWidth="1"/>
    <col min="1543" max="1543" width="10.42578125" style="323" bestFit="1" customWidth="1"/>
    <col min="1544" max="1544" width="10.42578125" style="323" customWidth="1"/>
    <col min="1545" max="1545" width="10.140625" style="323" customWidth="1"/>
    <col min="1546" max="1546" width="10.5703125" style="323" customWidth="1"/>
    <col min="1547" max="1547" width="10.42578125" style="323" bestFit="1" customWidth="1"/>
    <col min="1548" max="1792" width="9.140625" style="323"/>
    <col min="1793" max="1793" width="2.42578125" style="323" customWidth="1"/>
    <col min="1794" max="1794" width="24.42578125" style="323" customWidth="1"/>
    <col min="1795" max="1795" width="15.42578125" style="323" customWidth="1"/>
    <col min="1796" max="1796" width="17.85546875" style="323" customWidth="1"/>
    <col min="1797" max="1797" width="14.140625" style="323" customWidth="1"/>
    <col min="1798" max="1798" width="14.42578125" style="323" customWidth="1"/>
    <col min="1799" max="1799" width="10.42578125" style="323" bestFit="1" customWidth="1"/>
    <col min="1800" max="1800" width="10.42578125" style="323" customWidth="1"/>
    <col min="1801" max="1801" width="10.140625" style="323" customWidth="1"/>
    <col min="1802" max="1802" width="10.5703125" style="323" customWidth="1"/>
    <col min="1803" max="1803" width="10.42578125" style="323" bestFit="1" customWidth="1"/>
    <col min="1804" max="2048" width="9.140625" style="323"/>
    <col min="2049" max="2049" width="2.42578125" style="323" customWidth="1"/>
    <col min="2050" max="2050" width="24.42578125" style="323" customWidth="1"/>
    <col min="2051" max="2051" width="15.42578125" style="323" customWidth="1"/>
    <col min="2052" max="2052" width="17.85546875" style="323" customWidth="1"/>
    <col min="2053" max="2053" width="14.140625" style="323" customWidth="1"/>
    <col min="2054" max="2054" width="14.42578125" style="323" customWidth="1"/>
    <col min="2055" max="2055" width="10.42578125" style="323" bestFit="1" customWidth="1"/>
    <col min="2056" max="2056" width="10.42578125" style="323" customWidth="1"/>
    <col min="2057" max="2057" width="10.140625" style="323" customWidth="1"/>
    <col min="2058" max="2058" width="10.5703125" style="323" customWidth="1"/>
    <col min="2059" max="2059" width="10.42578125" style="323" bestFit="1" customWidth="1"/>
    <col min="2060" max="2304" width="9.140625" style="323"/>
    <col min="2305" max="2305" width="2.42578125" style="323" customWidth="1"/>
    <col min="2306" max="2306" width="24.42578125" style="323" customWidth="1"/>
    <col min="2307" max="2307" width="15.42578125" style="323" customWidth="1"/>
    <col min="2308" max="2308" width="17.85546875" style="323" customWidth="1"/>
    <col min="2309" max="2309" width="14.140625" style="323" customWidth="1"/>
    <col min="2310" max="2310" width="14.42578125" style="323" customWidth="1"/>
    <col min="2311" max="2311" width="10.42578125" style="323" bestFit="1" customWidth="1"/>
    <col min="2312" max="2312" width="10.42578125" style="323" customWidth="1"/>
    <col min="2313" max="2313" width="10.140625" style="323" customWidth="1"/>
    <col min="2314" max="2314" width="10.5703125" style="323" customWidth="1"/>
    <col min="2315" max="2315" width="10.42578125" style="323" bestFit="1" customWidth="1"/>
    <col min="2316" max="2560" width="9.140625" style="323"/>
    <col min="2561" max="2561" width="2.42578125" style="323" customWidth="1"/>
    <col min="2562" max="2562" width="24.42578125" style="323" customWidth="1"/>
    <col min="2563" max="2563" width="15.42578125" style="323" customWidth="1"/>
    <col min="2564" max="2564" width="17.85546875" style="323" customWidth="1"/>
    <col min="2565" max="2565" width="14.140625" style="323" customWidth="1"/>
    <col min="2566" max="2566" width="14.42578125" style="323" customWidth="1"/>
    <col min="2567" max="2567" width="10.42578125" style="323" bestFit="1" customWidth="1"/>
    <col min="2568" max="2568" width="10.42578125" style="323" customWidth="1"/>
    <col min="2569" max="2569" width="10.140625" style="323" customWidth="1"/>
    <col min="2570" max="2570" width="10.5703125" style="323" customWidth="1"/>
    <col min="2571" max="2571" width="10.42578125" style="323" bestFit="1" customWidth="1"/>
    <col min="2572" max="2816" width="9.140625" style="323"/>
    <col min="2817" max="2817" width="2.42578125" style="323" customWidth="1"/>
    <col min="2818" max="2818" width="24.42578125" style="323" customWidth="1"/>
    <col min="2819" max="2819" width="15.42578125" style="323" customWidth="1"/>
    <col min="2820" max="2820" width="17.85546875" style="323" customWidth="1"/>
    <col min="2821" max="2821" width="14.140625" style="323" customWidth="1"/>
    <col min="2822" max="2822" width="14.42578125" style="323" customWidth="1"/>
    <col min="2823" max="2823" width="10.42578125" style="323" bestFit="1" customWidth="1"/>
    <col min="2824" max="2824" width="10.42578125" style="323" customWidth="1"/>
    <col min="2825" max="2825" width="10.140625" style="323" customWidth="1"/>
    <col min="2826" max="2826" width="10.5703125" style="323" customWidth="1"/>
    <col min="2827" max="2827" width="10.42578125" style="323" bestFit="1" customWidth="1"/>
    <col min="2828" max="3072" width="9.140625" style="323"/>
    <col min="3073" max="3073" width="2.42578125" style="323" customWidth="1"/>
    <col min="3074" max="3074" width="24.42578125" style="323" customWidth="1"/>
    <col min="3075" max="3075" width="15.42578125" style="323" customWidth="1"/>
    <col min="3076" max="3076" width="17.85546875" style="323" customWidth="1"/>
    <col min="3077" max="3077" width="14.140625" style="323" customWidth="1"/>
    <col min="3078" max="3078" width="14.42578125" style="323" customWidth="1"/>
    <col min="3079" max="3079" width="10.42578125" style="323" bestFit="1" customWidth="1"/>
    <col min="3080" max="3080" width="10.42578125" style="323" customWidth="1"/>
    <col min="3081" max="3081" width="10.140625" style="323" customWidth="1"/>
    <col min="3082" max="3082" width="10.5703125" style="323" customWidth="1"/>
    <col min="3083" max="3083" width="10.42578125" style="323" bestFit="1" customWidth="1"/>
    <col min="3084" max="3328" width="9.140625" style="323"/>
    <col min="3329" max="3329" width="2.42578125" style="323" customWidth="1"/>
    <col min="3330" max="3330" width="24.42578125" style="323" customWidth="1"/>
    <col min="3331" max="3331" width="15.42578125" style="323" customWidth="1"/>
    <col min="3332" max="3332" width="17.85546875" style="323" customWidth="1"/>
    <col min="3333" max="3333" width="14.140625" style="323" customWidth="1"/>
    <col min="3334" max="3334" width="14.42578125" style="323" customWidth="1"/>
    <col min="3335" max="3335" width="10.42578125" style="323" bestFit="1" customWidth="1"/>
    <col min="3336" max="3336" width="10.42578125" style="323" customWidth="1"/>
    <col min="3337" max="3337" width="10.140625" style="323" customWidth="1"/>
    <col min="3338" max="3338" width="10.5703125" style="323" customWidth="1"/>
    <col min="3339" max="3339" width="10.42578125" style="323" bestFit="1" customWidth="1"/>
    <col min="3340" max="3584" width="9.140625" style="323"/>
    <col min="3585" max="3585" width="2.42578125" style="323" customWidth="1"/>
    <col min="3586" max="3586" width="24.42578125" style="323" customWidth="1"/>
    <col min="3587" max="3587" width="15.42578125" style="323" customWidth="1"/>
    <col min="3588" max="3588" width="17.85546875" style="323" customWidth="1"/>
    <col min="3589" max="3589" width="14.140625" style="323" customWidth="1"/>
    <col min="3590" max="3590" width="14.42578125" style="323" customWidth="1"/>
    <col min="3591" max="3591" width="10.42578125" style="323" bestFit="1" customWidth="1"/>
    <col min="3592" max="3592" width="10.42578125" style="323" customWidth="1"/>
    <col min="3593" max="3593" width="10.140625" style="323" customWidth="1"/>
    <col min="3594" max="3594" width="10.5703125" style="323" customWidth="1"/>
    <col min="3595" max="3595" width="10.42578125" style="323" bestFit="1" customWidth="1"/>
    <col min="3596" max="3840" width="9.140625" style="323"/>
    <col min="3841" max="3841" width="2.42578125" style="323" customWidth="1"/>
    <col min="3842" max="3842" width="24.42578125" style="323" customWidth="1"/>
    <col min="3843" max="3843" width="15.42578125" style="323" customWidth="1"/>
    <col min="3844" max="3844" width="17.85546875" style="323" customWidth="1"/>
    <col min="3845" max="3845" width="14.140625" style="323" customWidth="1"/>
    <col min="3846" max="3846" width="14.42578125" style="323" customWidth="1"/>
    <col min="3847" max="3847" width="10.42578125" style="323" bestFit="1" customWidth="1"/>
    <col min="3848" max="3848" width="10.42578125" style="323" customWidth="1"/>
    <col min="3849" max="3849" width="10.140625" style="323" customWidth="1"/>
    <col min="3850" max="3850" width="10.5703125" style="323" customWidth="1"/>
    <col min="3851" max="3851" width="10.42578125" style="323" bestFit="1" customWidth="1"/>
    <col min="3852" max="4096" width="9.140625" style="323"/>
    <col min="4097" max="4097" width="2.42578125" style="323" customWidth="1"/>
    <col min="4098" max="4098" width="24.42578125" style="323" customWidth="1"/>
    <col min="4099" max="4099" width="15.42578125" style="323" customWidth="1"/>
    <col min="4100" max="4100" width="17.85546875" style="323" customWidth="1"/>
    <col min="4101" max="4101" width="14.140625" style="323" customWidth="1"/>
    <col min="4102" max="4102" width="14.42578125" style="323" customWidth="1"/>
    <col min="4103" max="4103" width="10.42578125" style="323" bestFit="1" customWidth="1"/>
    <col min="4104" max="4104" width="10.42578125" style="323" customWidth="1"/>
    <col min="4105" max="4105" width="10.140625" style="323" customWidth="1"/>
    <col min="4106" max="4106" width="10.5703125" style="323" customWidth="1"/>
    <col min="4107" max="4107" width="10.42578125" style="323" bestFit="1" customWidth="1"/>
    <col min="4108" max="4352" width="9.140625" style="323"/>
    <col min="4353" max="4353" width="2.42578125" style="323" customWidth="1"/>
    <col min="4354" max="4354" width="24.42578125" style="323" customWidth="1"/>
    <col min="4355" max="4355" width="15.42578125" style="323" customWidth="1"/>
    <col min="4356" max="4356" width="17.85546875" style="323" customWidth="1"/>
    <col min="4357" max="4357" width="14.140625" style="323" customWidth="1"/>
    <col min="4358" max="4358" width="14.42578125" style="323" customWidth="1"/>
    <col min="4359" max="4359" width="10.42578125" style="323" bestFit="1" customWidth="1"/>
    <col min="4360" max="4360" width="10.42578125" style="323" customWidth="1"/>
    <col min="4361" max="4361" width="10.140625" style="323" customWidth="1"/>
    <col min="4362" max="4362" width="10.5703125" style="323" customWidth="1"/>
    <col min="4363" max="4363" width="10.42578125" style="323" bestFit="1" customWidth="1"/>
    <col min="4364" max="4608" width="9.140625" style="323"/>
    <col min="4609" max="4609" width="2.42578125" style="323" customWidth="1"/>
    <col min="4610" max="4610" width="24.42578125" style="323" customWidth="1"/>
    <col min="4611" max="4611" width="15.42578125" style="323" customWidth="1"/>
    <col min="4612" max="4612" width="17.85546875" style="323" customWidth="1"/>
    <col min="4613" max="4613" width="14.140625" style="323" customWidth="1"/>
    <col min="4614" max="4614" width="14.42578125" style="323" customWidth="1"/>
    <col min="4615" max="4615" width="10.42578125" style="323" bestFit="1" customWidth="1"/>
    <col min="4616" max="4616" width="10.42578125" style="323" customWidth="1"/>
    <col min="4617" max="4617" width="10.140625" style="323" customWidth="1"/>
    <col min="4618" max="4618" width="10.5703125" style="323" customWidth="1"/>
    <col min="4619" max="4619" width="10.42578125" style="323" bestFit="1" customWidth="1"/>
    <col min="4620" max="4864" width="9.140625" style="323"/>
    <col min="4865" max="4865" width="2.42578125" style="323" customWidth="1"/>
    <col min="4866" max="4866" width="24.42578125" style="323" customWidth="1"/>
    <col min="4867" max="4867" width="15.42578125" style="323" customWidth="1"/>
    <col min="4868" max="4868" width="17.85546875" style="323" customWidth="1"/>
    <col min="4869" max="4869" width="14.140625" style="323" customWidth="1"/>
    <col min="4870" max="4870" width="14.42578125" style="323" customWidth="1"/>
    <col min="4871" max="4871" width="10.42578125" style="323" bestFit="1" customWidth="1"/>
    <col min="4872" max="4872" width="10.42578125" style="323" customWidth="1"/>
    <col min="4873" max="4873" width="10.140625" style="323" customWidth="1"/>
    <col min="4874" max="4874" width="10.5703125" style="323" customWidth="1"/>
    <col min="4875" max="4875" width="10.42578125" style="323" bestFit="1" customWidth="1"/>
    <col min="4876" max="5120" width="9.140625" style="323"/>
    <col min="5121" max="5121" width="2.42578125" style="323" customWidth="1"/>
    <col min="5122" max="5122" width="24.42578125" style="323" customWidth="1"/>
    <col min="5123" max="5123" width="15.42578125" style="323" customWidth="1"/>
    <col min="5124" max="5124" width="17.85546875" style="323" customWidth="1"/>
    <col min="5125" max="5125" width="14.140625" style="323" customWidth="1"/>
    <col min="5126" max="5126" width="14.42578125" style="323" customWidth="1"/>
    <col min="5127" max="5127" width="10.42578125" style="323" bestFit="1" customWidth="1"/>
    <col min="5128" max="5128" width="10.42578125" style="323" customWidth="1"/>
    <col min="5129" max="5129" width="10.140625" style="323" customWidth="1"/>
    <col min="5130" max="5130" width="10.5703125" style="323" customWidth="1"/>
    <col min="5131" max="5131" width="10.42578125" style="323" bestFit="1" customWidth="1"/>
    <col min="5132" max="5376" width="9.140625" style="323"/>
    <col min="5377" max="5377" width="2.42578125" style="323" customWidth="1"/>
    <col min="5378" max="5378" width="24.42578125" style="323" customWidth="1"/>
    <col min="5379" max="5379" width="15.42578125" style="323" customWidth="1"/>
    <col min="5380" max="5380" width="17.85546875" style="323" customWidth="1"/>
    <col min="5381" max="5381" width="14.140625" style="323" customWidth="1"/>
    <col min="5382" max="5382" width="14.42578125" style="323" customWidth="1"/>
    <col min="5383" max="5383" width="10.42578125" style="323" bestFit="1" customWidth="1"/>
    <col min="5384" max="5384" width="10.42578125" style="323" customWidth="1"/>
    <col min="5385" max="5385" width="10.140625" style="323" customWidth="1"/>
    <col min="5386" max="5386" width="10.5703125" style="323" customWidth="1"/>
    <col min="5387" max="5387" width="10.42578125" style="323" bestFit="1" customWidth="1"/>
    <col min="5388" max="5632" width="9.140625" style="323"/>
    <col min="5633" max="5633" width="2.42578125" style="323" customWidth="1"/>
    <col min="5634" max="5634" width="24.42578125" style="323" customWidth="1"/>
    <col min="5635" max="5635" width="15.42578125" style="323" customWidth="1"/>
    <col min="5636" max="5636" width="17.85546875" style="323" customWidth="1"/>
    <col min="5637" max="5637" width="14.140625" style="323" customWidth="1"/>
    <col min="5638" max="5638" width="14.42578125" style="323" customWidth="1"/>
    <col min="5639" max="5639" width="10.42578125" style="323" bestFit="1" customWidth="1"/>
    <col min="5640" max="5640" width="10.42578125" style="323" customWidth="1"/>
    <col min="5641" max="5641" width="10.140625" style="323" customWidth="1"/>
    <col min="5642" max="5642" width="10.5703125" style="323" customWidth="1"/>
    <col min="5643" max="5643" width="10.42578125" style="323" bestFit="1" customWidth="1"/>
    <col min="5644" max="5888" width="9.140625" style="323"/>
    <col min="5889" max="5889" width="2.42578125" style="323" customWidth="1"/>
    <col min="5890" max="5890" width="24.42578125" style="323" customWidth="1"/>
    <col min="5891" max="5891" width="15.42578125" style="323" customWidth="1"/>
    <col min="5892" max="5892" width="17.85546875" style="323" customWidth="1"/>
    <col min="5893" max="5893" width="14.140625" style="323" customWidth="1"/>
    <col min="5894" max="5894" width="14.42578125" style="323" customWidth="1"/>
    <col min="5895" max="5895" width="10.42578125" style="323" bestFit="1" customWidth="1"/>
    <col min="5896" max="5896" width="10.42578125" style="323" customWidth="1"/>
    <col min="5897" max="5897" width="10.140625" style="323" customWidth="1"/>
    <col min="5898" max="5898" width="10.5703125" style="323" customWidth="1"/>
    <col min="5899" max="5899" width="10.42578125" style="323" bestFit="1" customWidth="1"/>
    <col min="5900" max="6144" width="9.140625" style="323"/>
    <col min="6145" max="6145" width="2.42578125" style="323" customWidth="1"/>
    <col min="6146" max="6146" width="24.42578125" style="323" customWidth="1"/>
    <col min="6147" max="6147" width="15.42578125" style="323" customWidth="1"/>
    <col min="6148" max="6148" width="17.85546875" style="323" customWidth="1"/>
    <col min="6149" max="6149" width="14.140625" style="323" customWidth="1"/>
    <col min="6150" max="6150" width="14.42578125" style="323" customWidth="1"/>
    <col min="6151" max="6151" width="10.42578125" style="323" bestFit="1" customWidth="1"/>
    <col min="6152" max="6152" width="10.42578125" style="323" customWidth="1"/>
    <col min="6153" max="6153" width="10.140625" style="323" customWidth="1"/>
    <col min="6154" max="6154" width="10.5703125" style="323" customWidth="1"/>
    <col min="6155" max="6155" width="10.42578125" style="323" bestFit="1" customWidth="1"/>
    <col min="6156" max="6400" width="9.140625" style="323"/>
    <col min="6401" max="6401" width="2.42578125" style="323" customWidth="1"/>
    <col min="6402" max="6402" width="24.42578125" style="323" customWidth="1"/>
    <col min="6403" max="6403" width="15.42578125" style="323" customWidth="1"/>
    <col min="6404" max="6404" width="17.85546875" style="323" customWidth="1"/>
    <col min="6405" max="6405" width="14.140625" style="323" customWidth="1"/>
    <col min="6406" max="6406" width="14.42578125" style="323" customWidth="1"/>
    <col min="6407" max="6407" width="10.42578125" style="323" bestFit="1" customWidth="1"/>
    <col min="6408" max="6408" width="10.42578125" style="323" customWidth="1"/>
    <col min="6409" max="6409" width="10.140625" style="323" customWidth="1"/>
    <col min="6410" max="6410" width="10.5703125" style="323" customWidth="1"/>
    <col min="6411" max="6411" width="10.42578125" style="323" bestFit="1" customWidth="1"/>
    <col min="6412" max="6656" width="9.140625" style="323"/>
    <col min="6657" max="6657" width="2.42578125" style="323" customWidth="1"/>
    <col min="6658" max="6658" width="24.42578125" style="323" customWidth="1"/>
    <col min="6659" max="6659" width="15.42578125" style="323" customWidth="1"/>
    <col min="6660" max="6660" width="17.85546875" style="323" customWidth="1"/>
    <col min="6661" max="6661" width="14.140625" style="323" customWidth="1"/>
    <col min="6662" max="6662" width="14.42578125" style="323" customWidth="1"/>
    <col min="6663" max="6663" width="10.42578125" style="323" bestFit="1" customWidth="1"/>
    <col min="6664" max="6664" width="10.42578125" style="323" customWidth="1"/>
    <col min="6665" max="6665" width="10.140625" style="323" customWidth="1"/>
    <col min="6666" max="6666" width="10.5703125" style="323" customWidth="1"/>
    <col min="6667" max="6667" width="10.42578125" style="323" bestFit="1" customWidth="1"/>
    <col min="6668" max="6912" width="9.140625" style="323"/>
    <col min="6913" max="6913" width="2.42578125" style="323" customWidth="1"/>
    <col min="6914" max="6914" width="24.42578125" style="323" customWidth="1"/>
    <col min="6915" max="6915" width="15.42578125" style="323" customWidth="1"/>
    <col min="6916" max="6916" width="17.85546875" style="323" customWidth="1"/>
    <col min="6917" max="6917" width="14.140625" style="323" customWidth="1"/>
    <col min="6918" max="6918" width="14.42578125" style="323" customWidth="1"/>
    <col min="6919" max="6919" width="10.42578125" style="323" bestFit="1" customWidth="1"/>
    <col min="6920" max="6920" width="10.42578125" style="323" customWidth="1"/>
    <col min="6921" max="6921" width="10.140625" style="323" customWidth="1"/>
    <col min="6922" max="6922" width="10.5703125" style="323" customWidth="1"/>
    <col min="6923" max="6923" width="10.42578125" style="323" bestFit="1" customWidth="1"/>
    <col min="6924" max="7168" width="9.140625" style="323"/>
    <col min="7169" max="7169" width="2.42578125" style="323" customWidth="1"/>
    <col min="7170" max="7170" width="24.42578125" style="323" customWidth="1"/>
    <col min="7171" max="7171" width="15.42578125" style="323" customWidth="1"/>
    <col min="7172" max="7172" width="17.85546875" style="323" customWidth="1"/>
    <col min="7173" max="7173" width="14.140625" style="323" customWidth="1"/>
    <col min="7174" max="7174" width="14.42578125" style="323" customWidth="1"/>
    <col min="7175" max="7175" width="10.42578125" style="323" bestFit="1" customWidth="1"/>
    <col min="7176" max="7176" width="10.42578125" style="323" customWidth="1"/>
    <col min="7177" max="7177" width="10.140625" style="323" customWidth="1"/>
    <col min="7178" max="7178" width="10.5703125" style="323" customWidth="1"/>
    <col min="7179" max="7179" width="10.42578125" style="323" bestFit="1" customWidth="1"/>
    <col min="7180" max="7424" width="9.140625" style="323"/>
    <col min="7425" max="7425" width="2.42578125" style="323" customWidth="1"/>
    <col min="7426" max="7426" width="24.42578125" style="323" customWidth="1"/>
    <col min="7427" max="7427" width="15.42578125" style="323" customWidth="1"/>
    <col min="7428" max="7428" width="17.85546875" style="323" customWidth="1"/>
    <col min="7429" max="7429" width="14.140625" style="323" customWidth="1"/>
    <col min="7430" max="7430" width="14.42578125" style="323" customWidth="1"/>
    <col min="7431" max="7431" width="10.42578125" style="323" bestFit="1" customWidth="1"/>
    <col min="7432" max="7432" width="10.42578125" style="323" customWidth="1"/>
    <col min="7433" max="7433" width="10.140625" style="323" customWidth="1"/>
    <col min="7434" max="7434" width="10.5703125" style="323" customWidth="1"/>
    <col min="7435" max="7435" width="10.42578125" style="323" bestFit="1" customWidth="1"/>
    <col min="7436" max="7680" width="9.140625" style="323"/>
    <col min="7681" max="7681" width="2.42578125" style="323" customWidth="1"/>
    <col min="7682" max="7682" width="24.42578125" style="323" customWidth="1"/>
    <col min="7683" max="7683" width="15.42578125" style="323" customWidth="1"/>
    <col min="7684" max="7684" width="17.85546875" style="323" customWidth="1"/>
    <col min="7685" max="7685" width="14.140625" style="323" customWidth="1"/>
    <col min="7686" max="7686" width="14.42578125" style="323" customWidth="1"/>
    <col min="7687" max="7687" width="10.42578125" style="323" bestFit="1" customWidth="1"/>
    <col min="7688" max="7688" width="10.42578125" style="323" customWidth="1"/>
    <col min="7689" max="7689" width="10.140625" style="323" customWidth="1"/>
    <col min="7690" max="7690" width="10.5703125" style="323" customWidth="1"/>
    <col min="7691" max="7691" width="10.42578125" style="323" bestFit="1" customWidth="1"/>
    <col min="7692" max="7936" width="9.140625" style="323"/>
    <col min="7937" max="7937" width="2.42578125" style="323" customWidth="1"/>
    <col min="7938" max="7938" width="24.42578125" style="323" customWidth="1"/>
    <col min="7939" max="7939" width="15.42578125" style="323" customWidth="1"/>
    <col min="7940" max="7940" width="17.85546875" style="323" customWidth="1"/>
    <col min="7941" max="7941" width="14.140625" style="323" customWidth="1"/>
    <col min="7942" max="7942" width="14.42578125" style="323" customWidth="1"/>
    <col min="7943" max="7943" width="10.42578125" style="323" bestFit="1" customWidth="1"/>
    <col min="7944" max="7944" width="10.42578125" style="323" customWidth="1"/>
    <col min="7945" max="7945" width="10.140625" style="323" customWidth="1"/>
    <col min="7946" max="7946" width="10.5703125" style="323" customWidth="1"/>
    <col min="7947" max="7947" width="10.42578125" style="323" bestFit="1" customWidth="1"/>
    <col min="7948" max="8192" width="9.140625" style="323"/>
    <col min="8193" max="8193" width="2.42578125" style="323" customWidth="1"/>
    <col min="8194" max="8194" width="24.42578125" style="323" customWidth="1"/>
    <col min="8195" max="8195" width="15.42578125" style="323" customWidth="1"/>
    <col min="8196" max="8196" width="17.85546875" style="323" customWidth="1"/>
    <col min="8197" max="8197" width="14.140625" style="323" customWidth="1"/>
    <col min="8198" max="8198" width="14.42578125" style="323" customWidth="1"/>
    <col min="8199" max="8199" width="10.42578125" style="323" bestFit="1" customWidth="1"/>
    <col min="8200" max="8200" width="10.42578125" style="323" customWidth="1"/>
    <col min="8201" max="8201" width="10.140625" style="323" customWidth="1"/>
    <col min="8202" max="8202" width="10.5703125" style="323" customWidth="1"/>
    <col min="8203" max="8203" width="10.42578125" style="323" bestFit="1" customWidth="1"/>
    <col min="8204" max="8448" width="9.140625" style="323"/>
    <col min="8449" max="8449" width="2.42578125" style="323" customWidth="1"/>
    <col min="8450" max="8450" width="24.42578125" style="323" customWidth="1"/>
    <col min="8451" max="8451" width="15.42578125" style="323" customWidth="1"/>
    <col min="8452" max="8452" width="17.85546875" style="323" customWidth="1"/>
    <col min="8453" max="8453" width="14.140625" style="323" customWidth="1"/>
    <col min="8454" max="8454" width="14.42578125" style="323" customWidth="1"/>
    <col min="8455" max="8455" width="10.42578125" style="323" bestFit="1" customWidth="1"/>
    <col min="8456" max="8456" width="10.42578125" style="323" customWidth="1"/>
    <col min="8457" max="8457" width="10.140625" style="323" customWidth="1"/>
    <col min="8458" max="8458" width="10.5703125" style="323" customWidth="1"/>
    <col min="8459" max="8459" width="10.42578125" style="323" bestFit="1" customWidth="1"/>
    <col min="8460" max="8704" width="9.140625" style="323"/>
    <col min="8705" max="8705" width="2.42578125" style="323" customWidth="1"/>
    <col min="8706" max="8706" width="24.42578125" style="323" customWidth="1"/>
    <col min="8707" max="8707" width="15.42578125" style="323" customWidth="1"/>
    <col min="8708" max="8708" width="17.85546875" style="323" customWidth="1"/>
    <col min="8709" max="8709" width="14.140625" style="323" customWidth="1"/>
    <col min="8710" max="8710" width="14.42578125" style="323" customWidth="1"/>
    <col min="8711" max="8711" width="10.42578125" style="323" bestFit="1" customWidth="1"/>
    <col min="8712" max="8712" width="10.42578125" style="323" customWidth="1"/>
    <col min="8713" max="8713" width="10.140625" style="323" customWidth="1"/>
    <col min="8714" max="8714" width="10.5703125" style="323" customWidth="1"/>
    <col min="8715" max="8715" width="10.42578125" style="323" bestFit="1" customWidth="1"/>
    <col min="8716" max="8960" width="9.140625" style="323"/>
    <col min="8961" max="8961" width="2.42578125" style="323" customWidth="1"/>
    <col min="8962" max="8962" width="24.42578125" style="323" customWidth="1"/>
    <col min="8963" max="8963" width="15.42578125" style="323" customWidth="1"/>
    <col min="8964" max="8964" width="17.85546875" style="323" customWidth="1"/>
    <col min="8965" max="8965" width="14.140625" style="323" customWidth="1"/>
    <col min="8966" max="8966" width="14.42578125" style="323" customWidth="1"/>
    <col min="8967" max="8967" width="10.42578125" style="323" bestFit="1" customWidth="1"/>
    <col min="8968" max="8968" width="10.42578125" style="323" customWidth="1"/>
    <col min="8969" max="8969" width="10.140625" style="323" customWidth="1"/>
    <col min="8970" max="8970" width="10.5703125" style="323" customWidth="1"/>
    <col min="8971" max="8971" width="10.42578125" style="323" bestFit="1" customWidth="1"/>
    <col min="8972" max="9216" width="9.140625" style="323"/>
    <col min="9217" max="9217" width="2.42578125" style="323" customWidth="1"/>
    <col min="9218" max="9218" width="24.42578125" style="323" customWidth="1"/>
    <col min="9219" max="9219" width="15.42578125" style="323" customWidth="1"/>
    <col min="9220" max="9220" width="17.85546875" style="323" customWidth="1"/>
    <col min="9221" max="9221" width="14.140625" style="323" customWidth="1"/>
    <col min="9222" max="9222" width="14.42578125" style="323" customWidth="1"/>
    <col min="9223" max="9223" width="10.42578125" style="323" bestFit="1" customWidth="1"/>
    <col min="9224" max="9224" width="10.42578125" style="323" customWidth="1"/>
    <col min="9225" max="9225" width="10.140625" style="323" customWidth="1"/>
    <col min="9226" max="9226" width="10.5703125" style="323" customWidth="1"/>
    <col min="9227" max="9227" width="10.42578125" style="323" bestFit="1" customWidth="1"/>
    <col min="9228" max="9472" width="9.140625" style="323"/>
    <col min="9473" max="9473" width="2.42578125" style="323" customWidth="1"/>
    <col min="9474" max="9474" width="24.42578125" style="323" customWidth="1"/>
    <col min="9475" max="9475" width="15.42578125" style="323" customWidth="1"/>
    <col min="9476" max="9476" width="17.85546875" style="323" customWidth="1"/>
    <col min="9477" max="9477" width="14.140625" style="323" customWidth="1"/>
    <col min="9478" max="9478" width="14.42578125" style="323" customWidth="1"/>
    <col min="9479" max="9479" width="10.42578125" style="323" bestFit="1" customWidth="1"/>
    <col min="9480" max="9480" width="10.42578125" style="323" customWidth="1"/>
    <col min="9481" max="9481" width="10.140625" style="323" customWidth="1"/>
    <col min="9482" max="9482" width="10.5703125" style="323" customWidth="1"/>
    <col min="9483" max="9483" width="10.42578125" style="323" bestFit="1" customWidth="1"/>
    <col min="9484" max="9728" width="9.140625" style="323"/>
    <col min="9729" max="9729" width="2.42578125" style="323" customWidth="1"/>
    <col min="9730" max="9730" width="24.42578125" style="323" customWidth="1"/>
    <col min="9731" max="9731" width="15.42578125" style="323" customWidth="1"/>
    <col min="9732" max="9732" width="17.85546875" style="323" customWidth="1"/>
    <col min="9733" max="9733" width="14.140625" style="323" customWidth="1"/>
    <col min="9734" max="9734" width="14.42578125" style="323" customWidth="1"/>
    <col min="9735" max="9735" width="10.42578125" style="323" bestFit="1" customWidth="1"/>
    <col min="9736" max="9736" width="10.42578125" style="323" customWidth="1"/>
    <col min="9737" max="9737" width="10.140625" style="323" customWidth="1"/>
    <col min="9738" max="9738" width="10.5703125" style="323" customWidth="1"/>
    <col min="9739" max="9739" width="10.42578125" style="323" bestFit="1" customWidth="1"/>
    <col min="9740" max="9984" width="9.140625" style="323"/>
    <col min="9985" max="9985" width="2.42578125" style="323" customWidth="1"/>
    <col min="9986" max="9986" width="24.42578125" style="323" customWidth="1"/>
    <col min="9987" max="9987" width="15.42578125" style="323" customWidth="1"/>
    <col min="9988" max="9988" width="17.85546875" style="323" customWidth="1"/>
    <col min="9989" max="9989" width="14.140625" style="323" customWidth="1"/>
    <col min="9990" max="9990" width="14.42578125" style="323" customWidth="1"/>
    <col min="9991" max="9991" width="10.42578125" style="323" bestFit="1" customWidth="1"/>
    <col min="9992" max="9992" width="10.42578125" style="323" customWidth="1"/>
    <col min="9993" max="9993" width="10.140625" style="323" customWidth="1"/>
    <col min="9994" max="9994" width="10.5703125" style="323" customWidth="1"/>
    <col min="9995" max="9995" width="10.42578125" style="323" bestFit="1" customWidth="1"/>
    <col min="9996" max="10240" width="9.140625" style="323"/>
    <col min="10241" max="10241" width="2.42578125" style="323" customWidth="1"/>
    <col min="10242" max="10242" width="24.42578125" style="323" customWidth="1"/>
    <col min="10243" max="10243" width="15.42578125" style="323" customWidth="1"/>
    <col min="10244" max="10244" width="17.85546875" style="323" customWidth="1"/>
    <col min="10245" max="10245" width="14.140625" style="323" customWidth="1"/>
    <col min="10246" max="10246" width="14.42578125" style="323" customWidth="1"/>
    <col min="10247" max="10247" width="10.42578125" style="323" bestFit="1" customWidth="1"/>
    <col min="10248" max="10248" width="10.42578125" style="323" customWidth="1"/>
    <col min="10249" max="10249" width="10.140625" style="323" customWidth="1"/>
    <col min="10250" max="10250" width="10.5703125" style="323" customWidth="1"/>
    <col min="10251" max="10251" width="10.42578125" style="323" bestFit="1" customWidth="1"/>
    <col min="10252" max="10496" width="9.140625" style="323"/>
    <col min="10497" max="10497" width="2.42578125" style="323" customWidth="1"/>
    <col min="10498" max="10498" width="24.42578125" style="323" customWidth="1"/>
    <col min="10499" max="10499" width="15.42578125" style="323" customWidth="1"/>
    <col min="10500" max="10500" width="17.85546875" style="323" customWidth="1"/>
    <col min="10501" max="10501" width="14.140625" style="323" customWidth="1"/>
    <col min="10502" max="10502" width="14.42578125" style="323" customWidth="1"/>
    <col min="10503" max="10503" width="10.42578125" style="323" bestFit="1" customWidth="1"/>
    <col min="10504" max="10504" width="10.42578125" style="323" customWidth="1"/>
    <col min="10505" max="10505" width="10.140625" style="323" customWidth="1"/>
    <col min="10506" max="10506" width="10.5703125" style="323" customWidth="1"/>
    <col min="10507" max="10507" width="10.42578125" style="323" bestFit="1" customWidth="1"/>
    <col min="10508" max="10752" width="9.140625" style="323"/>
    <col min="10753" max="10753" width="2.42578125" style="323" customWidth="1"/>
    <col min="10754" max="10754" width="24.42578125" style="323" customWidth="1"/>
    <col min="10755" max="10755" width="15.42578125" style="323" customWidth="1"/>
    <col min="10756" max="10756" width="17.85546875" style="323" customWidth="1"/>
    <col min="10757" max="10757" width="14.140625" style="323" customWidth="1"/>
    <col min="10758" max="10758" width="14.42578125" style="323" customWidth="1"/>
    <col min="10759" max="10759" width="10.42578125" style="323" bestFit="1" customWidth="1"/>
    <col min="10760" max="10760" width="10.42578125" style="323" customWidth="1"/>
    <col min="10761" max="10761" width="10.140625" style="323" customWidth="1"/>
    <col min="10762" max="10762" width="10.5703125" style="323" customWidth="1"/>
    <col min="10763" max="10763" width="10.42578125" style="323" bestFit="1" customWidth="1"/>
    <col min="10764" max="11008" width="9.140625" style="323"/>
    <col min="11009" max="11009" width="2.42578125" style="323" customWidth="1"/>
    <col min="11010" max="11010" width="24.42578125" style="323" customWidth="1"/>
    <col min="11011" max="11011" width="15.42578125" style="323" customWidth="1"/>
    <col min="11012" max="11012" width="17.85546875" style="323" customWidth="1"/>
    <col min="11013" max="11013" width="14.140625" style="323" customWidth="1"/>
    <col min="11014" max="11014" width="14.42578125" style="323" customWidth="1"/>
    <col min="11015" max="11015" width="10.42578125" style="323" bestFit="1" customWidth="1"/>
    <col min="11016" max="11016" width="10.42578125" style="323" customWidth="1"/>
    <col min="11017" max="11017" width="10.140625" style="323" customWidth="1"/>
    <col min="11018" max="11018" width="10.5703125" style="323" customWidth="1"/>
    <col min="11019" max="11019" width="10.42578125" style="323" bestFit="1" customWidth="1"/>
    <col min="11020" max="11264" width="9.140625" style="323"/>
    <col min="11265" max="11265" width="2.42578125" style="323" customWidth="1"/>
    <col min="11266" max="11266" width="24.42578125" style="323" customWidth="1"/>
    <col min="11267" max="11267" width="15.42578125" style="323" customWidth="1"/>
    <col min="11268" max="11268" width="17.85546875" style="323" customWidth="1"/>
    <col min="11269" max="11269" width="14.140625" style="323" customWidth="1"/>
    <col min="11270" max="11270" width="14.42578125" style="323" customWidth="1"/>
    <col min="11271" max="11271" width="10.42578125" style="323" bestFit="1" customWidth="1"/>
    <col min="11272" max="11272" width="10.42578125" style="323" customWidth="1"/>
    <col min="11273" max="11273" width="10.140625" style="323" customWidth="1"/>
    <col min="11274" max="11274" width="10.5703125" style="323" customWidth="1"/>
    <col min="11275" max="11275" width="10.42578125" style="323" bestFit="1" customWidth="1"/>
    <col min="11276" max="11520" width="9.140625" style="323"/>
    <col min="11521" max="11521" width="2.42578125" style="323" customWidth="1"/>
    <col min="11522" max="11522" width="24.42578125" style="323" customWidth="1"/>
    <col min="11523" max="11523" width="15.42578125" style="323" customWidth="1"/>
    <col min="11524" max="11524" width="17.85546875" style="323" customWidth="1"/>
    <col min="11525" max="11525" width="14.140625" style="323" customWidth="1"/>
    <col min="11526" max="11526" width="14.42578125" style="323" customWidth="1"/>
    <col min="11527" max="11527" width="10.42578125" style="323" bestFit="1" customWidth="1"/>
    <col min="11528" max="11528" width="10.42578125" style="323" customWidth="1"/>
    <col min="11529" max="11529" width="10.140625" style="323" customWidth="1"/>
    <col min="11530" max="11530" width="10.5703125" style="323" customWidth="1"/>
    <col min="11531" max="11531" width="10.42578125" style="323" bestFit="1" customWidth="1"/>
    <col min="11532" max="11776" width="9.140625" style="323"/>
    <col min="11777" max="11777" width="2.42578125" style="323" customWidth="1"/>
    <col min="11778" max="11778" width="24.42578125" style="323" customWidth="1"/>
    <col min="11779" max="11779" width="15.42578125" style="323" customWidth="1"/>
    <col min="11780" max="11780" width="17.85546875" style="323" customWidth="1"/>
    <col min="11781" max="11781" width="14.140625" style="323" customWidth="1"/>
    <col min="11782" max="11782" width="14.42578125" style="323" customWidth="1"/>
    <col min="11783" max="11783" width="10.42578125" style="323" bestFit="1" customWidth="1"/>
    <col min="11784" max="11784" width="10.42578125" style="323" customWidth="1"/>
    <col min="11785" max="11785" width="10.140625" style="323" customWidth="1"/>
    <col min="11786" max="11786" width="10.5703125" style="323" customWidth="1"/>
    <col min="11787" max="11787" width="10.42578125" style="323" bestFit="1" customWidth="1"/>
    <col min="11788" max="12032" width="9.140625" style="323"/>
    <col min="12033" max="12033" width="2.42578125" style="323" customWidth="1"/>
    <col min="12034" max="12034" width="24.42578125" style="323" customWidth="1"/>
    <col min="12035" max="12035" width="15.42578125" style="323" customWidth="1"/>
    <col min="12036" max="12036" width="17.85546875" style="323" customWidth="1"/>
    <col min="12037" max="12037" width="14.140625" style="323" customWidth="1"/>
    <col min="12038" max="12038" width="14.42578125" style="323" customWidth="1"/>
    <col min="12039" max="12039" width="10.42578125" style="323" bestFit="1" customWidth="1"/>
    <col min="12040" max="12040" width="10.42578125" style="323" customWidth="1"/>
    <col min="12041" max="12041" width="10.140625" style="323" customWidth="1"/>
    <col min="12042" max="12042" width="10.5703125" style="323" customWidth="1"/>
    <col min="12043" max="12043" width="10.42578125" style="323" bestFit="1" customWidth="1"/>
    <col min="12044" max="12288" width="9.140625" style="323"/>
    <col min="12289" max="12289" width="2.42578125" style="323" customWidth="1"/>
    <col min="12290" max="12290" width="24.42578125" style="323" customWidth="1"/>
    <col min="12291" max="12291" width="15.42578125" style="323" customWidth="1"/>
    <col min="12292" max="12292" width="17.85546875" style="323" customWidth="1"/>
    <col min="12293" max="12293" width="14.140625" style="323" customWidth="1"/>
    <col min="12294" max="12294" width="14.42578125" style="323" customWidth="1"/>
    <col min="12295" max="12295" width="10.42578125" style="323" bestFit="1" customWidth="1"/>
    <col min="12296" max="12296" width="10.42578125" style="323" customWidth="1"/>
    <col min="12297" max="12297" width="10.140625" style="323" customWidth="1"/>
    <col min="12298" max="12298" width="10.5703125" style="323" customWidth="1"/>
    <col min="12299" max="12299" width="10.42578125" style="323" bestFit="1" customWidth="1"/>
    <col min="12300" max="12544" width="9.140625" style="323"/>
    <col min="12545" max="12545" width="2.42578125" style="323" customWidth="1"/>
    <col min="12546" max="12546" width="24.42578125" style="323" customWidth="1"/>
    <col min="12547" max="12547" width="15.42578125" style="323" customWidth="1"/>
    <col min="12548" max="12548" width="17.85546875" style="323" customWidth="1"/>
    <col min="12549" max="12549" width="14.140625" style="323" customWidth="1"/>
    <col min="12550" max="12550" width="14.42578125" style="323" customWidth="1"/>
    <col min="12551" max="12551" width="10.42578125" style="323" bestFit="1" customWidth="1"/>
    <col min="12552" max="12552" width="10.42578125" style="323" customWidth="1"/>
    <col min="12553" max="12553" width="10.140625" style="323" customWidth="1"/>
    <col min="12554" max="12554" width="10.5703125" style="323" customWidth="1"/>
    <col min="12555" max="12555" width="10.42578125" style="323" bestFit="1" customWidth="1"/>
    <col min="12556" max="12800" width="9.140625" style="323"/>
    <col min="12801" max="12801" width="2.42578125" style="323" customWidth="1"/>
    <col min="12802" max="12802" width="24.42578125" style="323" customWidth="1"/>
    <col min="12803" max="12803" width="15.42578125" style="323" customWidth="1"/>
    <col min="12804" max="12804" width="17.85546875" style="323" customWidth="1"/>
    <col min="12805" max="12805" width="14.140625" style="323" customWidth="1"/>
    <col min="12806" max="12806" width="14.42578125" style="323" customWidth="1"/>
    <col min="12807" max="12807" width="10.42578125" style="323" bestFit="1" customWidth="1"/>
    <col min="12808" max="12808" width="10.42578125" style="323" customWidth="1"/>
    <col min="12809" max="12809" width="10.140625" style="323" customWidth="1"/>
    <col min="12810" max="12810" width="10.5703125" style="323" customWidth="1"/>
    <col min="12811" max="12811" width="10.42578125" style="323" bestFit="1" customWidth="1"/>
    <col min="12812" max="13056" width="9.140625" style="323"/>
    <col min="13057" max="13057" width="2.42578125" style="323" customWidth="1"/>
    <col min="13058" max="13058" width="24.42578125" style="323" customWidth="1"/>
    <col min="13059" max="13059" width="15.42578125" style="323" customWidth="1"/>
    <col min="13060" max="13060" width="17.85546875" style="323" customWidth="1"/>
    <col min="13061" max="13061" width="14.140625" style="323" customWidth="1"/>
    <col min="13062" max="13062" width="14.42578125" style="323" customWidth="1"/>
    <col min="13063" max="13063" width="10.42578125" style="323" bestFit="1" customWidth="1"/>
    <col min="13064" max="13064" width="10.42578125" style="323" customWidth="1"/>
    <col min="13065" max="13065" width="10.140625" style="323" customWidth="1"/>
    <col min="13066" max="13066" width="10.5703125" style="323" customWidth="1"/>
    <col min="13067" max="13067" width="10.42578125" style="323" bestFit="1" customWidth="1"/>
    <col min="13068" max="13312" width="9.140625" style="323"/>
    <col min="13313" max="13313" width="2.42578125" style="323" customWidth="1"/>
    <col min="13314" max="13314" width="24.42578125" style="323" customWidth="1"/>
    <col min="13315" max="13315" width="15.42578125" style="323" customWidth="1"/>
    <col min="13316" max="13316" width="17.85546875" style="323" customWidth="1"/>
    <col min="13317" max="13317" width="14.140625" style="323" customWidth="1"/>
    <col min="13318" max="13318" width="14.42578125" style="323" customWidth="1"/>
    <col min="13319" max="13319" width="10.42578125" style="323" bestFit="1" customWidth="1"/>
    <col min="13320" max="13320" width="10.42578125" style="323" customWidth="1"/>
    <col min="13321" max="13321" width="10.140625" style="323" customWidth="1"/>
    <col min="13322" max="13322" width="10.5703125" style="323" customWidth="1"/>
    <col min="13323" max="13323" width="10.42578125" style="323" bestFit="1" customWidth="1"/>
    <col min="13324" max="13568" width="9.140625" style="323"/>
    <col min="13569" max="13569" width="2.42578125" style="323" customWidth="1"/>
    <col min="13570" max="13570" width="24.42578125" style="323" customWidth="1"/>
    <col min="13571" max="13571" width="15.42578125" style="323" customWidth="1"/>
    <col min="13572" max="13572" width="17.85546875" style="323" customWidth="1"/>
    <col min="13573" max="13573" width="14.140625" style="323" customWidth="1"/>
    <col min="13574" max="13574" width="14.42578125" style="323" customWidth="1"/>
    <col min="13575" max="13575" width="10.42578125" style="323" bestFit="1" customWidth="1"/>
    <col min="13576" max="13576" width="10.42578125" style="323" customWidth="1"/>
    <col min="13577" max="13577" width="10.140625" style="323" customWidth="1"/>
    <col min="13578" max="13578" width="10.5703125" style="323" customWidth="1"/>
    <col min="13579" max="13579" width="10.42578125" style="323" bestFit="1" customWidth="1"/>
    <col min="13580" max="13824" width="9.140625" style="323"/>
    <col min="13825" max="13825" width="2.42578125" style="323" customWidth="1"/>
    <col min="13826" max="13826" width="24.42578125" style="323" customWidth="1"/>
    <col min="13827" max="13827" width="15.42578125" style="323" customWidth="1"/>
    <col min="13828" max="13828" width="17.85546875" style="323" customWidth="1"/>
    <col min="13829" max="13829" width="14.140625" style="323" customWidth="1"/>
    <col min="13830" max="13830" width="14.42578125" style="323" customWidth="1"/>
    <col min="13831" max="13831" width="10.42578125" style="323" bestFit="1" customWidth="1"/>
    <col min="13832" max="13832" width="10.42578125" style="323" customWidth="1"/>
    <col min="13833" max="13833" width="10.140625" style="323" customWidth="1"/>
    <col min="13834" max="13834" width="10.5703125" style="323" customWidth="1"/>
    <col min="13835" max="13835" width="10.42578125" style="323" bestFit="1" customWidth="1"/>
    <col min="13836" max="14080" width="9.140625" style="323"/>
    <col min="14081" max="14081" width="2.42578125" style="323" customWidth="1"/>
    <col min="14082" max="14082" width="24.42578125" style="323" customWidth="1"/>
    <col min="14083" max="14083" width="15.42578125" style="323" customWidth="1"/>
    <col min="14084" max="14084" width="17.85546875" style="323" customWidth="1"/>
    <col min="14085" max="14085" width="14.140625" style="323" customWidth="1"/>
    <col min="14086" max="14086" width="14.42578125" style="323" customWidth="1"/>
    <col min="14087" max="14087" width="10.42578125" style="323" bestFit="1" customWidth="1"/>
    <col min="14088" max="14088" width="10.42578125" style="323" customWidth="1"/>
    <col min="14089" max="14089" width="10.140625" style="323" customWidth="1"/>
    <col min="14090" max="14090" width="10.5703125" style="323" customWidth="1"/>
    <col min="14091" max="14091" width="10.42578125" style="323" bestFit="1" customWidth="1"/>
    <col min="14092" max="14336" width="9.140625" style="323"/>
    <col min="14337" max="14337" width="2.42578125" style="323" customWidth="1"/>
    <col min="14338" max="14338" width="24.42578125" style="323" customWidth="1"/>
    <col min="14339" max="14339" width="15.42578125" style="323" customWidth="1"/>
    <col min="14340" max="14340" width="17.85546875" style="323" customWidth="1"/>
    <col min="14341" max="14341" width="14.140625" style="323" customWidth="1"/>
    <col min="14342" max="14342" width="14.42578125" style="323" customWidth="1"/>
    <col min="14343" max="14343" width="10.42578125" style="323" bestFit="1" customWidth="1"/>
    <col min="14344" max="14344" width="10.42578125" style="323" customWidth="1"/>
    <col min="14345" max="14345" width="10.140625" style="323" customWidth="1"/>
    <col min="14346" max="14346" width="10.5703125" style="323" customWidth="1"/>
    <col min="14347" max="14347" width="10.42578125" style="323" bestFit="1" customWidth="1"/>
    <col min="14348" max="14592" width="9.140625" style="323"/>
    <col min="14593" max="14593" width="2.42578125" style="323" customWidth="1"/>
    <col min="14594" max="14594" width="24.42578125" style="323" customWidth="1"/>
    <col min="14595" max="14595" width="15.42578125" style="323" customWidth="1"/>
    <col min="14596" max="14596" width="17.85546875" style="323" customWidth="1"/>
    <col min="14597" max="14597" width="14.140625" style="323" customWidth="1"/>
    <col min="14598" max="14598" width="14.42578125" style="323" customWidth="1"/>
    <col min="14599" max="14599" width="10.42578125" style="323" bestFit="1" customWidth="1"/>
    <col min="14600" max="14600" width="10.42578125" style="323" customWidth="1"/>
    <col min="14601" max="14601" width="10.140625" style="323" customWidth="1"/>
    <col min="14602" max="14602" width="10.5703125" style="323" customWidth="1"/>
    <col min="14603" max="14603" width="10.42578125" style="323" bestFit="1" customWidth="1"/>
    <col min="14604" max="14848" width="9.140625" style="323"/>
    <col min="14849" max="14849" width="2.42578125" style="323" customWidth="1"/>
    <col min="14850" max="14850" width="24.42578125" style="323" customWidth="1"/>
    <col min="14851" max="14851" width="15.42578125" style="323" customWidth="1"/>
    <col min="14852" max="14852" width="17.85546875" style="323" customWidth="1"/>
    <col min="14853" max="14853" width="14.140625" style="323" customWidth="1"/>
    <col min="14854" max="14854" width="14.42578125" style="323" customWidth="1"/>
    <col min="14855" max="14855" width="10.42578125" style="323" bestFit="1" customWidth="1"/>
    <col min="14856" max="14856" width="10.42578125" style="323" customWidth="1"/>
    <col min="14857" max="14857" width="10.140625" style="323" customWidth="1"/>
    <col min="14858" max="14858" width="10.5703125" style="323" customWidth="1"/>
    <col min="14859" max="14859" width="10.42578125" style="323" bestFit="1" customWidth="1"/>
    <col min="14860" max="15104" width="9.140625" style="323"/>
    <col min="15105" max="15105" width="2.42578125" style="323" customWidth="1"/>
    <col min="15106" max="15106" width="24.42578125" style="323" customWidth="1"/>
    <col min="15107" max="15107" width="15.42578125" style="323" customWidth="1"/>
    <col min="15108" max="15108" width="17.85546875" style="323" customWidth="1"/>
    <col min="15109" max="15109" width="14.140625" style="323" customWidth="1"/>
    <col min="15110" max="15110" width="14.42578125" style="323" customWidth="1"/>
    <col min="15111" max="15111" width="10.42578125" style="323" bestFit="1" customWidth="1"/>
    <col min="15112" max="15112" width="10.42578125" style="323" customWidth="1"/>
    <col min="15113" max="15113" width="10.140625" style="323" customWidth="1"/>
    <col min="15114" max="15114" width="10.5703125" style="323" customWidth="1"/>
    <col min="15115" max="15115" width="10.42578125" style="323" bestFit="1" customWidth="1"/>
    <col min="15116" max="15360" width="9.140625" style="323"/>
    <col min="15361" max="15361" width="2.42578125" style="323" customWidth="1"/>
    <col min="15362" max="15362" width="24.42578125" style="323" customWidth="1"/>
    <col min="15363" max="15363" width="15.42578125" style="323" customWidth="1"/>
    <col min="15364" max="15364" width="17.85546875" style="323" customWidth="1"/>
    <col min="15365" max="15365" width="14.140625" style="323" customWidth="1"/>
    <col min="15366" max="15366" width="14.42578125" style="323" customWidth="1"/>
    <col min="15367" max="15367" width="10.42578125" style="323" bestFit="1" customWidth="1"/>
    <col min="15368" max="15368" width="10.42578125" style="323" customWidth="1"/>
    <col min="15369" max="15369" width="10.140625" style="323" customWidth="1"/>
    <col min="15370" max="15370" width="10.5703125" style="323" customWidth="1"/>
    <col min="15371" max="15371" width="10.42578125" style="323" bestFit="1" customWidth="1"/>
    <col min="15372" max="15616" width="9.140625" style="323"/>
    <col min="15617" max="15617" width="2.42578125" style="323" customWidth="1"/>
    <col min="15618" max="15618" width="24.42578125" style="323" customWidth="1"/>
    <col min="15619" max="15619" width="15.42578125" style="323" customWidth="1"/>
    <col min="15620" max="15620" width="17.85546875" style="323" customWidth="1"/>
    <col min="15621" max="15621" width="14.140625" style="323" customWidth="1"/>
    <col min="15622" max="15622" width="14.42578125" style="323" customWidth="1"/>
    <col min="15623" max="15623" width="10.42578125" style="323" bestFit="1" customWidth="1"/>
    <col min="15624" max="15624" width="10.42578125" style="323" customWidth="1"/>
    <col min="15625" max="15625" width="10.140625" style="323" customWidth="1"/>
    <col min="15626" max="15626" width="10.5703125" style="323" customWidth="1"/>
    <col min="15627" max="15627" width="10.42578125" style="323" bestFit="1" customWidth="1"/>
    <col min="15628" max="15872" width="9.140625" style="323"/>
    <col min="15873" max="15873" width="2.42578125" style="323" customWidth="1"/>
    <col min="15874" max="15874" width="24.42578125" style="323" customWidth="1"/>
    <col min="15875" max="15875" width="15.42578125" style="323" customWidth="1"/>
    <col min="15876" max="15876" width="17.85546875" style="323" customWidth="1"/>
    <col min="15877" max="15877" width="14.140625" style="323" customWidth="1"/>
    <col min="15878" max="15878" width="14.42578125" style="323" customWidth="1"/>
    <col min="15879" max="15879" width="10.42578125" style="323" bestFit="1" customWidth="1"/>
    <col min="15880" max="15880" width="10.42578125" style="323" customWidth="1"/>
    <col min="15881" max="15881" width="10.140625" style="323" customWidth="1"/>
    <col min="15882" max="15882" width="10.5703125" style="323" customWidth="1"/>
    <col min="15883" max="15883" width="10.42578125" style="323" bestFit="1" customWidth="1"/>
    <col min="15884" max="16128" width="9.140625" style="323"/>
    <col min="16129" max="16129" width="2.42578125" style="323" customWidth="1"/>
    <col min="16130" max="16130" width="24.42578125" style="323" customWidth="1"/>
    <col min="16131" max="16131" width="15.42578125" style="323" customWidth="1"/>
    <col min="16132" max="16132" width="17.85546875" style="323" customWidth="1"/>
    <col min="16133" max="16133" width="14.140625" style="323" customWidth="1"/>
    <col min="16134" max="16134" width="14.42578125" style="323" customWidth="1"/>
    <col min="16135" max="16135" width="10.42578125" style="323" bestFit="1" customWidth="1"/>
    <col min="16136" max="16136" width="10.42578125" style="323" customWidth="1"/>
    <col min="16137" max="16137" width="10.140625" style="323" customWidth="1"/>
    <col min="16138" max="16138" width="10.5703125" style="323" customWidth="1"/>
    <col min="16139" max="16139" width="10.42578125" style="323" bestFit="1" customWidth="1"/>
    <col min="16140" max="16384" width="9.140625" style="323"/>
  </cols>
  <sheetData>
    <row r="1" spans="1:12" ht="12.75" customHeight="1" x14ac:dyDescent="0.25">
      <c r="A1" s="642" t="s">
        <v>1116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12" ht="15" x14ac:dyDescent="0.25">
      <c r="G2" s="326"/>
      <c r="H2" s="326"/>
      <c r="I2" s="326"/>
      <c r="J2" s="326"/>
      <c r="K2" s="255"/>
    </row>
    <row r="3" spans="1:12" x14ac:dyDescent="0.2">
      <c r="B3" s="665" t="s">
        <v>340</v>
      </c>
      <c r="C3" s="665"/>
      <c r="D3" s="665"/>
      <c r="E3" s="665"/>
      <c r="F3" s="665"/>
      <c r="G3" s="665"/>
      <c r="H3" s="665"/>
      <c r="I3" s="665"/>
      <c r="J3" s="327"/>
    </row>
    <row r="4" spans="1:12" x14ac:dyDescent="0.2">
      <c r="B4" s="328"/>
      <c r="C4" s="329"/>
      <c r="D4" s="329"/>
      <c r="E4" s="329"/>
      <c r="F4" s="330"/>
      <c r="K4" s="331" t="s">
        <v>29</v>
      </c>
    </row>
    <row r="5" spans="1:12" s="324" customFormat="1" ht="38.25" x14ac:dyDescent="0.2">
      <c r="A5" s="332"/>
      <c r="B5" s="333" t="s">
        <v>293</v>
      </c>
      <c r="C5" s="333" t="s">
        <v>341</v>
      </c>
      <c r="D5" s="333" t="s">
        <v>342</v>
      </c>
      <c r="E5" s="333" t="s">
        <v>343</v>
      </c>
      <c r="F5" s="334" t="s">
        <v>344</v>
      </c>
      <c r="G5" s="335" t="s">
        <v>347</v>
      </c>
      <c r="H5" s="335" t="s">
        <v>348</v>
      </c>
      <c r="I5" s="333" t="s">
        <v>345</v>
      </c>
      <c r="J5" s="333" t="s">
        <v>346</v>
      </c>
      <c r="K5" s="333" t="s">
        <v>349</v>
      </c>
    </row>
    <row r="6" spans="1:12" x14ac:dyDescent="0.2">
      <c r="A6" s="336" t="s">
        <v>299</v>
      </c>
      <c r="B6" s="337"/>
      <c r="C6" s="338"/>
      <c r="D6" s="339"/>
      <c r="E6" s="340"/>
      <c r="F6" s="340"/>
      <c r="G6" s="341"/>
      <c r="H6" s="341"/>
      <c r="I6" s="342"/>
      <c r="J6" s="342"/>
      <c r="K6" s="336"/>
      <c r="L6" s="343"/>
    </row>
    <row r="7" spans="1:12" x14ac:dyDescent="0.2">
      <c r="A7" s="336" t="s">
        <v>300</v>
      </c>
      <c r="B7" s="337"/>
      <c r="C7" s="338"/>
      <c r="D7" s="339"/>
      <c r="E7" s="340"/>
      <c r="F7" s="340"/>
      <c r="G7" s="341"/>
      <c r="H7" s="341"/>
      <c r="I7" s="342"/>
      <c r="J7" s="342"/>
      <c r="K7" s="336"/>
      <c r="L7" s="343"/>
    </row>
    <row r="8" spans="1:12" x14ac:dyDescent="0.2">
      <c r="A8" s="336" t="s">
        <v>301</v>
      </c>
      <c r="B8" s="337"/>
      <c r="C8" s="338"/>
      <c r="D8" s="339"/>
      <c r="E8" s="340"/>
      <c r="F8" s="340"/>
      <c r="G8" s="344"/>
      <c r="H8" s="344"/>
      <c r="I8" s="345"/>
      <c r="J8" s="345"/>
      <c r="K8" s="345"/>
      <c r="L8" s="343"/>
    </row>
    <row r="9" spans="1:12" x14ac:dyDescent="0.2">
      <c r="L9" s="343"/>
    </row>
    <row r="10" spans="1:12" x14ac:dyDescent="0.2">
      <c r="A10" s="346"/>
      <c r="C10" s="346"/>
      <c r="D10" s="347"/>
      <c r="E10" s="347"/>
      <c r="F10" s="347"/>
      <c r="G10" s="348"/>
      <c r="H10" s="348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4"/>
  <sheetViews>
    <sheetView zoomScaleNormal="100" workbookViewId="0">
      <selection activeCell="E2" sqref="E2"/>
    </sheetView>
  </sheetViews>
  <sheetFormatPr defaultRowHeight="12.75" x14ac:dyDescent="0.2"/>
  <cols>
    <col min="1" max="1" width="37.85546875" style="455" customWidth="1"/>
    <col min="2" max="2" width="40.7109375" style="456" customWidth="1"/>
    <col min="3" max="3" width="14.5703125" style="457" customWidth="1"/>
    <col min="4" max="4" width="18" style="458" bestFit="1" customWidth="1"/>
    <col min="5" max="5" width="14" style="462" customWidth="1"/>
    <col min="6" max="6" width="39.57031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458" t="s">
        <v>1117</v>
      </c>
    </row>
    <row r="2" spans="1:8" x14ac:dyDescent="0.2">
      <c r="E2" s="458"/>
    </row>
    <row r="3" spans="1:8" x14ac:dyDescent="0.2">
      <c r="A3" s="667" t="s">
        <v>505</v>
      </c>
      <c r="B3" s="667"/>
      <c r="C3" s="667"/>
      <c r="D3" s="667"/>
      <c r="E3" s="667"/>
    </row>
    <row r="4" spans="1:8" x14ac:dyDescent="0.2">
      <c r="E4" s="458"/>
    </row>
    <row r="5" spans="1:8" s="459" customFormat="1" x14ac:dyDescent="0.2">
      <c r="A5" s="455"/>
      <c r="B5" s="456"/>
      <c r="C5" s="457"/>
      <c r="D5" s="458"/>
      <c r="E5" s="458" t="s">
        <v>506</v>
      </c>
    </row>
    <row r="6" spans="1:8" s="459" customFormat="1" ht="13.5" thickBot="1" x14ac:dyDescent="0.25">
      <c r="A6" s="456"/>
      <c r="B6" s="460"/>
      <c r="C6" s="461"/>
      <c r="D6" s="462"/>
      <c r="E6" s="463">
        <v>1</v>
      </c>
    </row>
    <row r="7" spans="1:8" s="459" customFormat="1" ht="12.75" customHeight="1" x14ac:dyDescent="0.2">
      <c r="A7" s="668" t="s">
        <v>507</v>
      </c>
      <c r="B7" s="670" t="s">
        <v>508</v>
      </c>
      <c r="C7" s="672" t="s">
        <v>509</v>
      </c>
      <c r="D7" s="674" t="s">
        <v>510</v>
      </c>
      <c r="E7" s="676" t="s">
        <v>511</v>
      </c>
      <c r="G7" s="666"/>
    </row>
    <row r="8" spans="1:8" s="459" customFormat="1" ht="13.5" thickBot="1" x14ac:dyDescent="0.25">
      <c r="A8" s="669"/>
      <c r="B8" s="671"/>
      <c r="C8" s="673"/>
      <c r="D8" s="675"/>
      <c r="E8" s="677"/>
      <c r="G8" s="666"/>
    </row>
    <row r="9" spans="1:8" s="459" customFormat="1" x14ac:dyDescent="0.2">
      <c r="A9" s="464" t="s">
        <v>512</v>
      </c>
      <c r="B9" s="465" t="s">
        <v>513</v>
      </c>
      <c r="C9" s="466" t="s">
        <v>514</v>
      </c>
      <c r="D9" s="467">
        <v>208026</v>
      </c>
      <c r="E9" s="468">
        <v>212027</v>
      </c>
    </row>
    <row r="10" spans="1:8" s="459" customFormat="1" ht="38.25" x14ac:dyDescent="0.2">
      <c r="A10" s="469" t="s">
        <v>515</v>
      </c>
      <c r="B10" s="470" t="s">
        <v>516</v>
      </c>
      <c r="C10" s="471" t="s">
        <v>514</v>
      </c>
      <c r="D10" s="467">
        <v>389721</v>
      </c>
      <c r="E10" s="472">
        <v>320775</v>
      </c>
    </row>
    <row r="11" spans="1:8" s="459" customFormat="1" ht="25.5" x14ac:dyDescent="0.2">
      <c r="A11" s="473" t="s">
        <v>517</v>
      </c>
      <c r="B11" s="474" t="s">
        <v>518</v>
      </c>
      <c r="C11" s="475" t="s">
        <v>519</v>
      </c>
      <c r="D11" s="467">
        <v>200000</v>
      </c>
      <c r="E11" s="472">
        <v>386600</v>
      </c>
      <c r="H11" s="476"/>
    </row>
    <row r="12" spans="1:8" s="459" customFormat="1" ht="25.5" x14ac:dyDescent="0.2">
      <c r="A12" s="473" t="s">
        <v>517</v>
      </c>
      <c r="B12" s="474" t="s">
        <v>520</v>
      </c>
      <c r="C12" s="475" t="s">
        <v>519</v>
      </c>
      <c r="D12" s="467">
        <v>50000</v>
      </c>
      <c r="E12" s="472">
        <v>32800</v>
      </c>
      <c r="H12" s="476"/>
    </row>
    <row r="13" spans="1:8" s="459" customFormat="1" ht="25.5" x14ac:dyDescent="0.2">
      <c r="A13" s="469" t="s">
        <v>521</v>
      </c>
      <c r="B13" s="470" t="s">
        <v>522</v>
      </c>
      <c r="C13" s="471" t="s">
        <v>514</v>
      </c>
      <c r="D13" s="467">
        <v>150000</v>
      </c>
      <c r="E13" s="472">
        <v>150000</v>
      </c>
    </row>
    <row r="14" spans="1:8" s="459" customFormat="1" x14ac:dyDescent="0.2">
      <c r="A14" s="469" t="s">
        <v>523</v>
      </c>
      <c r="B14" s="470" t="s">
        <v>524</v>
      </c>
      <c r="C14" s="477" t="s">
        <v>514</v>
      </c>
      <c r="D14" s="467">
        <v>825500</v>
      </c>
      <c r="E14" s="472">
        <v>762000</v>
      </c>
      <c r="F14" s="476"/>
      <c r="H14" s="476"/>
    </row>
    <row r="15" spans="1:8" s="459" customFormat="1" x14ac:dyDescent="0.2">
      <c r="A15" s="469" t="s">
        <v>523</v>
      </c>
      <c r="B15" s="470" t="s">
        <v>525</v>
      </c>
      <c r="C15" s="477" t="s">
        <v>514</v>
      </c>
      <c r="D15" s="467">
        <v>532511</v>
      </c>
      <c r="E15" s="472">
        <v>532511</v>
      </c>
      <c r="F15" s="478"/>
    </row>
    <row r="16" spans="1:8" s="459" customFormat="1" ht="25.5" x14ac:dyDescent="0.2">
      <c r="A16" s="469" t="s">
        <v>526</v>
      </c>
      <c r="B16" s="470" t="s">
        <v>527</v>
      </c>
      <c r="C16" s="471">
        <v>43830</v>
      </c>
      <c r="D16" s="467">
        <v>59937</v>
      </c>
      <c r="E16" s="472">
        <v>59937</v>
      </c>
    </row>
    <row r="17" spans="1:8" s="459" customFormat="1" ht="25.5" x14ac:dyDescent="0.2">
      <c r="A17" s="469" t="s">
        <v>528</v>
      </c>
      <c r="B17" s="470" t="s">
        <v>529</v>
      </c>
      <c r="C17" s="471" t="s">
        <v>514</v>
      </c>
      <c r="D17" s="467">
        <v>42000</v>
      </c>
      <c r="E17" s="472">
        <v>42000</v>
      </c>
      <c r="F17" s="476"/>
      <c r="H17" s="476"/>
    </row>
    <row r="18" spans="1:8" s="459" customFormat="1" x14ac:dyDescent="0.2">
      <c r="A18" s="479" t="s">
        <v>339</v>
      </c>
      <c r="B18" s="480" t="s">
        <v>530</v>
      </c>
      <c r="C18" s="477" t="s">
        <v>514</v>
      </c>
      <c r="D18" s="467">
        <v>1072200</v>
      </c>
      <c r="E18" s="472">
        <v>704618</v>
      </c>
    </row>
    <row r="19" spans="1:8" s="459" customFormat="1" x14ac:dyDescent="0.2">
      <c r="A19" s="473" t="s">
        <v>531</v>
      </c>
      <c r="B19" s="474" t="s">
        <v>532</v>
      </c>
      <c r="C19" s="481" t="s">
        <v>514</v>
      </c>
      <c r="D19" s="467">
        <v>1099072</v>
      </c>
      <c r="E19" s="472">
        <v>1099072</v>
      </c>
    </row>
    <row r="20" spans="1:8" s="459" customFormat="1" x14ac:dyDescent="0.2">
      <c r="A20" s="473" t="s">
        <v>531</v>
      </c>
      <c r="B20" s="474" t="s">
        <v>533</v>
      </c>
      <c r="C20" s="481" t="s">
        <v>514</v>
      </c>
      <c r="D20" s="467">
        <v>32692</v>
      </c>
      <c r="E20" s="472">
        <v>32692</v>
      </c>
    </row>
    <row r="21" spans="1:8" s="459" customFormat="1" x14ac:dyDescent="0.2">
      <c r="A21" s="473" t="s">
        <v>531</v>
      </c>
      <c r="B21" s="474" t="s">
        <v>534</v>
      </c>
      <c r="C21" s="481" t="s">
        <v>514</v>
      </c>
      <c r="D21" s="467" t="s">
        <v>535</v>
      </c>
      <c r="E21" s="507" t="s">
        <v>536</v>
      </c>
    </row>
    <row r="22" spans="1:8" s="459" customFormat="1" ht="24.75" customHeight="1" x14ac:dyDescent="0.2">
      <c r="A22" s="473" t="s">
        <v>537</v>
      </c>
      <c r="B22" s="474" t="s">
        <v>538</v>
      </c>
      <c r="C22" s="477" t="s">
        <v>514</v>
      </c>
      <c r="D22" s="467">
        <f>E6*E22</f>
        <v>136550</v>
      </c>
      <c r="E22" s="472">
        <v>136550</v>
      </c>
    </row>
    <row r="23" spans="1:8" s="459" customFormat="1" ht="51" x14ac:dyDescent="0.2">
      <c r="A23" s="473" t="s">
        <v>539</v>
      </c>
      <c r="B23" s="474" t="s">
        <v>540</v>
      </c>
      <c r="C23" s="482" t="s">
        <v>541</v>
      </c>
      <c r="D23" s="467">
        <v>220000</v>
      </c>
      <c r="E23" s="472">
        <v>123273</v>
      </c>
    </row>
    <row r="24" spans="1:8" s="459" customFormat="1" ht="25.5" x14ac:dyDescent="0.2">
      <c r="A24" s="473" t="s">
        <v>539</v>
      </c>
      <c r="B24" s="474" t="s">
        <v>542</v>
      </c>
      <c r="C24" s="482">
        <v>43770</v>
      </c>
      <c r="D24" s="467">
        <v>308257</v>
      </c>
      <c r="E24" s="472">
        <v>325694</v>
      </c>
      <c r="F24" s="476"/>
    </row>
    <row r="25" spans="1:8" s="459" customFormat="1" ht="25.5" x14ac:dyDescent="0.2">
      <c r="A25" s="473" t="s">
        <v>539</v>
      </c>
      <c r="B25" s="474" t="s">
        <v>543</v>
      </c>
      <c r="C25" s="482" t="s">
        <v>514</v>
      </c>
      <c r="D25" s="467">
        <v>279400</v>
      </c>
      <c r="E25" s="472">
        <v>347708</v>
      </c>
    </row>
    <row r="26" spans="1:8" s="459" customFormat="1" ht="25.5" x14ac:dyDescent="0.2">
      <c r="A26" s="473" t="s">
        <v>539</v>
      </c>
      <c r="B26" s="474" t="s">
        <v>544</v>
      </c>
      <c r="C26" s="482" t="s">
        <v>514</v>
      </c>
      <c r="D26" s="467">
        <v>571500</v>
      </c>
      <c r="E26" s="472">
        <v>613430</v>
      </c>
    </row>
    <row r="27" spans="1:8" s="459" customFormat="1" ht="25.5" x14ac:dyDescent="0.2">
      <c r="A27" s="473" t="s">
        <v>539</v>
      </c>
      <c r="B27" s="474" t="s">
        <v>545</v>
      </c>
      <c r="C27" s="482">
        <v>44304</v>
      </c>
      <c r="D27" s="467">
        <v>358140</v>
      </c>
      <c r="E27" s="472">
        <v>410235</v>
      </c>
    </row>
    <row r="28" spans="1:8" s="459" customFormat="1" ht="25.5" x14ac:dyDescent="0.2">
      <c r="A28" s="473" t="s">
        <v>539</v>
      </c>
      <c r="B28" s="474" t="s">
        <v>546</v>
      </c>
      <c r="C28" s="482">
        <v>44508</v>
      </c>
      <c r="D28" s="467">
        <v>328575</v>
      </c>
      <c r="E28" s="472">
        <v>0</v>
      </c>
    </row>
    <row r="29" spans="1:8" s="459" customFormat="1" ht="25.5" x14ac:dyDescent="0.2">
      <c r="A29" s="473" t="s">
        <v>539</v>
      </c>
      <c r="B29" s="474" t="s">
        <v>547</v>
      </c>
      <c r="C29" s="482">
        <v>44044</v>
      </c>
      <c r="D29" s="467">
        <f>14745*12</f>
        <v>176940</v>
      </c>
      <c r="E29" s="472">
        <v>162195</v>
      </c>
    </row>
    <row r="30" spans="1:8" s="459" customFormat="1" x14ac:dyDescent="0.2">
      <c r="A30" s="473" t="s">
        <v>539</v>
      </c>
      <c r="B30" s="474" t="s">
        <v>548</v>
      </c>
      <c r="C30" s="482">
        <v>44147</v>
      </c>
      <c r="D30" s="467">
        <v>506734</v>
      </c>
      <c r="E30" s="472">
        <v>0</v>
      </c>
    </row>
    <row r="31" spans="1:8" s="459" customFormat="1" x14ac:dyDescent="0.2">
      <c r="A31" s="469" t="s">
        <v>549</v>
      </c>
      <c r="B31" s="483" t="s">
        <v>550</v>
      </c>
      <c r="C31" s="471" t="s">
        <v>514</v>
      </c>
      <c r="D31" s="467">
        <v>3423280</v>
      </c>
      <c r="E31" s="506" t="s">
        <v>551</v>
      </c>
    </row>
    <row r="32" spans="1:8" s="459" customFormat="1" ht="25.5" x14ac:dyDescent="0.2">
      <c r="A32" s="469" t="s">
        <v>552</v>
      </c>
      <c r="B32" s="470" t="s">
        <v>553</v>
      </c>
      <c r="C32" s="477" t="s">
        <v>514</v>
      </c>
      <c r="D32" s="467">
        <v>887152</v>
      </c>
      <c r="E32" s="472">
        <v>887152</v>
      </c>
    </row>
    <row r="33" spans="1:10" s="459" customFormat="1" ht="25.5" x14ac:dyDescent="0.2">
      <c r="A33" s="469" t="s">
        <v>552</v>
      </c>
      <c r="B33" s="470" t="s">
        <v>554</v>
      </c>
      <c r="C33" s="477" t="s">
        <v>514</v>
      </c>
      <c r="D33" s="467">
        <v>410480</v>
      </c>
      <c r="E33" s="472">
        <v>410480</v>
      </c>
    </row>
    <row r="34" spans="1:10" s="459" customFormat="1" ht="25.5" x14ac:dyDescent="0.2">
      <c r="A34" s="469" t="s">
        <v>552</v>
      </c>
      <c r="B34" s="470" t="s">
        <v>555</v>
      </c>
      <c r="C34" s="477" t="s">
        <v>514</v>
      </c>
      <c r="D34" s="467">
        <v>235032</v>
      </c>
      <c r="E34" s="472">
        <v>235032</v>
      </c>
    </row>
    <row r="35" spans="1:10" s="459" customFormat="1" ht="25.5" x14ac:dyDescent="0.2">
      <c r="A35" s="469" t="s">
        <v>556</v>
      </c>
      <c r="B35" s="470" t="s">
        <v>557</v>
      </c>
      <c r="C35" s="477" t="s">
        <v>514</v>
      </c>
      <c r="D35" s="484">
        <v>0</v>
      </c>
      <c r="E35" s="472">
        <v>77724</v>
      </c>
      <c r="F35" s="476"/>
    </row>
    <row r="36" spans="1:10" s="459" customFormat="1" ht="25.5" x14ac:dyDescent="0.2">
      <c r="A36" s="469" t="s">
        <v>558</v>
      </c>
      <c r="B36" s="470" t="s">
        <v>559</v>
      </c>
      <c r="C36" s="477" t="s">
        <v>514</v>
      </c>
      <c r="D36" s="467">
        <v>205740</v>
      </c>
      <c r="E36" s="472">
        <v>154688</v>
      </c>
      <c r="H36" s="476"/>
      <c r="J36" s="485"/>
    </row>
    <row r="37" spans="1:10" s="459" customFormat="1" x14ac:dyDescent="0.2">
      <c r="A37" s="469" t="s">
        <v>560</v>
      </c>
      <c r="B37" s="470" t="s">
        <v>561</v>
      </c>
      <c r="C37" s="477" t="s">
        <v>514</v>
      </c>
      <c r="D37" s="467">
        <v>40108</v>
      </c>
      <c r="E37" s="472">
        <v>41246</v>
      </c>
      <c r="H37" s="476"/>
    </row>
    <row r="38" spans="1:10" s="459" customFormat="1" x14ac:dyDescent="0.2">
      <c r="A38" s="469" t="s">
        <v>560</v>
      </c>
      <c r="B38" s="470" t="s">
        <v>562</v>
      </c>
      <c r="C38" s="477" t="s">
        <v>514</v>
      </c>
      <c r="D38" s="467">
        <v>57392</v>
      </c>
      <c r="E38" s="472">
        <v>57392</v>
      </c>
      <c r="H38" s="476"/>
    </row>
    <row r="39" spans="1:10" s="459" customFormat="1" x14ac:dyDescent="0.2">
      <c r="A39" s="469" t="s">
        <v>560</v>
      </c>
      <c r="B39" s="470" t="s">
        <v>563</v>
      </c>
      <c r="C39" s="477" t="s">
        <v>514</v>
      </c>
      <c r="D39" s="467">
        <v>50856</v>
      </c>
      <c r="E39" s="472">
        <v>50856</v>
      </c>
      <c r="H39" s="476"/>
    </row>
    <row r="40" spans="1:10" s="459" customFormat="1" x14ac:dyDescent="0.2">
      <c r="A40" s="469" t="s">
        <v>560</v>
      </c>
      <c r="B40" s="470" t="s">
        <v>564</v>
      </c>
      <c r="C40" s="477" t="s">
        <v>514</v>
      </c>
      <c r="D40" s="467">
        <v>41948</v>
      </c>
      <c r="E40" s="472">
        <v>41948</v>
      </c>
      <c r="H40" s="476"/>
    </row>
    <row r="41" spans="1:10" s="459" customFormat="1" x14ac:dyDescent="0.2">
      <c r="A41" s="469" t="s">
        <v>565</v>
      </c>
      <c r="B41" s="470" t="s">
        <v>566</v>
      </c>
      <c r="C41" s="477" t="s">
        <v>514</v>
      </c>
      <c r="D41" s="467">
        <v>244080</v>
      </c>
      <c r="E41" s="472">
        <v>223760</v>
      </c>
      <c r="H41" s="476"/>
    </row>
    <row r="42" spans="1:10" s="459" customFormat="1" x14ac:dyDescent="0.2">
      <c r="A42" s="469" t="s">
        <v>567</v>
      </c>
      <c r="B42" s="470" t="s">
        <v>568</v>
      </c>
      <c r="C42" s="477" t="s">
        <v>514</v>
      </c>
      <c r="D42" s="467">
        <v>144000</v>
      </c>
      <c r="E42" s="472">
        <v>132000</v>
      </c>
      <c r="H42" s="476"/>
    </row>
    <row r="43" spans="1:10" s="459" customFormat="1" x14ac:dyDescent="0.2">
      <c r="A43" s="469" t="s">
        <v>569</v>
      </c>
      <c r="B43" s="470" t="s">
        <v>570</v>
      </c>
      <c r="C43" s="471" t="s">
        <v>514</v>
      </c>
      <c r="D43" s="467">
        <v>155448</v>
      </c>
      <c r="E43" s="472">
        <v>142494</v>
      </c>
      <c r="H43" s="476"/>
    </row>
    <row r="44" spans="1:10" s="459" customFormat="1" ht="25.5" x14ac:dyDescent="0.2">
      <c r="A44" s="469" t="s">
        <v>571</v>
      </c>
      <c r="B44" s="470" t="s">
        <v>572</v>
      </c>
      <c r="C44" s="471" t="s">
        <v>514</v>
      </c>
      <c r="D44" s="467">
        <f>30480*3</f>
        <v>91440</v>
      </c>
      <c r="E44" s="472">
        <v>91440</v>
      </c>
      <c r="F44" s="476"/>
    </row>
    <row r="45" spans="1:10" s="459" customFormat="1" ht="25.5" x14ac:dyDescent="0.2">
      <c r="A45" s="469" t="s">
        <v>571</v>
      </c>
      <c r="B45" s="470" t="s">
        <v>573</v>
      </c>
      <c r="C45" s="471" t="s">
        <v>514</v>
      </c>
      <c r="D45" s="467">
        <v>45720</v>
      </c>
      <c r="E45" s="472">
        <v>45720</v>
      </c>
      <c r="H45" s="476"/>
    </row>
    <row r="46" spans="1:10" s="459" customFormat="1" ht="25.5" x14ac:dyDescent="0.2">
      <c r="A46" s="469" t="s">
        <v>571</v>
      </c>
      <c r="B46" s="470" t="s">
        <v>574</v>
      </c>
      <c r="C46" s="471" t="s">
        <v>514</v>
      </c>
      <c r="D46" s="467">
        <v>30480</v>
      </c>
      <c r="E46" s="472">
        <v>22860</v>
      </c>
      <c r="H46" s="476"/>
    </row>
    <row r="47" spans="1:10" s="459" customFormat="1" ht="25.5" x14ac:dyDescent="0.2">
      <c r="A47" s="469" t="s">
        <v>571</v>
      </c>
      <c r="B47" s="470" t="s">
        <v>575</v>
      </c>
      <c r="C47" s="471" t="s">
        <v>514</v>
      </c>
      <c r="D47" s="467">
        <v>10795</v>
      </c>
      <c r="E47" s="472">
        <v>10795</v>
      </c>
      <c r="H47" s="476"/>
    </row>
    <row r="48" spans="1:10" s="459" customFormat="1" ht="25.5" x14ac:dyDescent="0.2">
      <c r="A48" s="469" t="s">
        <v>576</v>
      </c>
      <c r="B48" s="470" t="s">
        <v>577</v>
      </c>
      <c r="C48" s="471" t="s">
        <v>514</v>
      </c>
      <c r="D48" s="467">
        <v>2063750</v>
      </c>
      <c r="E48" s="472">
        <v>0</v>
      </c>
      <c r="H48" s="476"/>
    </row>
    <row r="49" spans="1:8" s="459" customFormat="1" ht="25.5" x14ac:dyDescent="0.2">
      <c r="A49" s="469" t="s">
        <v>578</v>
      </c>
      <c r="B49" s="470" t="s">
        <v>579</v>
      </c>
      <c r="C49" s="471" t="s">
        <v>514</v>
      </c>
      <c r="D49" s="467">
        <v>1436370</v>
      </c>
      <c r="E49" s="472">
        <v>861822</v>
      </c>
      <c r="H49" s="476"/>
    </row>
    <row r="50" spans="1:8" s="459" customFormat="1" x14ac:dyDescent="0.2">
      <c r="A50" s="469" t="s">
        <v>580</v>
      </c>
      <c r="B50" s="470" t="s">
        <v>581</v>
      </c>
      <c r="C50" s="471" t="s">
        <v>514</v>
      </c>
      <c r="D50" s="467">
        <v>89154</v>
      </c>
      <c r="E50" s="472">
        <v>89154</v>
      </c>
    </row>
    <row r="51" spans="1:8" s="459" customFormat="1" ht="25.5" x14ac:dyDescent="0.2">
      <c r="A51" s="469" t="s">
        <v>582</v>
      </c>
      <c r="B51" s="470" t="s">
        <v>583</v>
      </c>
      <c r="C51" s="471" t="s">
        <v>514</v>
      </c>
      <c r="D51" s="467">
        <v>185000</v>
      </c>
      <c r="E51" s="472">
        <v>162940</v>
      </c>
      <c r="H51" s="476"/>
    </row>
    <row r="52" spans="1:8" s="459" customFormat="1" x14ac:dyDescent="0.2">
      <c r="A52" s="469" t="s">
        <v>582</v>
      </c>
      <c r="B52" s="470" t="s">
        <v>584</v>
      </c>
      <c r="C52" s="471" t="s">
        <v>514</v>
      </c>
      <c r="D52" s="467">
        <v>7500000</v>
      </c>
      <c r="E52" s="472">
        <v>6409472</v>
      </c>
      <c r="H52" s="476"/>
    </row>
    <row r="53" spans="1:8" s="459" customFormat="1" x14ac:dyDescent="0.2">
      <c r="A53" s="469" t="s">
        <v>585</v>
      </c>
      <c r="B53" s="470" t="s">
        <v>586</v>
      </c>
      <c r="C53" s="471" t="s">
        <v>514</v>
      </c>
      <c r="D53" s="467">
        <v>21567</v>
      </c>
      <c r="E53" s="472">
        <v>21795</v>
      </c>
      <c r="F53" s="476"/>
      <c r="H53" s="476"/>
    </row>
    <row r="54" spans="1:8" s="459" customFormat="1" x14ac:dyDescent="0.2">
      <c r="A54" s="469" t="s">
        <v>585</v>
      </c>
      <c r="B54" s="470" t="s">
        <v>587</v>
      </c>
      <c r="C54" s="471" t="s">
        <v>514</v>
      </c>
      <c r="D54" s="467">
        <v>628251</v>
      </c>
      <c r="E54" s="472">
        <v>580212</v>
      </c>
      <c r="H54" s="476"/>
    </row>
    <row r="55" spans="1:8" s="459" customFormat="1" x14ac:dyDescent="0.2">
      <c r="A55" s="469" t="s">
        <v>585</v>
      </c>
      <c r="B55" s="470" t="s">
        <v>588</v>
      </c>
      <c r="C55" s="471" t="s">
        <v>514</v>
      </c>
      <c r="D55" s="467">
        <v>167320</v>
      </c>
      <c r="E55" s="472">
        <v>143856</v>
      </c>
      <c r="F55" s="476"/>
      <c r="H55" s="476"/>
    </row>
    <row r="56" spans="1:8" s="459" customFormat="1" ht="25.5" x14ac:dyDescent="0.2">
      <c r="A56" s="469" t="s">
        <v>589</v>
      </c>
      <c r="B56" s="470" t="s">
        <v>590</v>
      </c>
      <c r="C56" s="471" t="s">
        <v>591</v>
      </c>
      <c r="D56" s="467">
        <f>7*25400</f>
        <v>177800</v>
      </c>
      <c r="E56" s="472">
        <v>177800</v>
      </c>
      <c r="H56" s="476"/>
    </row>
    <row r="57" spans="1:8" s="459" customFormat="1" ht="25.5" x14ac:dyDescent="0.2">
      <c r="A57" s="469" t="s">
        <v>592</v>
      </c>
      <c r="B57" s="470" t="s">
        <v>593</v>
      </c>
      <c r="C57" s="471" t="s">
        <v>514</v>
      </c>
      <c r="D57" s="486">
        <v>61341</v>
      </c>
      <c r="E57" s="472">
        <v>61341</v>
      </c>
    </row>
    <row r="58" spans="1:8" s="459" customFormat="1" x14ac:dyDescent="0.2">
      <c r="A58" s="469" t="s">
        <v>594</v>
      </c>
      <c r="B58" s="470" t="s">
        <v>595</v>
      </c>
      <c r="C58" s="471" t="s">
        <v>596</v>
      </c>
      <c r="D58" s="467">
        <v>275150</v>
      </c>
      <c r="E58" s="472">
        <v>275150</v>
      </c>
    </row>
    <row r="59" spans="1:8" s="459" customFormat="1" x14ac:dyDescent="0.2">
      <c r="A59" s="469" t="s">
        <v>597</v>
      </c>
      <c r="B59" s="470" t="s">
        <v>598</v>
      </c>
      <c r="C59" s="487" t="s">
        <v>514</v>
      </c>
      <c r="D59" s="467">
        <v>120000</v>
      </c>
      <c r="E59" s="472">
        <v>99426</v>
      </c>
    </row>
    <row r="60" spans="1:8" s="459" customFormat="1" ht="25.5" x14ac:dyDescent="0.2">
      <c r="A60" s="469" t="s">
        <v>599</v>
      </c>
      <c r="B60" s="470" t="s">
        <v>600</v>
      </c>
      <c r="C60" s="482" t="s">
        <v>514</v>
      </c>
      <c r="D60" s="467">
        <v>1045740</v>
      </c>
      <c r="E60" s="472">
        <v>0</v>
      </c>
      <c r="F60" s="476"/>
      <c r="G60" s="476"/>
      <c r="H60" s="476"/>
    </row>
    <row r="61" spans="1:8" s="459" customFormat="1" ht="25.5" x14ac:dyDescent="0.2">
      <c r="A61" s="469" t="s">
        <v>601</v>
      </c>
      <c r="B61" s="483" t="s">
        <v>602</v>
      </c>
      <c r="C61" s="482" t="s">
        <v>603</v>
      </c>
      <c r="D61" s="488">
        <f>E61*E6</f>
        <v>98092</v>
      </c>
      <c r="E61" s="472">
        <v>98092</v>
      </c>
    </row>
    <row r="62" spans="1:8" s="459" customFormat="1" x14ac:dyDescent="0.2">
      <c r="A62" s="469" t="s">
        <v>601</v>
      </c>
      <c r="B62" s="483" t="s">
        <v>604</v>
      </c>
      <c r="C62" s="482" t="s">
        <v>596</v>
      </c>
      <c r="D62" s="488">
        <v>327353</v>
      </c>
      <c r="E62" s="472">
        <v>317510</v>
      </c>
    </row>
    <row r="63" spans="1:8" s="459" customFormat="1" ht="25.5" x14ac:dyDescent="0.2">
      <c r="A63" s="469" t="s">
        <v>605</v>
      </c>
      <c r="B63" s="483" t="s">
        <v>606</v>
      </c>
      <c r="C63" s="482" t="s">
        <v>514</v>
      </c>
      <c r="D63" s="488">
        <f>1270*12</f>
        <v>15240</v>
      </c>
      <c r="E63" s="472">
        <v>11430</v>
      </c>
      <c r="F63" s="476"/>
    </row>
    <row r="64" spans="1:8" s="459" customFormat="1" x14ac:dyDescent="0.2">
      <c r="A64" s="469" t="s">
        <v>607</v>
      </c>
      <c r="B64" s="470" t="s">
        <v>608</v>
      </c>
      <c r="C64" s="477" t="s">
        <v>514</v>
      </c>
      <c r="D64" s="467">
        <f>E64*E6</f>
        <v>60960</v>
      </c>
      <c r="E64" s="472">
        <v>60960</v>
      </c>
    </row>
    <row r="65" spans="1:8" s="459" customFormat="1" ht="25.5" x14ac:dyDescent="0.2">
      <c r="A65" s="469" t="s">
        <v>609</v>
      </c>
      <c r="B65" s="483" t="s">
        <v>610</v>
      </c>
      <c r="C65" s="477" t="s">
        <v>514</v>
      </c>
      <c r="D65" s="467">
        <v>240900</v>
      </c>
      <c r="E65" s="472">
        <v>225741</v>
      </c>
      <c r="H65" s="476"/>
    </row>
    <row r="66" spans="1:8" s="459" customFormat="1" x14ac:dyDescent="0.2">
      <c r="A66" s="469" t="s">
        <v>611</v>
      </c>
      <c r="B66" s="483" t="s">
        <v>612</v>
      </c>
      <c r="C66" s="471" t="s">
        <v>514</v>
      </c>
      <c r="D66" s="467">
        <v>50800</v>
      </c>
      <c r="E66" s="472">
        <v>46226</v>
      </c>
      <c r="F66" s="476"/>
      <c r="H66" s="476"/>
    </row>
    <row r="67" spans="1:8" s="459" customFormat="1" x14ac:dyDescent="0.2">
      <c r="A67" s="469" t="s">
        <v>613</v>
      </c>
      <c r="B67" s="483" t="s">
        <v>614</v>
      </c>
      <c r="C67" s="471" t="s">
        <v>514</v>
      </c>
      <c r="D67" s="467">
        <f>(E67)*E6</f>
        <v>215900</v>
      </c>
      <c r="E67" s="472">
        <f>215900</f>
        <v>215900</v>
      </c>
    </row>
    <row r="68" spans="1:8" s="459" customFormat="1" x14ac:dyDescent="0.2">
      <c r="A68" s="469" t="s">
        <v>615</v>
      </c>
      <c r="B68" s="483" t="s">
        <v>616</v>
      </c>
      <c r="C68" s="471" t="s">
        <v>514</v>
      </c>
      <c r="D68" s="467">
        <v>12253595</v>
      </c>
      <c r="E68" s="472">
        <v>10969155</v>
      </c>
    </row>
    <row r="69" spans="1:8" s="459" customFormat="1" x14ac:dyDescent="0.2">
      <c r="A69" s="469" t="s">
        <v>617</v>
      </c>
      <c r="B69" s="483" t="s">
        <v>618</v>
      </c>
      <c r="C69" s="471" t="s">
        <v>514</v>
      </c>
      <c r="D69" s="467">
        <v>1500000</v>
      </c>
      <c r="E69" s="472">
        <v>945500</v>
      </c>
    </row>
    <row r="70" spans="1:8" s="459" customFormat="1" ht="25.5" x14ac:dyDescent="0.2">
      <c r="A70" s="469" t="s">
        <v>619</v>
      </c>
      <c r="B70" s="483" t="s">
        <v>620</v>
      </c>
      <c r="C70" s="471" t="s">
        <v>514</v>
      </c>
      <c r="D70" s="467">
        <v>2336144</v>
      </c>
      <c r="E70" s="472">
        <v>2336144</v>
      </c>
      <c r="H70" s="476"/>
    </row>
    <row r="71" spans="1:8" s="459" customFormat="1" x14ac:dyDescent="0.2">
      <c r="A71" s="469" t="s">
        <v>619</v>
      </c>
      <c r="B71" s="483" t="s">
        <v>621</v>
      </c>
      <c r="C71" s="471" t="s">
        <v>514</v>
      </c>
      <c r="D71" s="489">
        <v>82086</v>
      </c>
      <c r="E71" s="490">
        <v>82086</v>
      </c>
    </row>
    <row r="72" spans="1:8" s="459" customFormat="1" ht="25.5" x14ac:dyDescent="0.2">
      <c r="A72" s="469" t="s">
        <v>622</v>
      </c>
      <c r="B72" s="483" t="s">
        <v>623</v>
      </c>
      <c r="C72" s="471" t="s">
        <v>514</v>
      </c>
      <c r="D72" s="467">
        <v>3045100</v>
      </c>
      <c r="E72" s="472">
        <v>2998493</v>
      </c>
    </row>
    <row r="73" spans="1:8" s="459" customFormat="1" ht="25.5" x14ac:dyDescent="0.2">
      <c r="A73" s="469" t="s">
        <v>624</v>
      </c>
      <c r="B73" s="483" t="s">
        <v>625</v>
      </c>
      <c r="C73" s="471" t="s">
        <v>514</v>
      </c>
      <c r="D73" s="467">
        <f>(15000+15000)*4*E6</f>
        <v>120000</v>
      </c>
      <c r="E73" s="472">
        <v>120000</v>
      </c>
    </row>
    <row r="74" spans="1:8" s="459" customFormat="1" x14ac:dyDescent="0.2">
      <c r="A74" s="469" t="s">
        <v>626</v>
      </c>
      <c r="B74" s="483" t="s">
        <v>627</v>
      </c>
      <c r="C74" s="491" t="s">
        <v>596</v>
      </c>
      <c r="D74" s="489">
        <v>105600</v>
      </c>
      <c r="E74" s="490">
        <v>105600</v>
      </c>
    </row>
    <row r="75" spans="1:8" s="459" customFormat="1" x14ac:dyDescent="0.2">
      <c r="A75" s="469" t="s">
        <v>628</v>
      </c>
      <c r="B75" s="483" t="s">
        <v>629</v>
      </c>
      <c r="C75" s="491" t="s">
        <v>514</v>
      </c>
      <c r="D75" s="489">
        <v>125146</v>
      </c>
      <c r="E75" s="490">
        <v>125146</v>
      </c>
    </row>
    <row r="76" spans="1:8" s="459" customFormat="1" x14ac:dyDescent="0.2">
      <c r="A76" s="469" t="s">
        <v>630</v>
      </c>
      <c r="B76" s="483" t="s">
        <v>631</v>
      </c>
      <c r="C76" s="491" t="s">
        <v>514</v>
      </c>
      <c r="D76" s="489">
        <v>63844</v>
      </c>
      <c r="E76" s="490">
        <v>63844</v>
      </c>
    </row>
    <row r="77" spans="1:8" s="459" customFormat="1" ht="48.75" customHeight="1" x14ac:dyDescent="0.2">
      <c r="A77" s="469" t="s">
        <v>632</v>
      </c>
      <c r="B77" s="483" t="s">
        <v>633</v>
      </c>
      <c r="C77" s="492" t="s">
        <v>634</v>
      </c>
      <c r="D77" s="489">
        <v>296543</v>
      </c>
      <c r="E77" s="490">
        <v>266839</v>
      </c>
      <c r="F77" s="476"/>
    </row>
    <row r="78" spans="1:8" s="459" customFormat="1" ht="25.5" x14ac:dyDescent="0.2">
      <c r="A78" s="469" t="s">
        <v>632</v>
      </c>
      <c r="B78" s="483" t="s">
        <v>635</v>
      </c>
      <c r="C78" s="492">
        <v>44308</v>
      </c>
      <c r="D78" s="489">
        <v>226110</v>
      </c>
      <c r="E78" s="490">
        <v>226110</v>
      </c>
      <c r="F78" s="476"/>
    </row>
    <row r="79" spans="1:8" s="459" customFormat="1" x14ac:dyDescent="0.2">
      <c r="A79" s="469" t="s">
        <v>632</v>
      </c>
      <c r="B79" s="483" t="s">
        <v>636</v>
      </c>
      <c r="C79" s="493">
        <v>44255</v>
      </c>
      <c r="D79" s="494">
        <v>200000</v>
      </c>
      <c r="E79" s="490">
        <v>136267</v>
      </c>
      <c r="F79" s="476"/>
      <c r="H79" s="476"/>
    </row>
    <row r="80" spans="1:8" s="459" customFormat="1" ht="25.5" x14ac:dyDescent="0.2">
      <c r="A80" s="469" t="s">
        <v>632</v>
      </c>
      <c r="B80" s="483" t="s">
        <v>637</v>
      </c>
      <c r="C80" s="491" t="s">
        <v>514</v>
      </c>
      <c r="D80" s="489">
        <v>14255</v>
      </c>
      <c r="E80" s="490">
        <v>14255</v>
      </c>
      <c r="H80" s="476"/>
    </row>
    <row r="81" spans="1:8" s="459" customFormat="1" x14ac:dyDescent="0.2">
      <c r="A81" s="469" t="s">
        <v>638</v>
      </c>
      <c r="B81" s="483" t="s">
        <v>639</v>
      </c>
      <c r="C81" s="491">
        <v>43865</v>
      </c>
      <c r="D81" s="489">
        <v>3176711</v>
      </c>
      <c r="E81" s="490">
        <v>0</v>
      </c>
      <c r="H81" s="476"/>
    </row>
    <row r="82" spans="1:8" s="459" customFormat="1" x14ac:dyDescent="0.2">
      <c r="A82" s="469" t="s">
        <v>640</v>
      </c>
      <c r="B82" s="470" t="s">
        <v>641</v>
      </c>
      <c r="C82" s="477" t="s">
        <v>514</v>
      </c>
      <c r="D82" s="467">
        <v>2887251</v>
      </c>
      <c r="E82" s="472">
        <v>2566823</v>
      </c>
      <c r="F82" s="476"/>
      <c r="H82" s="476"/>
    </row>
    <row r="83" spans="1:8" s="459" customFormat="1" ht="25.5" x14ac:dyDescent="0.2">
      <c r="A83" s="469" t="s">
        <v>642</v>
      </c>
      <c r="B83" s="470" t="s">
        <v>643</v>
      </c>
      <c r="C83" s="477" t="s">
        <v>596</v>
      </c>
      <c r="D83" s="467">
        <v>210000</v>
      </c>
      <c r="E83" s="472">
        <v>0</v>
      </c>
      <c r="F83" s="476"/>
      <c r="H83" s="476"/>
    </row>
    <row r="84" spans="1:8" s="459" customFormat="1" x14ac:dyDescent="0.2">
      <c r="A84" s="469" t="s">
        <v>644</v>
      </c>
      <c r="B84" s="470" t="s">
        <v>645</v>
      </c>
      <c r="C84" s="495" t="s">
        <v>596</v>
      </c>
      <c r="D84" s="467">
        <v>979932</v>
      </c>
      <c r="E84" s="472">
        <v>979932</v>
      </c>
    </row>
    <row r="85" spans="1:8" s="459" customFormat="1" ht="25.5" x14ac:dyDescent="0.2">
      <c r="A85" s="469" t="s">
        <v>646</v>
      </c>
      <c r="B85" s="470" t="s">
        <v>647</v>
      </c>
      <c r="C85" s="496" t="s">
        <v>514</v>
      </c>
      <c r="D85" s="494">
        <v>75580</v>
      </c>
      <c r="E85" s="490">
        <v>71331</v>
      </c>
      <c r="H85" s="476"/>
    </row>
    <row r="86" spans="1:8" s="459" customFormat="1" ht="13.5" thickBot="1" x14ac:dyDescent="0.25">
      <c r="A86" s="497"/>
      <c r="B86" s="498"/>
      <c r="C86" s="499" t="s">
        <v>28</v>
      </c>
      <c r="D86" s="500">
        <f>SUM(D9:D85)</f>
        <v>56100291</v>
      </c>
      <c r="E86" s="501">
        <f>SUM(E9:E85)</f>
        <v>40946056</v>
      </c>
    </row>
    <row r="87" spans="1:8" s="459" customFormat="1" x14ac:dyDescent="0.2">
      <c r="A87" s="455"/>
      <c r="B87" s="456"/>
      <c r="C87" s="502"/>
      <c r="D87" s="458"/>
      <c r="E87" s="462"/>
    </row>
    <row r="88" spans="1:8" s="459" customFormat="1" x14ac:dyDescent="0.2">
      <c r="A88" s="455"/>
      <c r="B88" s="456"/>
      <c r="C88" s="502"/>
      <c r="D88" s="458"/>
      <c r="E88" s="462"/>
    </row>
    <row r="89" spans="1:8" s="459" customFormat="1" x14ac:dyDescent="0.2">
      <c r="A89" s="455"/>
      <c r="B89" s="456"/>
      <c r="C89" s="502"/>
      <c r="D89" s="458"/>
      <c r="E89" s="462"/>
    </row>
    <row r="90" spans="1:8" s="459" customFormat="1" x14ac:dyDescent="0.2">
      <c r="A90" s="455"/>
      <c r="B90" s="456"/>
      <c r="C90" s="502"/>
      <c r="D90" s="458"/>
      <c r="E90" s="462"/>
    </row>
    <row r="91" spans="1:8" x14ac:dyDescent="0.2">
      <c r="C91" s="461"/>
    </row>
    <row r="92" spans="1:8" x14ac:dyDescent="0.2">
      <c r="C92" s="461"/>
    </row>
    <row r="93" spans="1:8" x14ac:dyDescent="0.2">
      <c r="C93" s="461"/>
    </row>
    <row r="94" spans="1:8" x14ac:dyDescent="0.2">
      <c r="C94" s="461"/>
    </row>
    <row r="95" spans="1:8" x14ac:dyDescent="0.2">
      <c r="C95" s="458"/>
    </row>
    <row r="96" spans="1:8" x14ac:dyDescent="0.2">
      <c r="C96" s="458"/>
    </row>
    <row r="97" spans="3:3" x14ac:dyDescent="0.2">
      <c r="C97" s="458"/>
    </row>
    <row r="98" spans="3:3" x14ac:dyDescent="0.2">
      <c r="C98" s="458"/>
    </row>
    <row r="99" spans="3:3" x14ac:dyDescent="0.2">
      <c r="C99" s="458"/>
    </row>
    <row r="100" spans="3:3" x14ac:dyDescent="0.2">
      <c r="C100" s="458"/>
    </row>
    <row r="101" spans="3:3" x14ac:dyDescent="0.2">
      <c r="C101" s="458"/>
    </row>
    <row r="102" spans="3:3" x14ac:dyDescent="0.2">
      <c r="C102" s="458"/>
    </row>
    <row r="103" spans="3:3" x14ac:dyDescent="0.2">
      <c r="C103" s="458"/>
    </row>
    <row r="104" spans="3:3" x14ac:dyDescent="0.2">
      <c r="C104" s="458"/>
    </row>
    <row r="105" spans="3:3" x14ac:dyDescent="0.2">
      <c r="C105" s="458"/>
    </row>
    <row r="106" spans="3:3" x14ac:dyDescent="0.2">
      <c r="C106" s="458"/>
    </row>
    <row r="107" spans="3:3" x14ac:dyDescent="0.2">
      <c r="C107" s="458"/>
    </row>
    <row r="108" spans="3:3" x14ac:dyDescent="0.2">
      <c r="C108" s="458"/>
    </row>
    <row r="109" spans="3:3" x14ac:dyDescent="0.2">
      <c r="C109" s="458"/>
    </row>
    <row r="110" spans="3:3" x14ac:dyDescent="0.2">
      <c r="C110" s="458"/>
    </row>
    <row r="111" spans="3:3" x14ac:dyDescent="0.2">
      <c r="C111" s="458"/>
    </row>
    <row r="112" spans="3:3" x14ac:dyDescent="0.2">
      <c r="C112" s="458"/>
    </row>
    <row r="113" spans="3:3" x14ac:dyDescent="0.2">
      <c r="C113" s="458"/>
    </row>
    <row r="114" spans="3:3" x14ac:dyDescent="0.2">
      <c r="C114" s="458"/>
    </row>
    <row r="115" spans="3:3" x14ac:dyDescent="0.2">
      <c r="C115" s="503"/>
    </row>
    <row r="116" spans="3:3" x14ac:dyDescent="0.2">
      <c r="C116" s="503"/>
    </row>
    <row r="117" spans="3:3" x14ac:dyDescent="0.2">
      <c r="C117" s="503"/>
    </row>
    <row r="118" spans="3:3" x14ac:dyDescent="0.2">
      <c r="C118" s="503"/>
    </row>
    <row r="119" spans="3:3" x14ac:dyDescent="0.2">
      <c r="C119" s="503"/>
    </row>
    <row r="120" spans="3:3" x14ac:dyDescent="0.2">
      <c r="C120" s="503"/>
    </row>
    <row r="121" spans="3:3" x14ac:dyDescent="0.2">
      <c r="C121" s="503"/>
    </row>
    <row r="122" spans="3:3" x14ac:dyDescent="0.2">
      <c r="C122" s="503"/>
    </row>
    <row r="123" spans="3:3" x14ac:dyDescent="0.2">
      <c r="C123" s="503"/>
    </row>
    <row r="124" spans="3:3" x14ac:dyDescent="0.2">
      <c r="C124" s="503"/>
    </row>
    <row r="125" spans="3:3" x14ac:dyDescent="0.2">
      <c r="C125" s="503"/>
    </row>
    <row r="126" spans="3:3" x14ac:dyDescent="0.2">
      <c r="C126" s="503"/>
    </row>
    <row r="127" spans="3:3" x14ac:dyDescent="0.2">
      <c r="C127" s="503"/>
    </row>
    <row r="128" spans="3:3" x14ac:dyDescent="0.2">
      <c r="C128" s="503"/>
    </row>
    <row r="129" spans="3:3" x14ac:dyDescent="0.2">
      <c r="C129" s="503"/>
    </row>
    <row r="130" spans="3:3" x14ac:dyDescent="0.2">
      <c r="C130" s="503"/>
    </row>
    <row r="131" spans="3:3" x14ac:dyDescent="0.2">
      <c r="C131" s="503"/>
    </row>
    <row r="132" spans="3:3" x14ac:dyDescent="0.2">
      <c r="C132" s="503"/>
    </row>
    <row r="133" spans="3:3" x14ac:dyDescent="0.2">
      <c r="C133" s="503"/>
    </row>
    <row r="134" spans="3:3" x14ac:dyDescent="0.2">
      <c r="C134" s="503"/>
    </row>
    <row r="135" spans="3:3" x14ac:dyDescent="0.2">
      <c r="C135" s="503"/>
    </row>
    <row r="136" spans="3:3" x14ac:dyDescent="0.2">
      <c r="C136" s="503"/>
    </row>
    <row r="137" spans="3:3" x14ac:dyDescent="0.2">
      <c r="C137" s="503"/>
    </row>
    <row r="138" spans="3:3" x14ac:dyDescent="0.2">
      <c r="C138" s="503"/>
    </row>
    <row r="139" spans="3:3" x14ac:dyDescent="0.2">
      <c r="C139" s="503"/>
    </row>
    <row r="140" spans="3:3" x14ac:dyDescent="0.2">
      <c r="C140" s="503"/>
    </row>
    <row r="141" spans="3:3" x14ac:dyDescent="0.2">
      <c r="C141" s="503"/>
    </row>
    <row r="142" spans="3:3" x14ac:dyDescent="0.2">
      <c r="C142" s="503"/>
    </row>
    <row r="143" spans="3:3" x14ac:dyDescent="0.2">
      <c r="C143" s="503"/>
    </row>
    <row r="144" spans="3:3" x14ac:dyDescent="0.2">
      <c r="C144" s="503"/>
    </row>
    <row r="145" spans="3:4" x14ac:dyDescent="0.2">
      <c r="C145" s="503"/>
    </row>
    <row r="146" spans="3:4" x14ac:dyDescent="0.2">
      <c r="C146" s="503"/>
    </row>
    <row r="147" spans="3:4" ht="13.5" x14ac:dyDescent="0.25">
      <c r="C147" s="504"/>
    </row>
    <row r="148" spans="3:4" x14ac:dyDescent="0.2">
      <c r="C148" s="503"/>
    </row>
    <row r="149" spans="3:4" x14ac:dyDescent="0.2">
      <c r="C149" s="503"/>
    </row>
    <row r="150" spans="3:4" x14ac:dyDescent="0.2">
      <c r="C150" s="503"/>
    </row>
    <row r="151" spans="3:4" x14ac:dyDescent="0.2">
      <c r="C151" s="503"/>
    </row>
    <row r="152" spans="3:4" x14ac:dyDescent="0.2">
      <c r="C152" s="503"/>
    </row>
    <row r="153" spans="3:4" x14ac:dyDescent="0.2">
      <c r="C153" s="503"/>
    </row>
    <row r="154" spans="3:4" ht="13.5" x14ac:dyDescent="0.25">
      <c r="D154" s="505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6"/>
  <sheetViews>
    <sheetView topLeftCell="D1" zoomScaleNormal="100" workbookViewId="0">
      <selection activeCell="E2" sqref="E2"/>
    </sheetView>
  </sheetViews>
  <sheetFormatPr defaultRowHeight="12.75" x14ac:dyDescent="0.2"/>
  <cols>
    <col min="1" max="1" width="52.5703125" style="459" customWidth="1"/>
    <col min="2" max="2" width="104.7109375" style="459" customWidth="1"/>
    <col min="3" max="3" width="31.7109375" style="459" customWidth="1"/>
    <col min="4" max="4" width="21.7109375" style="459" customWidth="1"/>
    <col min="5" max="5" width="16.140625" style="459" customWidth="1"/>
    <col min="6" max="6" width="26.5703125" style="459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455"/>
      <c r="B1" s="456"/>
      <c r="C1" s="604"/>
      <c r="D1" s="458"/>
      <c r="E1" s="458" t="s">
        <v>1117</v>
      </c>
    </row>
    <row r="2" spans="1:15" x14ac:dyDescent="0.2">
      <c r="A2" s="455"/>
      <c r="B2" s="456"/>
      <c r="C2" s="604"/>
      <c r="D2" s="458"/>
      <c r="E2" s="458"/>
    </row>
    <row r="3" spans="1:15" x14ac:dyDescent="0.2">
      <c r="A3" s="667" t="s">
        <v>648</v>
      </c>
      <c r="B3" s="667"/>
      <c r="C3" s="667"/>
      <c r="D3" s="667"/>
      <c r="E3" s="667"/>
    </row>
    <row r="4" spans="1:15" x14ac:dyDescent="0.2">
      <c r="A4" s="455"/>
      <c r="B4" s="456"/>
      <c r="C4" s="604"/>
      <c r="D4" s="458"/>
      <c r="E4" s="458"/>
    </row>
    <row r="5" spans="1:15" s="459" customFormat="1" x14ac:dyDescent="0.2">
      <c r="A5" s="455"/>
      <c r="B5" s="456"/>
      <c r="C5" s="604"/>
      <c r="D5" s="458"/>
      <c r="E5" s="458" t="s">
        <v>506</v>
      </c>
    </row>
    <row r="6" spans="1:15" s="459" customFormat="1" ht="13.5" thickBot="1" x14ac:dyDescent="0.25">
      <c r="A6" s="456"/>
      <c r="B6" s="460"/>
      <c r="C6" s="461"/>
      <c r="D6" s="462"/>
      <c r="E6" s="463">
        <v>1</v>
      </c>
    </row>
    <row r="7" spans="1:15" s="459" customFormat="1" ht="12.75" customHeight="1" x14ac:dyDescent="0.2">
      <c r="A7" s="683" t="s">
        <v>507</v>
      </c>
      <c r="B7" s="685" t="s">
        <v>508</v>
      </c>
      <c r="C7" s="668" t="s">
        <v>509</v>
      </c>
      <c r="D7" s="687" t="s">
        <v>510</v>
      </c>
      <c r="E7" s="689" t="s">
        <v>649</v>
      </c>
      <c r="F7" s="476"/>
      <c r="G7" s="508"/>
    </row>
    <row r="8" spans="1:15" s="459" customFormat="1" ht="13.5" thickBot="1" x14ac:dyDescent="0.25">
      <c r="A8" s="684"/>
      <c r="B8" s="686"/>
      <c r="C8" s="669"/>
      <c r="D8" s="688"/>
      <c r="E8" s="690"/>
    </row>
    <row r="9" spans="1:15" s="459" customFormat="1" x14ac:dyDescent="0.2">
      <c r="A9" s="509" t="s">
        <v>650</v>
      </c>
      <c r="B9" s="510" t="s">
        <v>651</v>
      </c>
      <c r="C9" s="511"/>
      <c r="D9" s="512">
        <v>422910</v>
      </c>
      <c r="E9" s="513">
        <v>1691641</v>
      </c>
      <c r="G9" s="514"/>
      <c r="H9" s="514"/>
      <c r="I9" s="514"/>
      <c r="J9" s="514"/>
      <c r="K9" s="514"/>
      <c r="L9" s="514"/>
      <c r="M9" s="514"/>
      <c r="N9" s="514"/>
      <c r="O9" s="514"/>
    </row>
    <row r="10" spans="1:15" s="459" customFormat="1" x14ac:dyDescent="0.2">
      <c r="A10" s="515" t="s">
        <v>652</v>
      </c>
      <c r="B10" s="516" t="s">
        <v>653</v>
      </c>
      <c r="C10" s="517" t="s">
        <v>514</v>
      </c>
      <c r="D10" s="518" t="s">
        <v>654</v>
      </c>
      <c r="E10" s="519">
        <v>1824385</v>
      </c>
      <c r="G10" s="514"/>
      <c r="H10" s="514"/>
      <c r="I10" s="514"/>
      <c r="J10" s="514"/>
      <c r="K10" s="514"/>
      <c r="L10" s="514"/>
      <c r="M10" s="514"/>
      <c r="N10" s="514"/>
      <c r="O10" s="514"/>
    </row>
    <row r="11" spans="1:15" s="459" customFormat="1" x14ac:dyDescent="0.2">
      <c r="A11" s="520" t="s">
        <v>515</v>
      </c>
      <c r="B11" s="521" t="s">
        <v>656</v>
      </c>
      <c r="C11" s="522">
        <v>43739</v>
      </c>
      <c r="D11" s="523" t="s">
        <v>657</v>
      </c>
      <c r="E11" s="524" t="s">
        <v>658</v>
      </c>
      <c r="G11" s="514"/>
      <c r="H11" s="514"/>
      <c r="I11" s="514"/>
      <c r="J11" s="514"/>
      <c r="K11" s="514"/>
      <c r="L11" s="514"/>
      <c r="M11" s="514"/>
      <c r="N11" s="514"/>
      <c r="O11" s="514"/>
    </row>
    <row r="12" spans="1:15" s="459" customFormat="1" x14ac:dyDescent="0.2">
      <c r="A12" s="520" t="s">
        <v>659</v>
      </c>
      <c r="B12" s="521" t="s">
        <v>660</v>
      </c>
      <c r="C12" s="522">
        <v>44196</v>
      </c>
      <c r="D12" s="523">
        <v>635000</v>
      </c>
      <c r="E12" s="525">
        <v>0</v>
      </c>
      <c r="G12" s="514"/>
      <c r="H12" s="514"/>
      <c r="I12" s="514"/>
      <c r="J12" s="514"/>
      <c r="K12" s="514"/>
      <c r="L12" s="514"/>
      <c r="M12" s="514"/>
      <c r="N12" s="514"/>
      <c r="O12" s="514"/>
    </row>
    <row r="13" spans="1:15" s="459" customFormat="1" x14ac:dyDescent="0.2">
      <c r="A13" s="526" t="s">
        <v>661</v>
      </c>
      <c r="B13" s="527" t="s">
        <v>662</v>
      </c>
      <c r="C13" s="522" t="s">
        <v>514</v>
      </c>
      <c r="D13" s="528">
        <v>2867747</v>
      </c>
      <c r="E13" s="529">
        <v>2867747</v>
      </c>
      <c r="G13" s="514"/>
      <c r="H13" s="514"/>
      <c r="I13" s="514"/>
      <c r="J13" s="514"/>
      <c r="K13" s="514"/>
      <c r="L13" s="514"/>
      <c r="M13" s="514"/>
      <c r="N13" s="514"/>
      <c r="O13" s="514"/>
    </row>
    <row r="14" spans="1:15" s="459" customFormat="1" x14ac:dyDescent="0.2">
      <c r="A14" s="526" t="s">
        <v>663</v>
      </c>
      <c r="B14" s="530" t="s">
        <v>664</v>
      </c>
      <c r="C14" s="522">
        <v>43249</v>
      </c>
      <c r="D14" s="528">
        <f>450000*1.27</f>
        <v>571500</v>
      </c>
      <c r="E14" s="529">
        <v>0</v>
      </c>
      <c r="G14" s="514"/>
      <c r="H14" s="514"/>
      <c r="I14" s="514"/>
      <c r="J14" s="514"/>
      <c r="K14" s="514"/>
      <c r="L14" s="514"/>
      <c r="M14" s="514"/>
      <c r="N14" s="514"/>
      <c r="O14" s="514"/>
    </row>
    <row r="15" spans="1:15" s="459" customFormat="1" x14ac:dyDescent="0.2">
      <c r="A15" s="526" t="s">
        <v>663</v>
      </c>
      <c r="B15" s="530" t="s">
        <v>665</v>
      </c>
      <c r="C15" s="522">
        <v>43249</v>
      </c>
      <c r="D15" s="528">
        <f>800000*1.27</f>
        <v>1016000</v>
      </c>
      <c r="E15" s="529">
        <v>0</v>
      </c>
      <c r="G15" s="514"/>
      <c r="H15" s="514"/>
      <c r="I15" s="514"/>
      <c r="J15" s="514"/>
      <c r="K15" s="514"/>
      <c r="L15" s="514"/>
      <c r="M15" s="514"/>
      <c r="N15" s="514"/>
      <c r="O15" s="514"/>
    </row>
    <row r="16" spans="1:15" s="476" customFormat="1" x14ac:dyDescent="0.2">
      <c r="A16" s="526" t="s">
        <v>666</v>
      </c>
      <c r="B16" s="527" t="s">
        <v>667</v>
      </c>
      <c r="C16" s="522" t="s">
        <v>668</v>
      </c>
      <c r="D16" s="528">
        <f>(12*30000)+60000</f>
        <v>420000</v>
      </c>
      <c r="E16" s="529">
        <v>300000</v>
      </c>
      <c r="G16" s="531"/>
      <c r="H16" s="531"/>
      <c r="I16" s="531"/>
      <c r="J16" s="531"/>
      <c r="K16" s="531"/>
      <c r="L16" s="531"/>
      <c r="M16" s="531"/>
      <c r="N16" s="531"/>
      <c r="O16" s="531"/>
    </row>
    <row r="17" spans="1:15" s="476" customFormat="1" x14ac:dyDescent="0.2">
      <c r="A17" s="526" t="s">
        <v>669</v>
      </c>
      <c r="B17" s="527" t="s">
        <v>670</v>
      </c>
      <c r="C17" s="522">
        <v>43424</v>
      </c>
      <c r="D17" s="528">
        <v>2087891</v>
      </c>
      <c r="E17" s="529">
        <v>696000</v>
      </c>
      <c r="G17" s="531"/>
      <c r="H17" s="531"/>
      <c r="I17" s="531"/>
      <c r="J17" s="531"/>
      <c r="K17" s="531"/>
      <c r="L17" s="531"/>
      <c r="M17" s="531"/>
      <c r="N17" s="531"/>
      <c r="O17" s="531"/>
    </row>
    <row r="18" spans="1:15" s="476" customFormat="1" x14ac:dyDescent="0.2">
      <c r="A18" s="526" t="s">
        <v>671</v>
      </c>
      <c r="B18" s="527" t="s">
        <v>672</v>
      </c>
      <c r="C18" s="522"/>
      <c r="D18" s="528">
        <v>1714500</v>
      </c>
      <c r="E18" s="529">
        <v>0</v>
      </c>
      <c r="G18" s="531"/>
      <c r="H18" s="531"/>
      <c r="I18" s="531"/>
      <c r="J18" s="531"/>
      <c r="K18" s="531"/>
      <c r="L18" s="531"/>
      <c r="M18" s="531"/>
      <c r="N18" s="531"/>
      <c r="O18" s="531"/>
    </row>
    <row r="19" spans="1:15" s="476" customFormat="1" x14ac:dyDescent="0.2">
      <c r="A19" s="526" t="s">
        <v>673</v>
      </c>
      <c r="B19" s="527" t="s">
        <v>674</v>
      </c>
      <c r="C19" s="522" t="s">
        <v>514</v>
      </c>
      <c r="D19" s="528">
        <f>E19</f>
        <v>36195</v>
      </c>
      <c r="E19" s="529">
        <v>36195</v>
      </c>
      <c r="G19" s="531"/>
      <c r="H19" s="531"/>
      <c r="I19" s="531"/>
      <c r="J19" s="531"/>
      <c r="K19" s="531"/>
      <c r="L19" s="531"/>
      <c r="M19" s="531"/>
      <c r="N19" s="531"/>
      <c r="O19" s="531"/>
    </row>
    <row r="20" spans="1:15" s="476" customFormat="1" x14ac:dyDescent="0.2">
      <c r="A20" s="526" t="s">
        <v>673</v>
      </c>
      <c r="B20" s="527" t="s">
        <v>675</v>
      </c>
      <c r="C20" s="522" t="s">
        <v>514</v>
      </c>
      <c r="D20" s="528">
        <f>67818*13</f>
        <v>881634</v>
      </c>
      <c r="E20" s="529">
        <v>67818</v>
      </c>
      <c r="G20" s="531"/>
      <c r="H20" s="531"/>
      <c r="I20" s="531"/>
      <c r="J20" s="531"/>
      <c r="K20" s="531"/>
      <c r="L20" s="531"/>
      <c r="M20" s="531"/>
      <c r="N20" s="531"/>
      <c r="O20" s="531"/>
    </row>
    <row r="21" spans="1:15" s="476" customFormat="1" x14ac:dyDescent="0.2">
      <c r="A21" s="526" t="s">
        <v>673</v>
      </c>
      <c r="B21" s="527" t="s">
        <v>676</v>
      </c>
      <c r="C21" s="522" t="s">
        <v>514</v>
      </c>
      <c r="D21" s="528">
        <f>E21</f>
        <v>423498</v>
      </c>
      <c r="E21" s="529">
        <v>423498</v>
      </c>
      <c r="G21" s="531"/>
      <c r="H21" s="531"/>
      <c r="I21" s="531"/>
      <c r="J21" s="531"/>
      <c r="K21" s="531"/>
      <c r="L21" s="531"/>
      <c r="M21" s="531"/>
      <c r="N21" s="531"/>
      <c r="O21" s="531"/>
    </row>
    <row r="22" spans="1:15" s="476" customFormat="1" x14ac:dyDescent="0.2">
      <c r="A22" s="526" t="s">
        <v>673</v>
      </c>
      <c r="B22" s="527" t="s">
        <v>677</v>
      </c>
      <c r="C22" s="522" t="s">
        <v>514</v>
      </c>
      <c r="D22" s="528">
        <f>9396192/3</f>
        <v>3132064</v>
      </c>
      <c r="E22" s="529">
        <v>816970</v>
      </c>
      <c r="G22" s="531"/>
      <c r="H22" s="531"/>
      <c r="I22" s="531"/>
      <c r="J22" s="531"/>
      <c r="K22" s="531"/>
      <c r="L22" s="531"/>
      <c r="M22" s="531"/>
      <c r="N22" s="531"/>
      <c r="O22" s="531"/>
    </row>
    <row r="23" spans="1:15" s="459" customFormat="1" x14ac:dyDescent="0.2">
      <c r="A23" s="532" t="s">
        <v>678</v>
      </c>
      <c r="B23" s="533" t="s">
        <v>679</v>
      </c>
      <c r="C23" s="477" t="s">
        <v>514</v>
      </c>
      <c r="D23" s="534">
        <f>E23*E6</f>
        <v>444195</v>
      </c>
      <c r="E23" s="535">
        <v>444195</v>
      </c>
      <c r="G23" s="514"/>
      <c r="H23" s="514"/>
      <c r="I23" s="514"/>
      <c r="J23" s="514"/>
      <c r="K23" s="514"/>
      <c r="L23" s="514"/>
      <c r="M23" s="514"/>
      <c r="N23" s="514"/>
      <c r="O23" s="514"/>
    </row>
    <row r="24" spans="1:15" s="459" customFormat="1" x14ac:dyDescent="0.2">
      <c r="A24" s="532" t="s">
        <v>680</v>
      </c>
      <c r="B24" s="533" t="s">
        <v>681</v>
      </c>
      <c r="C24" s="477" t="s">
        <v>514</v>
      </c>
      <c r="D24" s="534">
        <f>12*480+4*480</f>
        <v>7680</v>
      </c>
      <c r="E24" s="535">
        <v>3845</v>
      </c>
      <c r="F24" s="476"/>
      <c r="G24" s="531"/>
      <c r="H24" s="514"/>
      <c r="I24" s="514"/>
      <c r="J24" s="514"/>
      <c r="K24" s="514"/>
      <c r="L24" s="514"/>
      <c r="M24" s="514"/>
      <c r="N24" s="514"/>
      <c r="O24" s="514"/>
    </row>
    <row r="25" spans="1:15" s="459" customFormat="1" x14ac:dyDescent="0.2">
      <c r="A25" s="532" t="s">
        <v>680</v>
      </c>
      <c r="B25" s="536" t="s">
        <v>682</v>
      </c>
      <c r="C25" s="477" t="s">
        <v>514</v>
      </c>
      <c r="D25" s="534">
        <f>17*13415+26830</f>
        <v>254885</v>
      </c>
      <c r="E25" s="535">
        <v>53660</v>
      </c>
      <c r="F25" s="476"/>
      <c r="G25" s="514"/>
      <c r="H25" s="514"/>
      <c r="I25" s="514"/>
      <c r="J25" s="514"/>
      <c r="K25" s="514"/>
      <c r="L25" s="514"/>
      <c r="M25" s="514"/>
      <c r="N25" s="514"/>
      <c r="O25" s="514"/>
    </row>
    <row r="26" spans="1:15" s="459" customFormat="1" x14ac:dyDescent="0.2">
      <c r="A26" s="532" t="s">
        <v>683</v>
      </c>
      <c r="B26" s="536" t="s">
        <v>684</v>
      </c>
      <c r="C26" s="471">
        <v>44018</v>
      </c>
      <c r="D26" s="534">
        <v>76200</v>
      </c>
      <c r="E26" s="535">
        <v>76200</v>
      </c>
      <c r="F26" s="476"/>
      <c r="G26" s="514"/>
      <c r="H26" s="514"/>
      <c r="I26" s="514"/>
      <c r="J26" s="514"/>
      <c r="K26" s="514"/>
      <c r="L26" s="514"/>
      <c r="M26" s="514"/>
      <c r="N26" s="514"/>
      <c r="O26" s="514"/>
    </row>
    <row r="27" spans="1:15" s="541" customFormat="1" x14ac:dyDescent="0.2">
      <c r="A27" s="537" t="s">
        <v>685</v>
      </c>
      <c r="B27" s="538" t="s">
        <v>686</v>
      </c>
      <c r="C27" s="477" t="s">
        <v>514</v>
      </c>
      <c r="D27" s="534">
        <v>616327</v>
      </c>
      <c r="E27" s="613">
        <v>616327</v>
      </c>
      <c r="F27" s="539"/>
      <c r="G27" s="540"/>
      <c r="H27" s="540"/>
      <c r="I27" s="540"/>
      <c r="J27" s="540"/>
      <c r="K27" s="540"/>
      <c r="L27" s="540"/>
      <c r="M27" s="540"/>
      <c r="N27" s="540"/>
      <c r="O27" s="540"/>
    </row>
    <row r="28" spans="1:15" s="459" customFormat="1" x14ac:dyDescent="0.2">
      <c r="A28" s="542" t="s">
        <v>687</v>
      </c>
      <c r="B28" s="479" t="s">
        <v>688</v>
      </c>
      <c r="C28" s="477" t="s">
        <v>514</v>
      </c>
      <c r="D28" s="543">
        <f>(12*5345)+(12*5230)</f>
        <v>126900</v>
      </c>
      <c r="E28" s="535">
        <v>242380</v>
      </c>
      <c r="F28" s="476"/>
      <c r="G28" s="531"/>
      <c r="H28" s="514"/>
      <c r="I28" s="514"/>
      <c r="J28" s="514"/>
      <c r="K28" s="514"/>
      <c r="L28" s="514"/>
      <c r="M28" s="514"/>
      <c r="N28" s="514"/>
      <c r="O28" s="514"/>
    </row>
    <row r="29" spans="1:15" s="459" customFormat="1" x14ac:dyDescent="0.2">
      <c r="A29" s="542" t="s">
        <v>687</v>
      </c>
      <c r="B29" s="544" t="s">
        <v>689</v>
      </c>
      <c r="C29" s="545" t="s">
        <v>514</v>
      </c>
      <c r="D29" s="546">
        <v>48380</v>
      </c>
      <c r="E29" s="547">
        <v>48380</v>
      </c>
      <c r="F29" s="476"/>
      <c r="G29" s="514"/>
      <c r="H29" s="514"/>
      <c r="I29" s="514"/>
      <c r="J29" s="514"/>
      <c r="K29" s="514"/>
      <c r="L29" s="514"/>
      <c r="M29" s="514"/>
      <c r="N29" s="514"/>
      <c r="O29" s="514"/>
    </row>
    <row r="30" spans="1:15" s="552" customFormat="1" x14ac:dyDescent="0.2">
      <c r="A30" s="548" t="s">
        <v>690</v>
      </c>
      <c r="B30" s="544" t="s">
        <v>691</v>
      </c>
      <c r="C30" s="549">
        <v>42735</v>
      </c>
      <c r="D30" s="546">
        <v>355600</v>
      </c>
      <c r="E30" s="547">
        <v>0</v>
      </c>
      <c r="F30" s="551"/>
      <c r="H30" s="551"/>
      <c r="I30" s="551"/>
      <c r="J30" s="551"/>
      <c r="K30" s="551"/>
      <c r="L30" s="551"/>
      <c r="M30" s="551"/>
      <c r="N30" s="551"/>
      <c r="O30" s="551"/>
    </row>
    <row r="31" spans="1:15" s="552" customFormat="1" x14ac:dyDescent="0.2">
      <c r="A31" s="548" t="s">
        <v>692</v>
      </c>
      <c r="B31" s="544" t="s">
        <v>693</v>
      </c>
      <c r="C31" s="549"/>
      <c r="D31" s="546">
        <v>1750000</v>
      </c>
      <c r="E31" s="547">
        <v>0</v>
      </c>
      <c r="G31" s="551"/>
      <c r="H31" s="551"/>
      <c r="I31" s="551"/>
      <c r="J31" s="551"/>
      <c r="K31" s="551"/>
      <c r="L31" s="551"/>
      <c r="M31" s="551"/>
      <c r="N31" s="551"/>
      <c r="O31" s="551"/>
    </row>
    <row r="32" spans="1:15" s="459" customFormat="1" x14ac:dyDescent="0.2">
      <c r="A32" s="548" t="s">
        <v>692</v>
      </c>
      <c r="B32" s="544" t="s">
        <v>694</v>
      </c>
      <c r="C32" s="482">
        <v>43889</v>
      </c>
      <c r="D32" s="546">
        <f>14*173612</f>
        <v>2430568</v>
      </c>
      <c r="E32" s="547">
        <v>1909732</v>
      </c>
      <c r="F32" s="476"/>
      <c r="G32" s="514"/>
      <c r="H32" s="514"/>
      <c r="I32" s="514"/>
      <c r="J32" s="514"/>
      <c r="K32" s="514"/>
      <c r="L32" s="514"/>
      <c r="M32" s="514"/>
      <c r="N32" s="514"/>
      <c r="O32" s="514"/>
    </row>
    <row r="33" spans="1:15" s="459" customFormat="1" x14ac:dyDescent="0.2">
      <c r="A33" s="548" t="s">
        <v>695</v>
      </c>
      <c r="B33" s="544" t="s">
        <v>696</v>
      </c>
      <c r="C33" s="471">
        <v>43830</v>
      </c>
      <c r="D33" s="546">
        <v>31000000</v>
      </c>
      <c r="E33" s="547">
        <v>31000000</v>
      </c>
      <c r="G33" s="514"/>
      <c r="H33" s="514"/>
      <c r="I33" s="514"/>
      <c r="J33" s="514"/>
      <c r="K33" s="514"/>
      <c r="L33" s="514"/>
      <c r="M33" s="514"/>
      <c r="N33" s="514"/>
      <c r="O33" s="514"/>
    </row>
    <row r="34" spans="1:15" s="459" customFormat="1" x14ac:dyDescent="0.2">
      <c r="A34" s="548" t="s">
        <v>695</v>
      </c>
      <c r="B34" s="553" t="s">
        <v>697</v>
      </c>
      <c r="C34" s="471">
        <v>43738</v>
      </c>
      <c r="D34" s="546">
        <v>266700</v>
      </c>
      <c r="E34" s="547">
        <v>0</v>
      </c>
      <c r="G34" s="514"/>
      <c r="H34" s="514"/>
      <c r="I34" s="514"/>
      <c r="J34" s="514"/>
      <c r="K34" s="514"/>
      <c r="L34" s="514"/>
      <c r="M34" s="514"/>
      <c r="N34" s="514"/>
      <c r="O34" s="514"/>
    </row>
    <row r="35" spans="1:15" s="459" customFormat="1" x14ac:dyDescent="0.2">
      <c r="A35" s="548" t="s">
        <v>695</v>
      </c>
      <c r="B35" s="554" t="s">
        <v>698</v>
      </c>
      <c r="C35" s="482">
        <v>44074</v>
      </c>
      <c r="D35" s="546">
        <v>17000</v>
      </c>
      <c r="E35" s="547">
        <v>86650</v>
      </c>
      <c r="G35" s="514"/>
      <c r="H35" s="514"/>
      <c r="I35" s="514"/>
      <c r="J35" s="514"/>
      <c r="K35" s="514"/>
      <c r="L35" s="514"/>
      <c r="M35" s="514"/>
      <c r="N35" s="514"/>
      <c r="O35" s="514"/>
    </row>
    <row r="36" spans="1:15" s="459" customFormat="1" x14ac:dyDescent="0.2">
      <c r="A36" s="548" t="s">
        <v>695</v>
      </c>
      <c r="B36" s="554" t="s">
        <v>699</v>
      </c>
      <c r="C36" s="482">
        <v>44074</v>
      </c>
      <c r="D36" s="546">
        <v>198800</v>
      </c>
      <c r="E36" s="547">
        <v>85000</v>
      </c>
      <c r="G36" s="514"/>
      <c r="H36" s="514"/>
      <c r="I36" s="514"/>
      <c r="J36" s="514"/>
      <c r="K36" s="514"/>
      <c r="L36" s="514"/>
      <c r="M36" s="514"/>
      <c r="N36" s="514"/>
      <c r="O36" s="514"/>
    </row>
    <row r="37" spans="1:15" s="459" customFormat="1" x14ac:dyDescent="0.2">
      <c r="A37" s="548" t="s">
        <v>695</v>
      </c>
      <c r="B37" s="554" t="s">
        <v>700</v>
      </c>
      <c r="C37" s="482">
        <v>44074</v>
      </c>
      <c r="D37" s="546">
        <v>17000</v>
      </c>
      <c r="E37" s="547">
        <v>86650</v>
      </c>
      <c r="G37" s="514"/>
      <c r="H37" s="514"/>
      <c r="I37" s="514"/>
      <c r="J37" s="514"/>
      <c r="K37" s="514"/>
      <c r="L37" s="514"/>
      <c r="M37" s="514"/>
      <c r="N37" s="514"/>
      <c r="O37" s="514"/>
    </row>
    <row r="38" spans="1:15" s="459" customFormat="1" x14ac:dyDescent="0.2">
      <c r="A38" s="548" t="s">
        <v>695</v>
      </c>
      <c r="B38" s="554" t="s">
        <v>701</v>
      </c>
      <c r="C38" s="482">
        <v>44074</v>
      </c>
      <c r="D38" s="546">
        <v>520000</v>
      </c>
      <c r="E38" s="547">
        <v>230000</v>
      </c>
      <c r="G38" s="514"/>
      <c r="H38" s="514"/>
      <c r="I38" s="514"/>
      <c r="J38" s="514"/>
      <c r="K38" s="514"/>
      <c r="L38" s="514"/>
      <c r="M38" s="514"/>
      <c r="N38" s="514"/>
      <c r="O38" s="514"/>
    </row>
    <row r="39" spans="1:15" s="459" customFormat="1" x14ac:dyDescent="0.2">
      <c r="A39" s="548" t="s">
        <v>695</v>
      </c>
      <c r="B39" s="554" t="s">
        <v>702</v>
      </c>
      <c r="C39" s="482">
        <v>44074</v>
      </c>
      <c r="D39" s="546">
        <v>551750</v>
      </c>
      <c r="E39" s="547">
        <v>230000</v>
      </c>
      <c r="G39" s="514"/>
      <c r="H39" s="514"/>
      <c r="I39" s="514"/>
      <c r="J39" s="514"/>
      <c r="K39" s="514"/>
      <c r="L39" s="514"/>
      <c r="M39" s="514"/>
      <c r="N39" s="514"/>
      <c r="O39" s="514"/>
    </row>
    <row r="40" spans="1:15" s="459" customFormat="1" x14ac:dyDescent="0.2">
      <c r="A40" s="548" t="s">
        <v>695</v>
      </c>
      <c r="B40" s="554" t="s">
        <v>703</v>
      </c>
      <c r="C40" s="482">
        <v>44074</v>
      </c>
      <c r="D40" s="546">
        <v>17000</v>
      </c>
      <c r="E40" s="547">
        <v>86650</v>
      </c>
      <c r="G40" s="514"/>
      <c r="H40" s="514"/>
      <c r="I40" s="514"/>
      <c r="J40" s="514"/>
      <c r="K40" s="514"/>
      <c r="L40" s="514"/>
      <c r="M40" s="514"/>
      <c r="N40" s="514"/>
      <c r="O40" s="514"/>
    </row>
    <row r="41" spans="1:15" s="459" customFormat="1" x14ac:dyDescent="0.2">
      <c r="A41" s="542" t="s">
        <v>704</v>
      </c>
      <c r="B41" s="479" t="s">
        <v>705</v>
      </c>
      <c r="C41" s="557"/>
      <c r="D41" s="555">
        <f>66900*3</f>
        <v>200700</v>
      </c>
      <c r="E41" s="556">
        <v>66900</v>
      </c>
      <c r="F41" s="476"/>
      <c r="G41" s="514"/>
      <c r="H41" s="514"/>
      <c r="I41" s="514"/>
      <c r="J41" s="514"/>
      <c r="K41" s="514"/>
      <c r="L41" s="514"/>
      <c r="M41" s="514"/>
      <c r="N41" s="514"/>
      <c r="O41" s="514"/>
    </row>
    <row r="42" spans="1:15" s="459" customFormat="1" x14ac:dyDescent="0.2">
      <c r="A42" s="542" t="s">
        <v>704</v>
      </c>
      <c r="B42" s="479" t="s">
        <v>706</v>
      </c>
      <c r="C42" s="471" t="s">
        <v>514</v>
      </c>
      <c r="D42" s="558">
        <f>2*110580+55290</f>
        <v>276450</v>
      </c>
      <c r="E42" s="559">
        <v>110580</v>
      </c>
      <c r="F42" s="476"/>
      <c r="G42" s="514"/>
      <c r="H42" s="514"/>
      <c r="I42" s="514"/>
      <c r="J42" s="514"/>
      <c r="K42" s="514"/>
      <c r="L42" s="514"/>
      <c r="M42" s="514"/>
      <c r="N42" s="514"/>
      <c r="O42" s="514"/>
    </row>
    <row r="43" spans="1:15" s="459" customFormat="1" x14ac:dyDescent="0.2">
      <c r="A43" s="542" t="s">
        <v>707</v>
      </c>
      <c r="B43" s="479" t="s">
        <v>708</v>
      </c>
      <c r="C43" s="471" t="s">
        <v>514</v>
      </c>
      <c r="D43" s="558">
        <f>28780+12*14390</f>
        <v>201460</v>
      </c>
      <c r="E43" s="559">
        <v>14390</v>
      </c>
      <c r="F43" s="476"/>
      <c r="G43" s="514"/>
      <c r="H43" s="514"/>
      <c r="I43" s="514"/>
      <c r="J43" s="514"/>
      <c r="K43" s="514"/>
      <c r="L43" s="514"/>
      <c r="M43" s="514"/>
      <c r="N43" s="514"/>
      <c r="O43" s="514"/>
    </row>
    <row r="44" spans="1:15" x14ac:dyDescent="0.2">
      <c r="A44" s="560" t="s">
        <v>707</v>
      </c>
      <c r="B44" s="561" t="s">
        <v>709</v>
      </c>
      <c r="C44" s="522" t="s">
        <v>514</v>
      </c>
      <c r="D44" s="528">
        <v>781049</v>
      </c>
      <c r="E44" s="529">
        <v>781049</v>
      </c>
      <c r="F44" s="562"/>
      <c r="G44" s="563"/>
      <c r="H44" s="563"/>
      <c r="I44" s="563"/>
      <c r="J44" s="563"/>
      <c r="K44" s="563"/>
      <c r="L44" s="563"/>
      <c r="M44" s="563"/>
      <c r="N44" s="563"/>
      <c r="O44" s="563"/>
    </row>
    <row r="45" spans="1:15" x14ac:dyDescent="0.2">
      <c r="A45" s="560" t="s">
        <v>707</v>
      </c>
      <c r="B45" s="561" t="s">
        <v>710</v>
      </c>
      <c r="C45" s="522">
        <v>44926</v>
      </c>
      <c r="D45" s="528">
        <f>E45*E6</f>
        <v>430271</v>
      </c>
      <c r="E45" s="529">
        <v>430271</v>
      </c>
      <c r="G45" s="563"/>
      <c r="H45" s="563"/>
      <c r="I45" s="563"/>
      <c r="J45" s="563"/>
      <c r="K45" s="563"/>
      <c r="L45" s="563"/>
      <c r="M45" s="563"/>
      <c r="N45" s="563"/>
      <c r="O45" s="563"/>
    </row>
    <row r="46" spans="1:15" x14ac:dyDescent="0.2">
      <c r="A46" s="560" t="s">
        <v>707</v>
      </c>
      <c r="B46" s="561" t="s">
        <v>711</v>
      </c>
      <c r="C46" s="522" t="s">
        <v>514</v>
      </c>
      <c r="D46" s="528">
        <v>826138</v>
      </c>
      <c r="E46" s="529">
        <v>826138</v>
      </c>
      <c r="G46" s="563"/>
      <c r="H46" s="563"/>
      <c r="I46" s="563"/>
      <c r="J46" s="563"/>
      <c r="K46" s="563"/>
      <c r="L46" s="563"/>
      <c r="M46" s="563"/>
      <c r="N46" s="563"/>
      <c r="O46" s="563"/>
    </row>
    <row r="47" spans="1:15" s="459" customFormat="1" x14ac:dyDescent="0.2">
      <c r="A47" s="542" t="s">
        <v>707</v>
      </c>
      <c r="B47" s="479" t="s">
        <v>712</v>
      </c>
      <c r="C47" s="471" t="s">
        <v>514</v>
      </c>
      <c r="D47" s="558">
        <v>62342</v>
      </c>
      <c r="E47" s="559">
        <v>62342</v>
      </c>
      <c r="F47" s="476"/>
      <c r="G47" s="514"/>
      <c r="H47" s="514"/>
      <c r="I47" s="514"/>
      <c r="J47" s="514"/>
      <c r="K47" s="514"/>
      <c r="L47" s="514"/>
      <c r="M47" s="514"/>
      <c r="N47" s="514"/>
      <c r="O47" s="514"/>
    </row>
    <row r="48" spans="1:15" s="476" customFormat="1" ht="25.5" x14ac:dyDescent="0.2">
      <c r="A48" s="560" t="s">
        <v>713</v>
      </c>
      <c r="B48" s="565" t="s">
        <v>714</v>
      </c>
      <c r="C48" s="522"/>
      <c r="D48" s="558">
        <f>50000+100000+60000+50000+150000+40000+100000+100000+60000</f>
        <v>710000</v>
      </c>
      <c r="E48" s="559">
        <v>0</v>
      </c>
      <c r="G48" s="531"/>
      <c r="H48" s="531"/>
      <c r="I48" s="531"/>
      <c r="J48" s="531"/>
      <c r="K48" s="531"/>
      <c r="L48" s="531"/>
      <c r="M48" s="531"/>
      <c r="N48" s="531"/>
      <c r="O48" s="531"/>
    </row>
    <row r="49" spans="1:15" s="459" customFormat="1" x14ac:dyDescent="0.2">
      <c r="A49" s="560" t="s">
        <v>715</v>
      </c>
      <c r="B49" s="561" t="s">
        <v>716</v>
      </c>
      <c r="C49" s="522" t="s">
        <v>514</v>
      </c>
      <c r="D49" s="558">
        <v>500000</v>
      </c>
      <c r="E49" s="559">
        <v>500000</v>
      </c>
      <c r="G49" s="514"/>
      <c r="H49" s="514"/>
      <c r="I49" s="514"/>
      <c r="J49" s="514"/>
      <c r="K49" s="514"/>
      <c r="L49" s="514"/>
      <c r="M49" s="514"/>
      <c r="N49" s="514"/>
      <c r="O49" s="514"/>
    </row>
    <row r="50" spans="1:15" s="459" customFormat="1" x14ac:dyDescent="0.2">
      <c r="A50" s="560" t="s">
        <v>717</v>
      </c>
      <c r="B50" s="561" t="s">
        <v>681</v>
      </c>
      <c r="C50" s="522" t="s">
        <v>514</v>
      </c>
      <c r="D50" s="558">
        <v>4978</v>
      </c>
      <c r="E50" s="559">
        <v>4978</v>
      </c>
      <c r="F50" s="476"/>
      <c r="G50" s="531"/>
      <c r="H50" s="514"/>
      <c r="I50" s="566"/>
      <c r="J50" s="514"/>
      <c r="K50" s="514"/>
      <c r="L50" s="514"/>
      <c r="M50" s="514"/>
      <c r="N50" s="514"/>
      <c r="O50" s="514"/>
    </row>
    <row r="51" spans="1:15" s="459" customFormat="1" x14ac:dyDescent="0.2">
      <c r="A51" s="560" t="s">
        <v>718</v>
      </c>
      <c r="B51" s="527" t="s">
        <v>719</v>
      </c>
      <c r="C51" s="522" t="s">
        <v>514</v>
      </c>
      <c r="D51" s="528">
        <v>54301583</v>
      </c>
      <c r="E51" s="529">
        <v>54301583</v>
      </c>
      <c r="F51" s="476"/>
      <c r="G51" s="514"/>
      <c r="H51" s="514"/>
      <c r="I51" s="514"/>
      <c r="J51" s="566"/>
      <c r="K51" s="514"/>
      <c r="L51" s="514"/>
      <c r="M51" s="514"/>
      <c r="N51" s="514"/>
      <c r="O51" s="514"/>
    </row>
    <row r="52" spans="1:15" s="476" customFormat="1" x14ac:dyDescent="0.2">
      <c r="A52" s="560" t="s">
        <v>718</v>
      </c>
      <c r="B52" s="527" t="s">
        <v>720</v>
      </c>
      <c r="C52" s="522">
        <v>43524</v>
      </c>
      <c r="D52" s="528">
        <f>6165379-544160</f>
        <v>5621219</v>
      </c>
      <c r="E52" s="529">
        <f>165100+280000+99060</f>
        <v>544160</v>
      </c>
      <c r="G52" s="531"/>
      <c r="H52" s="531"/>
      <c r="I52" s="531"/>
      <c r="J52" s="566"/>
      <c r="K52" s="531"/>
      <c r="L52" s="531"/>
      <c r="M52" s="531"/>
      <c r="N52" s="531"/>
      <c r="O52" s="531"/>
    </row>
    <row r="53" spans="1:15" s="459" customFormat="1" x14ac:dyDescent="0.2">
      <c r="A53" s="560" t="s">
        <v>721</v>
      </c>
      <c r="B53" s="561" t="s">
        <v>722</v>
      </c>
      <c r="C53" s="522">
        <v>43220</v>
      </c>
      <c r="D53" s="558">
        <v>0</v>
      </c>
      <c r="E53" s="559">
        <f>4*508000</f>
        <v>2032000</v>
      </c>
      <c r="F53" s="476"/>
      <c r="G53" s="514"/>
      <c r="H53" s="531"/>
      <c r="I53" s="531"/>
      <c r="J53" s="514"/>
      <c r="K53" s="514"/>
      <c r="L53" s="514"/>
      <c r="M53" s="514"/>
      <c r="N53" s="514"/>
      <c r="O53" s="514"/>
    </row>
    <row r="54" spans="1:15" s="459" customFormat="1" x14ac:dyDescent="0.2">
      <c r="A54" s="560" t="s">
        <v>721</v>
      </c>
      <c r="B54" s="561" t="s">
        <v>723</v>
      </c>
      <c r="C54" s="557"/>
      <c r="D54" s="558">
        <v>0</v>
      </c>
      <c r="E54" s="559">
        <v>12850473</v>
      </c>
      <c r="F54" s="514"/>
      <c r="G54" s="514"/>
      <c r="H54" s="531"/>
      <c r="I54" s="531"/>
      <c r="J54" s="514"/>
      <c r="K54" s="514"/>
      <c r="L54" s="514"/>
      <c r="M54" s="514"/>
      <c r="N54" s="514"/>
      <c r="O54" s="514"/>
    </row>
    <row r="55" spans="1:15" s="459" customFormat="1" x14ac:dyDescent="0.2">
      <c r="A55" s="560" t="s">
        <v>721</v>
      </c>
      <c r="B55" s="561" t="s">
        <v>724</v>
      </c>
      <c r="C55" s="522">
        <v>44196</v>
      </c>
      <c r="D55" s="558">
        <v>5282573</v>
      </c>
      <c r="E55" s="567">
        <v>26187427</v>
      </c>
      <c r="F55" s="514"/>
      <c r="G55" s="514"/>
      <c r="H55" s="531"/>
      <c r="I55" s="531"/>
      <c r="J55" s="514"/>
      <c r="K55" s="514"/>
      <c r="L55" s="514"/>
      <c r="M55" s="514"/>
      <c r="N55" s="514"/>
      <c r="O55" s="514"/>
    </row>
    <row r="56" spans="1:15" s="459" customFormat="1" x14ac:dyDescent="0.2">
      <c r="A56" s="560" t="s">
        <v>721</v>
      </c>
      <c r="B56" s="561" t="s">
        <v>725</v>
      </c>
      <c r="C56" s="522">
        <v>43356</v>
      </c>
      <c r="D56" s="558">
        <v>1700000</v>
      </c>
      <c r="E56" s="559">
        <v>1700000</v>
      </c>
      <c r="F56" s="531"/>
      <c r="H56" s="531"/>
      <c r="I56" s="531"/>
      <c r="J56" s="514"/>
      <c r="K56" s="514"/>
      <c r="L56" s="514"/>
      <c r="M56" s="514"/>
      <c r="N56" s="514"/>
      <c r="O56" s="514"/>
    </row>
    <row r="57" spans="1:15" s="459" customFormat="1" x14ac:dyDescent="0.2">
      <c r="A57" s="526" t="s">
        <v>726</v>
      </c>
      <c r="B57" s="527" t="s">
        <v>727</v>
      </c>
      <c r="C57" s="522" t="s">
        <v>514</v>
      </c>
      <c r="D57" s="528">
        <f>103450*12+2*102620</f>
        <v>1446640</v>
      </c>
      <c r="E57" s="529">
        <v>1026810</v>
      </c>
      <c r="F57" s="476"/>
      <c r="G57" s="514"/>
      <c r="H57" s="514"/>
      <c r="I57" s="514"/>
      <c r="J57" s="514"/>
      <c r="K57" s="514"/>
      <c r="L57" s="514"/>
      <c r="M57" s="514"/>
      <c r="N57" s="514"/>
      <c r="O57" s="514"/>
    </row>
    <row r="58" spans="1:15" s="459" customFormat="1" x14ac:dyDescent="0.2">
      <c r="A58" s="526" t="s">
        <v>726</v>
      </c>
      <c r="B58" s="527" t="s">
        <v>728</v>
      </c>
      <c r="C58" s="522" t="s">
        <v>514</v>
      </c>
      <c r="D58" s="528">
        <f>11*24000+12*24000</f>
        <v>552000</v>
      </c>
      <c r="E58" s="529">
        <v>24000</v>
      </c>
      <c r="F58" s="531"/>
      <c r="G58" s="514"/>
      <c r="H58" s="514"/>
      <c r="I58" s="514"/>
      <c r="J58" s="514"/>
      <c r="K58" s="514"/>
      <c r="L58" s="514"/>
      <c r="M58" s="514"/>
      <c r="N58" s="514"/>
      <c r="O58" s="514"/>
    </row>
    <row r="59" spans="1:15" s="459" customFormat="1" x14ac:dyDescent="0.2">
      <c r="A59" s="526" t="s">
        <v>729</v>
      </c>
      <c r="B59" s="527" t="s">
        <v>730</v>
      </c>
      <c r="C59" s="522" t="s">
        <v>514</v>
      </c>
      <c r="D59" s="528">
        <f>330000*15</f>
        <v>4950000</v>
      </c>
      <c r="E59" s="529">
        <v>4819650</v>
      </c>
      <c r="F59" s="531"/>
      <c r="G59" s="531"/>
      <c r="H59" s="514"/>
      <c r="I59" s="514"/>
      <c r="J59" s="514"/>
      <c r="K59" s="514"/>
      <c r="L59" s="514"/>
      <c r="M59" s="514"/>
      <c r="N59" s="514"/>
      <c r="O59" s="514"/>
    </row>
    <row r="60" spans="1:15" s="459" customFormat="1" x14ac:dyDescent="0.2">
      <c r="A60" s="560" t="s">
        <v>731</v>
      </c>
      <c r="B60" s="561" t="s">
        <v>732</v>
      </c>
      <c r="C60" s="522" t="s">
        <v>514</v>
      </c>
      <c r="D60" s="528">
        <f>E60*E6</f>
        <v>4605160</v>
      </c>
      <c r="E60" s="564">
        <v>4605160</v>
      </c>
      <c r="G60" s="514"/>
      <c r="H60" s="514"/>
      <c r="I60" s="514"/>
      <c r="J60" s="514"/>
      <c r="K60" s="514"/>
      <c r="L60" s="514"/>
      <c r="M60" s="514"/>
      <c r="N60" s="514"/>
      <c r="O60" s="514"/>
    </row>
    <row r="61" spans="1:15" s="459" customFormat="1" x14ac:dyDescent="0.2">
      <c r="A61" s="560" t="s">
        <v>731</v>
      </c>
      <c r="B61" s="561" t="s">
        <v>733</v>
      </c>
      <c r="C61" s="522">
        <v>43100</v>
      </c>
      <c r="D61" s="528">
        <v>22225000</v>
      </c>
      <c r="E61" s="564">
        <v>0</v>
      </c>
      <c r="G61" s="514"/>
      <c r="H61" s="514"/>
      <c r="I61" s="514"/>
      <c r="J61" s="514"/>
      <c r="K61" s="514"/>
      <c r="L61" s="514"/>
      <c r="M61" s="514"/>
      <c r="N61" s="514"/>
      <c r="O61" s="514"/>
    </row>
    <row r="62" spans="1:15" s="459" customFormat="1" x14ac:dyDescent="0.2">
      <c r="A62" s="560" t="s">
        <v>731</v>
      </c>
      <c r="B62" s="561" t="s">
        <v>734</v>
      </c>
      <c r="C62" s="522" t="s">
        <v>596</v>
      </c>
      <c r="D62" s="601">
        <v>4945621</v>
      </c>
      <c r="E62" s="564">
        <v>0</v>
      </c>
      <c r="G62" s="514"/>
      <c r="H62" s="514"/>
      <c r="I62" s="514"/>
      <c r="J62" s="514"/>
      <c r="K62" s="514"/>
      <c r="L62" s="514"/>
      <c r="M62" s="514"/>
      <c r="N62" s="514"/>
      <c r="O62" s="514"/>
    </row>
    <row r="63" spans="1:15" s="459" customFormat="1" x14ac:dyDescent="0.2">
      <c r="A63" s="560" t="s">
        <v>735</v>
      </c>
      <c r="B63" s="561" t="s">
        <v>736</v>
      </c>
      <c r="C63" s="522">
        <v>43496</v>
      </c>
      <c r="D63" s="602">
        <v>381000</v>
      </c>
      <c r="E63" s="564">
        <v>0</v>
      </c>
      <c r="G63" s="514"/>
      <c r="H63" s="514"/>
      <c r="I63" s="514"/>
      <c r="J63" s="514"/>
      <c r="K63" s="514"/>
      <c r="L63" s="514"/>
      <c r="M63" s="514"/>
      <c r="N63" s="514"/>
      <c r="O63" s="514"/>
    </row>
    <row r="64" spans="1:15" s="459" customFormat="1" x14ac:dyDescent="0.2">
      <c r="A64" s="568" t="s">
        <v>531</v>
      </c>
      <c r="B64" s="530" t="s">
        <v>737</v>
      </c>
      <c r="C64" s="569" t="s">
        <v>514</v>
      </c>
      <c r="D64" s="528">
        <f>E64</f>
        <v>3766134</v>
      </c>
      <c r="E64" s="564">
        <v>3766134</v>
      </c>
      <c r="G64" s="514"/>
      <c r="H64" s="514"/>
      <c r="I64" s="514"/>
      <c r="J64" s="514"/>
      <c r="K64" s="514"/>
      <c r="L64" s="514"/>
      <c r="M64" s="514"/>
      <c r="N64" s="514"/>
      <c r="O64" s="514"/>
    </row>
    <row r="65" spans="1:15" s="476" customFormat="1" x14ac:dyDescent="0.2">
      <c r="A65" s="568" t="s">
        <v>531</v>
      </c>
      <c r="B65" s="530" t="s">
        <v>738</v>
      </c>
      <c r="C65" s="569" t="s">
        <v>514</v>
      </c>
      <c r="D65" s="528">
        <f>E65</f>
        <v>5831615</v>
      </c>
      <c r="E65" s="529">
        <v>5831615</v>
      </c>
      <c r="G65" s="531"/>
      <c r="H65" s="531"/>
      <c r="I65" s="531"/>
      <c r="J65" s="531"/>
      <c r="K65" s="531"/>
      <c r="L65" s="531"/>
      <c r="M65" s="531"/>
      <c r="N65" s="531"/>
      <c r="O65" s="531"/>
    </row>
    <row r="66" spans="1:15" s="459" customFormat="1" x14ac:dyDescent="0.2">
      <c r="A66" s="568" t="s">
        <v>531</v>
      </c>
      <c r="B66" s="530" t="s">
        <v>739</v>
      </c>
      <c r="C66" s="569" t="s">
        <v>514</v>
      </c>
      <c r="D66" s="528">
        <f>E66</f>
        <v>5386581</v>
      </c>
      <c r="E66" s="529">
        <v>5386581</v>
      </c>
      <c r="G66" s="514"/>
      <c r="H66" s="514"/>
      <c r="I66" s="514"/>
      <c r="J66" s="514"/>
      <c r="K66" s="514"/>
      <c r="L66" s="514"/>
      <c r="M66" s="514"/>
      <c r="N66" s="514"/>
      <c r="O66" s="514"/>
    </row>
    <row r="67" spans="1:15" s="459" customFormat="1" x14ac:dyDescent="0.2">
      <c r="A67" s="526" t="s">
        <v>531</v>
      </c>
      <c r="B67" s="527" t="s">
        <v>740</v>
      </c>
      <c r="C67" s="522" t="s">
        <v>514</v>
      </c>
      <c r="D67" s="528">
        <f>E67*E6</f>
        <v>7609049</v>
      </c>
      <c r="E67" s="529">
        <v>7609049</v>
      </c>
      <c r="G67" s="514"/>
      <c r="H67" s="514"/>
      <c r="I67" s="514"/>
      <c r="J67" s="514"/>
      <c r="K67" s="514"/>
      <c r="L67" s="514"/>
      <c r="M67" s="514"/>
      <c r="N67" s="514"/>
      <c r="O67" s="514"/>
    </row>
    <row r="68" spans="1:15" s="459" customFormat="1" x14ac:dyDescent="0.2">
      <c r="A68" s="526" t="s">
        <v>741</v>
      </c>
      <c r="B68" s="527" t="s">
        <v>742</v>
      </c>
      <c r="C68" s="522" t="s">
        <v>514</v>
      </c>
      <c r="D68" s="528">
        <v>5836000</v>
      </c>
      <c r="E68" s="529">
        <v>5836000</v>
      </c>
      <c r="G68" s="514"/>
      <c r="H68" s="514"/>
      <c r="I68" s="514"/>
      <c r="J68" s="514"/>
      <c r="K68" s="514"/>
      <c r="L68" s="514"/>
      <c r="M68" s="514"/>
      <c r="N68" s="514"/>
      <c r="O68" s="514"/>
    </row>
    <row r="69" spans="1:15" s="459" customFormat="1" x14ac:dyDescent="0.2">
      <c r="A69" s="526" t="s">
        <v>743</v>
      </c>
      <c r="B69" s="527" t="s">
        <v>744</v>
      </c>
      <c r="C69" s="522">
        <v>45046</v>
      </c>
      <c r="D69" s="528">
        <f>1130693+12*226116</f>
        <v>3844085</v>
      </c>
      <c r="E69" s="529">
        <v>1583151</v>
      </c>
      <c r="F69" s="476"/>
      <c r="G69" s="514"/>
      <c r="H69" s="514"/>
      <c r="I69" s="514"/>
      <c r="J69" s="514"/>
      <c r="K69" s="514"/>
      <c r="L69" s="514"/>
      <c r="M69" s="514"/>
      <c r="N69" s="514"/>
      <c r="O69" s="514"/>
    </row>
    <row r="70" spans="1:15" s="459" customFormat="1" x14ac:dyDescent="0.2">
      <c r="A70" s="526" t="s">
        <v>745</v>
      </c>
      <c r="B70" s="527" t="s">
        <v>746</v>
      </c>
      <c r="C70" s="522">
        <v>43860</v>
      </c>
      <c r="D70" s="528">
        <f>10911323*1.27</f>
        <v>13857380.210000001</v>
      </c>
      <c r="E70" s="529">
        <v>1704340</v>
      </c>
      <c r="G70" s="514"/>
      <c r="H70" s="514"/>
      <c r="I70" s="514"/>
      <c r="J70" s="514"/>
      <c r="K70" s="514"/>
      <c r="L70" s="514"/>
      <c r="M70" s="514"/>
      <c r="N70" s="514"/>
      <c r="O70" s="514"/>
    </row>
    <row r="71" spans="1:15" s="459" customFormat="1" x14ac:dyDescent="0.2">
      <c r="A71" s="526" t="s">
        <v>745</v>
      </c>
      <c r="B71" s="527" t="s">
        <v>747</v>
      </c>
      <c r="C71" s="522">
        <v>43860</v>
      </c>
      <c r="D71" s="528">
        <f>37598122*1.27</f>
        <v>47749614.939999998</v>
      </c>
      <c r="E71" s="529">
        <v>9119235</v>
      </c>
      <c r="G71" s="514"/>
      <c r="H71" s="514"/>
      <c r="I71" s="514"/>
      <c r="J71" s="514"/>
      <c r="K71" s="514"/>
      <c r="L71" s="514"/>
      <c r="M71" s="514"/>
      <c r="N71" s="514"/>
      <c r="O71" s="514"/>
    </row>
    <row r="72" spans="1:15" s="539" customFormat="1" x14ac:dyDescent="0.2">
      <c r="A72" s="570" t="s">
        <v>748</v>
      </c>
      <c r="B72" s="571" t="s">
        <v>749</v>
      </c>
      <c r="C72" s="522">
        <v>44196</v>
      </c>
      <c r="D72" s="528">
        <v>500000</v>
      </c>
      <c r="E72" s="614">
        <v>0</v>
      </c>
      <c r="G72" s="572"/>
      <c r="H72" s="573"/>
      <c r="I72" s="573"/>
      <c r="J72" s="573"/>
      <c r="K72" s="573"/>
      <c r="L72" s="573"/>
      <c r="M72" s="573"/>
      <c r="N72" s="573"/>
      <c r="O72" s="573"/>
    </row>
    <row r="73" spans="1:15" s="539" customFormat="1" x14ac:dyDescent="0.2">
      <c r="A73" s="570" t="s">
        <v>750</v>
      </c>
      <c r="B73" s="571" t="s">
        <v>751</v>
      </c>
      <c r="C73" s="522">
        <v>43419</v>
      </c>
      <c r="D73" s="528">
        <v>1535938</v>
      </c>
      <c r="E73" s="614">
        <v>0</v>
      </c>
      <c r="G73" s="572"/>
      <c r="H73" s="573"/>
      <c r="I73" s="573"/>
      <c r="J73" s="573"/>
      <c r="K73" s="573"/>
      <c r="L73" s="573"/>
      <c r="M73" s="573"/>
      <c r="N73" s="573"/>
      <c r="O73" s="573"/>
    </row>
    <row r="74" spans="1:15" s="539" customFormat="1" ht="25.5" x14ac:dyDescent="0.2">
      <c r="A74" s="570" t="s">
        <v>752</v>
      </c>
      <c r="B74" s="521" t="s">
        <v>753</v>
      </c>
      <c r="C74" s="522">
        <v>43890</v>
      </c>
      <c r="D74" s="528">
        <f>4295927/2</f>
        <v>2147963.5</v>
      </c>
      <c r="E74" s="614">
        <v>1413129</v>
      </c>
      <c r="G74" s="572"/>
      <c r="H74" s="573"/>
      <c r="I74" s="573"/>
      <c r="J74" s="573"/>
      <c r="K74" s="573"/>
      <c r="L74" s="573"/>
      <c r="M74" s="573"/>
      <c r="N74" s="573"/>
      <c r="O74" s="573"/>
    </row>
    <row r="75" spans="1:15" s="539" customFormat="1" ht="25.5" x14ac:dyDescent="0.2">
      <c r="A75" s="570" t="s">
        <v>754</v>
      </c>
      <c r="B75" s="574" t="s">
        <v>755</v>
      </c>
      <c r="C75" s="569" t="s">
        <v>756</v>
      </c>
      <c r="D75" s="528">
        <f>420000</f>
        <v>420000</v>
      </c>
      <c r="E75" s="614">
        <v>0</v>
      </c>
      <c r="G75" s="572"/>
      <c r="H75" s="573"/>
      <c r="I75" s="573"/>
      <c r="J75" s="573"/>
      <c r="K75" s="573"/>
      <c r="L75" s="573"/>
      <c r="M75" s="573"/>
      <c r="N75" s="573"/>
      <c r="O75" s="573"/>
    </row>
    <row r="76" spans="1:15" s="539" customFormat="1" ht="38.25" x14ac:dyDescent="0.2">
      <c r="A76" s="570" t="s">
        <v>757</v>
      </c>
      <c r="B76" s="571" t="s">
        <v>758</v>
      </c>
      <c r="C76" s="487" t="s">
        <v>759</v>
      </c>
      <c r="D76" s="528">
        <f>3650000*1.27</f>
        <v>4635500</v>
      </c>
      <c r="E76" s="614">
        <v>0</v>
      </c>
      <c r="G76" s="572"/>
      <c r="H76" s="573"/>
      <c r="I76" s="573"/>
      <c r="J76" s="573"/>
      <c r="K76" s="573"/>
      <c r="L76" s="573"/>
      <c r="M76" s="573"/>
      <c r="N76" s="573"/>
      <c r="O76" s="573"/>
    </row>
    <row r="77" spans="1:15" s="459" customFormat="1" x14ac:dyDescent="0.2">
      <c r="A77" s="575" t="s">
        <v>760</v>
      </c>
      <c r="B77" s="474" t="s">
        <v>761</v>
      </c>
      <c r="C77" s="481" t="s">
        <v>514</v>
      </c>
      <c r="D77" s="543">
        <f>E77/3*5</f>
        <v>592828.33333333337</v>
      </c>
      <c r="E77" s="535">
        <v>355697</v>
      </c>
      <c r="F77" s="476"/>
      <c r="G77" s="531"/>
      <c r="H77" s="514"/>
      <c r="I77" s="514"/>
      <c r="J77" s="514"/>
      <c r="K77" s="514"/>
      <c r="L77" s="514"/>
      <c r="M77" s="514"/>
      <c r="N77" s="514"/>
      <c r="O77" s="514"/>
    </row>
    <row r="78" spans="1:15" s="459" customFormat="1" x14ac:dyDescent="0.2">
      <c r="A78" s="575" t="s">
        <v>760</v>
      </c>
      <c r="B78" s="474" t="s">
        <v>762</v>
      </c>
      <c r="C78" s="569" t="s">
        <v>514</v>
      </c>
      <c r="D78" s="543">
        <v>164664</v>
      </c>
      <c r="E78" s="535">
        <v>164664</v>
      </c>
      <c r="F78" s="476"/>
      <c r="G78" s="514"/>
      <c r="H78" s="514"/>
      <c r="I78" s="514"/>
      <c r="J78" s="514"/>
      <c r="K78" s="514"/>
      <c r="L78" s="514"/>
      <c r="M78" s="514"/>
      <c r="N78" s="514"/>
      <c r="O78" s="514"/>
    </row>
    <row r="79" spans="1:15" s="459" customFormat="1" x14ac:dyDescent="0.2">
      <c r="A79" s="575" t="s">
        <v>760</v>
      </c>
      <c r="B79" s="474" t="s">
        <v>763</v>
      </c>
      <c r="C79" s="481" t="s">
        <v>514</v>
      </c>
      <c r="D79" s="543">
        <f>E79/8*16</f>
        <v>944094</v>
      </c>
      <c r="E79" s="535">
        <v>472047</v>
      </c>
      <c r="F79" s="476"/>
      <c r="G79" s="514"/>
      <c r="H79" s="514"/>
      <c r="I79" s="514"/>
      <c r="J79" s="514"/>
      <c r="K79" s="514"/>
      <c r="L79" s="514"/>
      <c r="M79" s="514"/>
      <c r="N79" s="514"/>
      <c r="O79" s="514"/>
    </row>
    <row r="80" spans="1:15" s="459" customFormat="1" x14ac:dyDescent="0.2">
      <c r="A80" s="575" t="s">
        <v>760</v>
      </c>
      <c r="B80" s="474" t="s">
        <v>764</v>
      </c>
      <c r="C80" s="481" t="s">
        <v>514</v>
      </c>
      <c r="D80" s="543">
        <v>290665</v>
      </c>
      <c r="E80" s="535">
        <v>290665</v>
      </c>
      <c r="F80" s="476"/>
      <c r="G80" s="514"/>
      <c r="H80" s="514"/>
      <c r="I80" s="514"/>
      <c r="J80" s="514"/>
      <c r="K80" s="514"/>
      <c r="L80" s="514"/>
      <c r="M80" s="514"/>
      <c r="N80" s="514"/>
      <c r="O80" s="514"/>
    </row>
    <row r="81" spans="1:15" s="459" customFormat="1" x14ac:dyDescent="0.2">
      <c r="A81" s="575" t="s">
        <v>760</v>
      </c>
      <c r="B81" s="474" t="s">
        <v>765</v>
      </c>
      <c r="C81" s="481" t="s">
        <v>514</v>
      </c>
      <c r="D81" s="543">
        <f>15735*4</f>
        <v>62940</v>
      </c>
      <c r="E81" s="535">
        <v>0</v>
      </c>
      <c r="F81" s="476"/>
      <c r="G81" s="514"/>
      <c r="H81" s="514"/>
      <c r="I81" s="514"/>
      <c r="J81" s="514"/>
      <c r="K81" s="514"/>
      <c r="L81" s="514"/>
      <c r="M81" s="514"/>
      <c r="N81" s="514"/>
      <c r="O81" s="514"/>
    </row>
    <row r="82" spans="1:15" s="459" customFormat="1" x14ac:dyDescent="0.2">
      <c r="A82" s="575" t="s">
        <v>766</v>
      </c>
      <c r="B82" s="576" t="s">
        <v>767</v>
      </c>
      <c r="C82" s="481" t="s">
        <v>514</v>
      </c>
      <c r="D82" s="543">
        <v>18000</v>
      </c>
      <c r="E82" s="535">
        <f>4500*4</f>
        <v>18000</v>
      </c>
      <c r="F82" s="476"/>
      <c r="G82" s="514"/>
      <c r="H82" s="514"/>
      <c r="I82" s="514"/>
      <c r="J82" s="514"/>
      <c r="K82" s="514"/>
      <c r="L82" s="514"/>
      <c r="M82" s="514"/>
      <c r="N82" s="514"/>
      <c r="O82" s="514"/>
    </row>
    <row r="83" spans="1:15" s="459" customFormat="1" x14ac:dyDescent="0.2">
      <c r="A83" s="568" t="s">
        <v>768</v>
      </c>
      <c r="B83" s="530" t="s">
        <v>769</v>
      </c>
      <c r="C83" s="569" t="s">
        <v>514</v>
      </c>
      <c r="D83" s="528">
        <f>E83</f>
        <v>391479</v>
      </c>
      <c r="E83" s="529">
        <v>391479</v>
      </c>
      <c r="G83" s="514"/>
      <c r="H83" s="514"/>
      <c r="I83" s="514"/>
      <c r="J83" s="514"/>
      <c r="K83" s="514"/>
      <c r="L83" s="514"/>
      <c r="M83" s="514"/>
      <c r="N83" s="514"/>
      <c r="O83" s="514"/>
    </row>
    <row r="84" spans="1:15" s="459" customFormat="1" x14ac:dyDescent="0.2">
      <c r="A84" s="575" t="s">
        <v>768</v>
      </c>
      <c r="B84" s="576" t="s">
        <v>770</v>
      </c>
      <c r="C84" s="481" t="s">
        <v>514</v>
      </c>
      <c r="D84" s="528">
        <v>203000</v>
      </c>
      <c r="E84" s="535">
        <v>203000</v>
      </c>
      <c r="G84" s="514"/>
      <c r="H84" s="514"/>
      <c r="I84" s="514"/>
      <c r="J84" s="514"/>
      <c r="K84" s="514"/>
      <c r="L84" s="514"/>
      <c r="M84" s="514"/>
      <c r="N84" s="514"/>
      <c r="O84" s="514"/>
    </row>
    <row r="85" spans="1:15" s="459" customFormat="1" x14ac:dyDescent="0.2">
      <c r="A85" s="575" t="s">
        <v>771</v>
      </c>
      <c r="B85" s="576" t="s">
        <v>772</v>
      </c>
      <c r="C85" s="481">
        <v>43524</v>
      </c>
      <c r="D85" s="528">
        <v>449580</v>
      </c>
      <c r="E85" s="535">
        <v>449580</v>
      </c>
      <c r="G85" s="514"/>
      <c r="H85" s="514"/>
      <c r="I85" s="514"/>
      <c r="J85" s="514"/>
      <c r="K85" s="514"/>
      <c r="L85" s="514"/>
      <c r="M85" s="514"/>
      <c r="N85" s="514"/>
      <c r="O85" s="514"/>
    </row>
    <row r="86" spans="1:15" s="459" customFormat="1" x14ac:dyDescent="0.2">
      <c r="A86" s="575" t="s">
        <v>773</v>
      </c>
      <c r="B86" s="576" t="s">
        <v>774</v>
      </c>
      <c r="C86" s="481">
        <v>43496</v>
      </c>
      <c r="D86" s="528">
        <v>3000000</v>
      </c>
      <c r="E86" s="535">
        <v>0</v>
      </c>
      <c r="G86" s="514"/>
      <c r="H86" s="514"/>
      <c r="I86" s="514"/>
      <c r="J86" s="514"/>
      <c r="K86" s="514"/>
      <c r="L86" s="514"/>
      <c r="M86" s="514"/>
      <c r="N86" s="514"/>
      <c r="O86" s="514"/>
    </row>
    <row r="87" spans="1:15" s="459" customFormat="1" x14ac:dyDescent="0.2">
      <c r="A87" s="575" t="s">
        <v>775</v>
      </c>
      <c r="B87" s="576" t="s">
        <v>776</v>
      </c>
      <c r="C87" s="481">
        <v>43496</v>
      </c>
      <c r="D87" s="528">
        <v>1261285</v>
      </c>
      <c r="E87" s="535">
        <v>1438715</v>
      </c>
      <c r="F87" s="514"/>
      <c r="G87" s="514"/>
      <c r="H87" s="514"/>
      <c r="I87" s="514"/>
      <c r="J87" s="514"/>
      <c r="K87" s="514"/>
      <c r="L87" s="514"/>
      <c r="M87" s="514"/>
      <c r="N87" s="514"/>
      <c r="O87" s="514"/>
    </row>
    <row r="88" spans="1:15" s="459" customFormat="1" x14ac:dyDescent="0.2">
      <c r="A88" s="575" t="s">
        <v>777</v>
      </c>
      <c r="B88" s="576" t="s">
        <v>778</v>
      </c>
      <c r="C88" s="481">
        <v>43434</v>
      </c>
      <c r="D88" s="528">
        <v>2700000</v>
      </c>
      <c r="E88" s="535">
        <v>0</v>
      </c>
      <c r="F88" s="514"/>
      <c r="G88" s="514"/>
      <c r="H88" s="514"/>
      <c r="I88" s="514"/>
      <c r="J88" s="514"/>
      <c r="K88" s="514"/>
      <c r="L88" s="514"/>
      <c r="M88" s="514"/>
      <c r="N88" s="514"/>
      <c r="O88" s="514"/>
    </row>
    <row r="89" spans="1:15" s="459" customFormat="1" x14ac:dyDescent="0.2">
      <c r="A89" s="575" t="s">
        <v>779</v>
      </c>
      <c r="B89" s="576" t="s">
        <v>780</v>
      </c>
      <c r="C89" s="481" t="s">
        <v>514</v>
      </c>
      <c r="D89" s="528">
        <v>64530</v>
      </c>
      <c r="E89" s="535">
        <v>64530</v>
      </c>
      <c r="G89" s="514"/>
      <c r="H89" s="514"/>
      <c r="I89" s="514"/>
      <c r="J89" s="514"/>
      <c r="K89" s="514"/>
      <c r="L89" s="514"/>
      <c r="M89" s="514"/>
      <c r="N89" s="514"/>
      <c r="O89" s="514"/>
    </row>
    <row r="90" spans="1:15" s="541" customFormat="1" x14ac:dyDescent="0.2">
      <c r="A90" s="568" t="s">
        <v>781</v>
      </c>
      <c r="B90" s="577" t="s">
        <v>782</v>
      </c>
      <c r="C90" s="569">
        <v>43419</v>
      </c>
      <c r="D90" s="581" t="s">
        <v>783</v>
      </c>
      <c r="E90" s="615">
        <v>0</v>
      </c>
      <c r="G90" s="573"/>
      <c r="H90" s="540"/>
      <c r="I90" s="540"/>
      <c r="J90" s="540"/>
      <c r="K90" s="540"/>
      <c r="L90" s="540"/>
      <c r="M90" s="540"/>
      <c r="N90" s="540"/>
      <c r="O90" s="540"/>
    </row>
    <row r="91" spans="1:15" s="476" customFormat="1" x14ac:dyDescent="0.2">
      <c r="A91" s="568" t="s">
        <v>784</v>
      </c>
      <c r="B91" s="530" t="s">
        <v>785</v>
      </c>
      <c r="C91" s="569">
        <v>43978</v>
      </c>
      <c r="D91" s="528">
        <v>858637</v>
      </c>
      <c r="E91" s="529">
        <v>0</v>
      </c>
      <c r="G91" s="531"/>
      <c r="H91" s="531"/>
      <c r="I91" s="531"/>
      <c r="J91" s="531"/>
      <c r="K91" s="531"/>
      <c r="L91" s="531"/>
      <c r="M91" s="531"/>
      <c r="N91" s="531"/>
      <c r="O91" s="531"/>
    </row>
    <row r="92" spans="1:15" s="476" customFormat="1" x14ac:dyDescent="0.2">
      <c r="A92" s="568" t="s">
        <v>786</v>
      </c>
      <c r="B92" s="530" t="s">
        <v>787</v>
      </c>
      <c r="C92" s="569" t="s">
        <v>514</v>
      </c>
      <c r="D92" s="528">
        <f>13*5080</f>
        <v>66040</v>
      </c>
      <c r="E92" s="529">
        <v>50800</v>
      </c>
      <c r="G92" s="531"/>
      <c r="H92" s="531"/>
      <c r="I92" s="531"/>
      <c r="J92" s="531"/>
      <c r="K92" s="531"/>
      <c r="L92" s="531"/>
      <c r="M92" s="531"/>
      <c r="N92" s="531"/>
      <c r="O92" s="531"/>
    </row>
    <row r="93" spans="1:15" s="476" customFormat="1" x14ac:dyDescent="0.2">
      <c r="A93" s="568" t="s">
        <v>788</v>
      </c>
      <c r="B93" s="578" t="s">
        <v>789</v>
      </c>
      <c r="C93" s="569" t="s">
        <v>514</v>
      </c>
      <c r="D93" s="528">
        <v>147688</v>
      </c>
      <c r="E93" s="564" t="s">
        <v>790</v>
      </c>
      <c r="G93" s="531"/>
      <c r="H93" s="531"/>
      <c r="I93" s="531"/>
      <c r="J93" s="531"/>
      <c r="K93" s="531"/>
      <c r="L93" s="531"/>
      <c r="M93" s="531"/>
      <c r="N93" s="531"/>
      <c r="O93" s="531"/>
    </row>
    <row r="94" spans="1:15" s="459" customFormat="1" x14ac:dyDescent="0.2">
      <c r="A94" s="568" t="s">
        <v>791</v>
      </c>
      <c r="B94" s="578" t="s">
        <v>792</v>
      </c>
      <c r="C94" s="522" t="s">
        <v>668</v>
      </c>
      <c r="D94" s="528">
        <f>12*30000+30000</f>
        <v>390000</v>
      </c>
      <c r="E94" s="529">
        <v>360000</v>
      </c>
      <c r="G94" s="514"/>
      <c r="H94" s="514"/>
      <c r="I94" s="514"/>
      <c r="J94" s="514"/>
      <c r="K94" s="514"/>
      <c r="L94" s="514"/>
      <c r="M94" s="514"/>
      <c r="N94" s="514"/>
      <c r="O94" s="514"/>
    </row>
    <row r="95" spans="1:15" s="584" customFormat="1" x14ac:dyDescent="0.2">
      <c r="A95" s="579" t="s">
        <v>793</v>
      </c>
      <c r="B95" s="580" t="s">
        <v>794</v>
      </c>
      <c r="C95" s="569" t="s">
        <v>514</v>
      </c>
      <c r="D95" s="581">
        <v>100000</v>
      </c>
      <c r="E95" s="582">
        <v>100000</v>
      </c>
      <c r="F95" s="476"/>
      <c r="G95" s="583"/>
      <c r="H95" s="583"/>
      <c r="I95" s="583"/>
      <c r="J95" s="583"/>
      <c r="K95" s="583"/>
      <c r="L95" s="583"/>
      <c r="M95" s="583"/>
      <c r="N95" s="583"/>
      <c r="O95" s="583"/>
    </row>
    <row r="96" spans="1:15" x14ac:dyDescent="0.2">
      <c r="A96" s="579" t="s">
        <v>795</v>
      </c>
      <c r="B96" s="580" t="s">
        <v>796</v>
      </c>
      <c r="C96" s="569">
        <v>43539</v>
      </c>
      <c r="D96" s="581">
        <f>E96</f>
        <v>6612765</v>
      </c>
      <c r="E96" s="582">
        <f>3038285+1565467+2009013</f>
        <v>6612765</v>
      </c>
      <c r="F96" s="476"/>
      <c r="G96" s="563"/>
      <c r="H96" s="563"/>
      <c r="I96" s="563"/>
      <c r="J96" s="563"/>
      <c r="K96" s="563"/>
      <c r="L96" s="563"/>
      <c r="M96" s="563"/>
      <c r="N96" s="563"/>
      <c r="O96" s="563"/>
    </row>
    <row r="97" spans="1:15" x14ac:dyDescent="0.2">
      <c r="A97" s="579" t="s">
        <v>795</v>
      </c>
      <c r="B97" s="580" t="s">
        <v>797</v>
      </c>
      <c r="C97" s="569">
        <v>43830</v>
      </c>
      <c r="D97" s="581">
        <f>E97</f>
        <v>20766405</v>
      </c>
      <c r="E97" s="582">
        <v>20766405</v>
      </c>
      <c r="F97" s="476"/>
      <c r="G97" s="563"/>
      <c r="H97" s="563"/>
      <c r="I97" s="563"/>
      <c r="J97" s="563"/>
      <c r="K97" s="563"/>
      <c r="L97" s="563"/>
      <c r="M97" s="563"/>
      <c r="N97" s="563"/>
      <c r="O97" s="563"/>
    </row>
    <row r="98" spans="1:15" x14ac:dyDescent="0.2">
      <c r="A98" s="579" t="s">
        <v>795</v>
      </c>
      <c r="B98" s="580" t="s">
        <v>798</v>
      </c>
      <c r="C98" s="569">
        <v>43454</v>
      </c>
      <c r="D98" s="581" t="s">
        <v>535</v>
      </c>
      <c r="E98" s="582">
        <v>0</v>
      </c>
      <c r="F98" s="476"/>
      <c r="G98" s="563"/>
      <c r="H98" s="563"/>
      <c r="I98" s="563"/>
      <c r="J98" s="563"/>
      <c r="K98" s="563"/>
      <c r="L98" s="563"/>
      <c r="M98" s="563"/>
      <c r="N98" s="563"/>
      <c r="O98" s="563"/>
    </row>
    <row r="99" spans="1:15" x14ac:dyDescent="0.2">
      <c r="A99" s="579" t="s">
        <v>795</v>
      </c>
      <c r="B99" s="580" t="s">
        <v>799</v>
      </c>
      <c r="C99" s="569">
        <v>43431</v>
      </c>
      <c r="D99" s="581" t="s">
        <v>800</v>
      </c>
      <c r="E99" s="582">
        <v>0</v>
      </c>
      <c r="F99" s="476"/>
      <c r="G99" s="563"/>
      <c r="H99" s="563"/>
      <c r="I99" s="563"/>
      <c r="J99" s="563"/>
      <c r="K99" s="563"/>
      <c r="L99" s="563"/>
      <c r="M99" s="563"/>
      <c r="N99" s="563"/>
      <c r="O99" s="563"/>
    </row>
    <row r="100" spans="1:15" x14ac:dyDescent="0.2">
      <c r="A100" s="579" t="s">
        <v>795</v>
      </c>
      <c r="B100" s="580" t="s">
        <v>801</v>
      </c>
      <c r="C100" s="569">
        <v>43479</v>
      </c>
      <c r="D100" s="581">
        <v>6444781</v>
      </c>
      <c r="E100" s="582">
        <v>0</v>
      </c>
      <c r="F100" s="476"/>
      <c r="G100" s="563"/>
      <c r="H100" s="563"/>
      <c r="I100" s="563"/>
      <c r="J100" s="563"/>
      <c r="K100" s="563"/>
      <c r="L100" s="563"/>
      <c r="M100" s="563"/>
      <c r="N100" s="563"/>
      <c r="O100" s="563"/>
    </row>
    <row r="101" spans="1:15" x14ac:dyDescent="0.2">
      <c r="A101" s="579" t="s">
        <v>795</v>
      </c>
      <c r="B101" s="580" t="s">
        <v>802</v>
      </c>
      <c r="C101" s="569">
        <v>43511</v>
      </c>
      <c r="D101" s="581">
        <f>1181029*1.27</f>
        <v>1499906.83</v>
      </c>
      <c r="E101" s="582">
        <v>0</v>
      </c>
      <c r="F101" s="476"/>
      <c r="G101" s="563"/>
      <c r="H101" s="563"/>
      <c r="I101" s="563"/>
      <c r="J101" s="563"/>
      <c r="K101" s="563"/>
      <c r="L101" s="563"/>
      <c r="M101" s="563"/>
      <c r="N101" s="563"/>
      <c r="O101" s="563"/>
    </row>
    <row r="102" spans="1:15" s="584" customFormat="1" x14ac:dyDescent="0.2">
      <c r="A102" s="579" t="s">
        <v>803</v>
      </c>
      <c r="B102" s="580" t="s">
        <v>804</v>
      </c>
      <c r="C102" s="569" t="s">
        <v>514</v>
      </c>
      <c r="D102" s="581">
        <v>73587</v>
      </c>
      <c r="E102" s="582">
        <v>73587</v>
      </c>
      <c r="F102" s="476"/>
      <c r="G102" s="583"/>
      <c r="H102" s="583"/>
      <c r="I102" s="583"/>
      <c r="J102" s="583"/>
      <c r="K102" s="583"/>
      <c r="L102" s="583"/>
      <c r="M102" s="583"/>
      <c r="N102" s="583"/>
      <c r="O102" s="583"/>
    </row>
    <row r="103" spans="1:15" s="584" customFormat="1" ht="25.5" x14ac:dyDescent="0.2">
      <c r="A103" s="579" t="s">
        <v>805</v>
      </c>
      <c r="B103" s="580" t="s">
        <v>806</v>
      </c>
      <c r="C103" s="585" t="s">
        <v>807</v>
      </c>
      <c r="D103" s="581">
        <f>2000000*1.27</f>
        <v>2540000</v>
      </c>
      <c r="E103" s="582">
        <v>0</v>
      </c>
      <c r="F103" s="476"/>
      <c r="G103" s="583"/>
      <c r="H103" s="583"/>
      <c r="I103" s="583"/>
      <c r="J103" s="583"/>
      <c r="K103" s="583"/>
      <c r="L103" s="583"/>
      <c r="M103" s="583"/>
      <c r="N103" s="583"/>
      <c r="O103" s="583"/>
    </row>
    <row r="104" spans="1:15" s="584" customFormat="1" x14ac:dyDescent="0.2">
      <c r="A104" s="568" t="s">
        <v>808</v>
      </c>
      <c r="B104" s="530" t="s">
        <v>614</v>
      </c>
      <c r="C104" s="569" t="s">
        <v>514</v>
      </c>
      <c r="D104" s="528">
        <v>12000</v>
      </c>
      <c r="E104" s="529">
        <v>0</v>
      </c>
      <c r="F104" s="476"/>
      <c r="G104" s="583"/>
      <c r="H104" s="583"/>
      <c r="I104" s="583"/>
      <c r="J104" s="583"/>
      <c r="K104" s="583"/>
      <c r="L104" s="583"/>
      <c r="M104" s="583"/>
      <c r="N104" s="583"/>
      <c r="O104" s="583"/>
    </row>
    <row r="105" spans="1:15" s="584" customFormat="1" x14ac:dyDescent="0.2">
      <c r="A105" s="568" t="s">
        <v>585</v>
      </c>
      <c r="B105" s="530" t="s">
        <v>809</v>
      </c>
      <c r="C105" s="569" t="s">
        <v>514</v>
      </c>
      <c r="D105" s="528">
        <f>14*1905</f>
        <v>26670</v>
      </c>
      <c r="E105" s="529">
        <v>19050</v>
      </c>
      <c r="F105" s="476"/>
      <c r="G105" s="583"/>
      <c r="H105" s="583"/>
      <c r="I105" s="583"/>
      <c r="J105" s="583"/>
      <c r="K105" s="583"/>
      <c r="L105" s="583"/>
      <c r="M105" s="583"/>
      <c r="N105" s="583"/>
      <c r="O105" s="583"/>
    </row>
    <row r="106" spans="1:15" x14ac:dyDescent="0.2">
      <c r="A106" s="568" t="s">
        <v>585</v>
      </c>
      <c r="B106" s="530" t="s">
        <v>810</v>
      </c>
      <c r="C106" s="569" t="s">
        <v>514</v>
      </c>
      <c r="D106" s="528">
        <f>E106*12</f>
        <v>89904</v>
      </c>
      <c r="E106" s="529">
        <v>7492</v>
      </c>
      <c r="F106" s="476"/>
      <c r="G106" s="563"/>
      <c r="H106" s="563"/>
      <c r="I106" s="563"/>
      <c r="J106" s="563"/>
      <c r="K106" s="563"/>
      <c r="L106" s="563"/>
      <c r="M106" s="563"/>
      <c r="N106" s="563"/>
      <c r="O106" s="563"/>
    </row>
    <row r="107" spans="1:15" x14ac:dyDescent="0.2">
      <c r="A107" s="568" t="s">
        <v>585</v>
      </c>
      <c r="B107" s="530" t="s">
        <v>811</v>
      </c>
      <c r="C107" s="569" t="s">
        <v>514</v>
      </c>
      <c r="D107" s="528">
        <f>E107</f>
        <v>226405</v>
      </c>
      <c r="E107" s="529">
        <v>226405</v>
      </c>
      <c r="F107" s="476"/>
      <c r="G107" s="563"/>
      <c r="H107" s="563"/>
      <c r="I107" s="563"/>
      <c r="J107" s="563"/>
      <c r="K107" s="563"/>
      <c r="L107" s="563"/>
      <c r="M107" s="563"/>
      <c r="N107" s="563"/>
      <c r="O107" s="563"/>
    </row>
    <row r="108" spans="1:15" s="539" customFormat="1" x14ac:dyDescent="0.2">
      <c r="A108" s="586" t="s">
        <v>812</v>
      </c>
      <c r="B108" s="577" t="s">
        <v>813</v>
      </c>
      <c r="C108" s="569" t="s">
        <v>756</v>
      </c>
      <c r="D108" s="528" t="s">
        <v>814</v>
      </c>
      <c r="E108" s="614">
        <v>0</v>
      </c>
      <c r="G108" s="573"/>
      <c r="H108" s="573"/>
      <c r="I108" s="573"/>
      <c r="J108" s="573"/>
      <c r="K108" s="573"/>
      <c r="L108" s="573"/>
      <c r="M108" s="573"/>
      <c r="N108" s="573"/>
      <c r="O108" s="573"/>
    </row>
    <row r="109" spans="1:15" s="539" customFormat="1" x14ac:dyDescent="0.2">
      <c r="A109" s="586" t="s">
        <v>812</v>
      </c>
      <c r="B109" s="577" t="s">
        <v>815</v>
      </c>
      <c r="C109" s="569">
        <v>43455</v>
      </c>
      <c r="D109" s="528" t="s">
        <v>816</v>
      </c>
      <c r="E109" s="614">
        <v>0</v>
      </c>
      <c r="G109" s="573"/>
      <c r="H109" s="573"/>
      <c r="I109" s="573"/>
      <c r="J109" s="573"/>
      <c r="K109" s="573"/>
      <c r="L109" s="573"/>
      <c r="M109" s="573"/>
      <c r="N109" s="573"/>
      <c r="O109" s="573"/>
    </row>
    <row r="110" spans="1:15" s="539" customFormat="1" x14ac:dyDescent="0.2">
      <c r="A110" s="586" t="s">
        <v>812</v>
      </c>
      <c r="B110" s="577" t="s">
        <v>817</v>
      </c>
      <c r="C110" s="569" t="s">
        <v>756</v>
      </c>
      <c r="D110" s="528" t="s">
        <v>818</v>
      </c>
      <c r="E110" s="614">
        <v>0</v>
      </c>
      <c r="G110" s="573"/>
      <c r="H110" s="573"/>
      <c r="I110" s="573"/>
      <c r="J110" s="573"/>
      <c r="K110" s="573"/>
      <c r="L110" s="573"/>
      <c r="M110" s="573"/>
      <c r="N110" s="573"/>
      <c r="O110" s="573"/>
    </row>
    <row r="111" spans="1:15" x14ac:dyDescent="0.2">
      <c r="A111" s="526" t="s">
        <v>819</v>
      </c>
      <c r="B111" s="527" t="s">
        <v>820</v>
      </c>
      <c r="C111" s="587" t="s">
        <v>514</v>
      </c>
      <c r="D111" s="528">
        <f>E111*E6</f>
        <v>3355060</v>
      </c>
      <c r="E111" s="529">
        <v>3355060</v>
      </c>
      <c r="G111" s="563"/>
      <c r="H111" s="563"/>
      <c r="I111" s="563"/>
      <c r="J111" s="563"/>
      <c r="K111" s="563"/>
      <c r="L111" s="563"/>
      <c r="M111" s="563"/>
      <c r="N111" s="563"/>
      <c r="O111" s="563"/>
    </row>
    <row r="112" spans="1:15" s="584" customFormat="1" x14ac:dyDescent="0.2">
      <c r="A112" s="526" t="s">
        <v>821</v>
      </c>
      <c r="B112" s="527" t="s">
        <v>822</v>
      </c>
      <c r="C112" s="587" t="s">
        <v>514</v>
      </c>
      <c r="D112" s="528" t="s">
        <v>823</v>
      </c>
      <c r="E112" s="529">
        <v>0</v>
      </c>
      <c r="F112" s="476"/>
      <c r="G112" s="583"/>
      <c r="H112" s="583"/>
      <c r="I112" s="583"/>
      <c r="J112" s="583"/>
      <c r="K112" s="583"/>
      <c r="L112" s="583"/>
      <c r="M112" s="583"/>
      <c r="N112" s="583"/>
      <c r="O112" s="583"/>
    </row>
    <row r="113" spans="1:15" s="584" customFormat="1" x14ac:dyDescent="0.2">
      <c r="A113" s="588" t="s">
        <v>824</v>
      </c>
      <c r="B113" s="589" t="s">
        <v>825</v>
      </c>
      <c r="C113" s="590" t="s">
        <v>514</v>
      </c>
      <c r="D113" s="550">
        <f>E113</f>
        <v>8412861</v>
      </c>
      <c r="E113" s="591">
        <v>8412861</v>
      </c>
      <c r="F113" s="476"/>
      <c r="G113" s="583"/>
      <c r="H113" s="583"/>
      <c r="I113" s="583"/>
      <c r="J113" s="583"/>
      <c r="K113" s="592"/>
      <c r="L113" s="583"/>
      <c r="M113" s="583"/>
      <c r="N113" s="583"/>
      <c r="O113" s="583"/>
    </row>
    <row r="114" spans="1:15" s="584" customFormat="1" x14ac:dyDescent="0.2">
      <c r="A114" s="526" t="s">
        <v>826</v>
      </c>
      <c r="B114" s="527" t="s">
        <v>827</v>
      </c>
      <c r="C114" s="587" t="s">
        <v>514</v>
      </c>
      <c r="D114" s="528">
        <f>20003+12*45500</f>
        <v>566003</v>
      </c>
      <c r="E114" s="529">
        <v>274007</v>
      </c>
      <c r="F114" s="476"/>
      <c r="G114" s="583"/>
      <c r="H114" s="583"/>
      <c r="I114" s="583"/>
      <c r="J114" s="583"/>
      <c r="K114" s="583"/>
      <c r="L114" s="583"/>
      <c r="M114" s="583"/>
      <c r="N114" s="583"/>
      <c r="O114" s="583"/>
    </row>
    <row r="115" spans="1:15" s="584" customFormat="1" x14ac:dyDescent="0.2">
      <c r="A115" s="526" t="s">
        <v>828</v>
      </c>
      <c r="B115" s="527" t="s">
        <v>829</v>
      </c>
      <c r="C115" s="587" t="s">
        <v>514</v>
      </c>
      <c r="D115" s="528">
        <v>23070</v>
      </c>
      <c r="E115" s="529">
        <v>7690</v>
      </c>
      <c r="F115" s="476"/>
      <c r="G115" s="583"/>
      <c r="H115" s="583"/>
      <c r="I115" s="583"/>
      <c r="J115" s="583"/>
      <c r="K115" s="583"/>
      <c r="L115" s="583"/>
      <c r="M115" s="583"/>
      <c r="N115" s="583"/>
      <c r="O115" s="583"/>
    </row>
    <row r="116" spans="1:15" s="584" customFormat="1" x14ac:dyDescent="0.2">
      <c r="A116" s="526" t="s">
        <v>830</v>
      </c>
      <c r="B116" s="527" t="s">
        <v>831</v>
      </c>
      <c r="C116" s="522">
        <v>42822</v>
      </c>
      <c r="D116" s="528">
        <f>2200000*1.27</f>
        <v>2794000</v>
      </c>
      <c r="E116" s="529">
        <v>0</v>
      </c>
      <c r="F116" s="476"/>
      <c r="G116" s="583"/>
      <c r="H116" s="583"/>
      <c r="I116" s="583"/>
      <c r="J116" s="583"/>
      <c r="K116" s="583"/>
      <c r="L116" s="583"/>
      <c r="M116" s="583"/>
      <c r="N116" s="583"/>
      <c r="O116" s="583"/>
    </row>
    <row r="117" spans="1:15" s="584" customFormat="1" x14ac:dyDescent="0.2">
      <c r="A117" s="526" t="s">
        <v>832</v>
      </c>
      <c r="B117" s="527" t="s">
        <v>833</v>
      </c>
      <c r="C117" s="522">
        <v>44135</v>
      </c>
      <c r="D117" s="528">
        <f>2501900+(2*254000)+(2*228000)+(2*596900)</f>
        <v>4659700</v>
      </c>
      <c r="E117" s="529">
        <v>0</v>
      </c>
      <c r="F117" s="476"/>
      <c r="G117" s="678"/>
      <c r="H117" s="679"/>
      <c r="I117" s="679"/>
      <c r="J117" s="679"/>
      <c r="K117" s="583"/>
      <c r="L117" s="583"/>
      <c r="M117" s="583"/>
      <c r="N117" s="583"/>
      <c r="O117" s="583"/>
    </row>
    <row r="118" spans="1:15" s="476" customFormat="1" x14ac:dyDescent="0.2">
      <c r="A118" s="526" t="s">
        <v>832</v>
      </c>
      <c r="B118" s="527" t="s">
        <v>834</v>
      </c>
      <c r="C118" s="522">
        <v>43181</v>
      </c>
      <c r="D118" s="528">
        <v>2609596</v>
      </c>
      <c r="E118" s="529">
        <v>0</v>
      </c>
      <c r="G118" s="593"/>
      <c r="H118" s="594"/>
      <c r="I118" s="594"/>
      <c r="J118" s="594"/>
      <c r="K118" s="531"/>
      <c r="L118" s="531"/>
      <c r="M118" s="531"/>
      <c r="N118" s="531"/>
      <c r="O118" s="531"/>
    </row>
    <row r="119" spans="1:15" x14ac:dyDescent="0.2">
      <c r="A119" s="526" t="s">
        <v>835</v>
      </c>
      <c r="B119" s="561" t="s">
        <v>836</v>
      </c>
      <c r="C119" s="522">
        <v>43830</v>
      </c>
      <c r="D119" s="528">
        <f>E119</f>
        <v>9430957</v>
      </c>
      <c r="E119" s="529">
        <v>9430957</v>
      </c>
      <c r="F119" s="476"/>
      <c r="G119" s="563"/>
      <c r="H119" s="563"/>
      <c r="I119" s="563"/>
      <c r="J119" s="563"/>
      <c r="K119" s="563"/>
      <c r="L119" s="563"/>
      <c r="M119" s="563"/>
      <c r="N119" s="563"/>
      <c r="O119" s="563"/>
    </row>
    <row r="120" spans="1:15" s="476" customFormat="1" x14ac:dyDescent="0.2">
      <c r="A120" s="588" t="s">
        <v>837</v>
      </c>
      <c r="B120" s="589" t="s">
        <v>838</v>
      </c>
      <c r="C120" s="590" t="s">
        <v>514</v>
      </c>
      <c r="D120" s="550">
        <v>3692683</v>
      </c>
      <c r="E120" s="591">
        <f>198931</f>
        <v>198931</v>
      </c>
      <c r="G120" s="531"/>
      <c r="H120" s="531"/>
      <c r="I120" s="531"/>
      <c r="J120" s="531"/>
      <c r="K120" s="531"/>
      <c r="L120" s="531"/>
      <c r="M120" s="531"/>
      <c r="N120" s="531"/>
      <c r="O120" s="531"/>
    </row>
    <row r="121" spans="1:15" s="584" customFormat="1" x14ac:dyDescent="0.2">
      <c r="A121" s="588" t="s">
        <v>839</v>
      </c>
      <c r="B121" s="589" t="s">
        <v>840</v>
      </c>
      <c r="C121" s="590" t="s">
        <v>514</v>
      </c>
      <c r="D121" s="550">
        <v>16365</v>
      </c>
      <c r="E121" s="591">
        <v>16365</v>
      </c>
      <c r="F121" s="476"/>
      <c r="G121" s="583"/>
      <c r="H121" s="583"/>
      <c r="I121" s="583"/>
      <c r="J121" s="583"/>
      <c r="K121" s="583"/>
      <c r="L121" s="583"/>
      <c r="M121" s="583"/>
      <c r="N121" s="583"/>
      <c r="O121" s="583"/>
    </row>
    <row r="122" spans="1:15" s="584" customFormat="1" x14ac:dyDescent="0.2">
      <c r="A122" s="588" t="s">
        <v>839</v>
      </c>
      <c r="B122" s="589" t="s">
        <v>841</v>
      </c>
      <c r="C122" s="590" t="s">
        <v>514</v>
      </c>
      <c r="D122" s="550">
        <v>15960</v>
      </c>
      <c r="E122" s="591">
        <v>15960</v>
      </c>
      <c r="F122" s="476"/>
      <c r="G122" s="583"/>
      <c r="H122" s="583"/>
      <c r="I122" s="583"/>
      <c r="J122" s="583"/>
      <c r="K122" s="583"/>
      <c r="L122" s="583"/>
      <c r="M122" s="583"/>
      <c r="N122" s="583"/>
      <c r="O122" s="583"/>
    </row>
    <row r="123" spans="1:15" x14ac:dyDescent="0.2">
      <c r="A123" s="588" t="s">
        <v>842</v>
      </c>
      <c r="B123" s="561" t="s">
        <v>722</v>
      </c>
      <c r="C123" s="590">
        <v>44165</v>
      </c>
      <c r="D123" s="550">
        <f>14*400000</f>
        <v>5600000</v>
      </c>
      <c r="E123" s="591">
        <v>1600000</v>
      </c>
      <c r="F123" s="476"/>
      <c r="G123" s="563"/>
      <c r="H123" s="563"/>
      <c r="I123" s="563"/>
      <c r="J123" s="563"/>
      <c r="K123" s="563"/>
      <c r="L123" s="563"/>
      <c r="M123" s="563"/>
      <c r="N123" s="563"/>
      <c r="O123" s="563"/>
    </row>
    <row r="124" spans="1:15" x14ac:dyDescent="0.2">
      <c r="A124" s="588" t="s">
        <v>843</v>
      </c>
      <c r="B124" s="561" t="s">
        <v>844</v>
      </c>
      <c r="C124" s="590">
        <v>43437</v>
      </c>
      <c r="D124" s="550">
        <v>170980</v>
      </c>
      <c r="E124" s="591">
        <v>0</v>
      </c>
      <c r="F124" s="476"/>
      <c r="G124" s="563"/>
      <c r="H124" s="563"/>
      <c r="I124" s="563"/>
      <c r="J124" s="563"/>
      <c r="K124" s="563"/>
      <c r="L124" s="563"/>
      <c r="M124" s="563"/>
      <c r="N124" s="563"/>
      <c r="O124" s="563"/>
    </row>
    <row r="125" spans="1:15" x14ac:dyDescent="0.2">
      <c r="A125" s="588" t="s">
        <v>845</v>
      </c>
      <c r="B125" s="561" t="s">
        <v>846</v>
      </c>
      <c r="C125" s="590">
        <v>43373</v>
      </c>
      <c r="D125" s="550">
        <v>557500</v>
      </c>
      <c r="E125" s="591">
        <v>0</v>
      </c>
      <c r="F125" s="476"/>
      <c r="G125" s="563"/>
      <c r="H125" s="563"/>
      <c r="I125" s="563"/>
      <c r="J125" s="563"/>
      <c r="K125" s="563"/>
      <c r="L125" s="563"/>
      <c r="M125" s="563"/>
      <c r="N125" s="563"/>
      <c r="O125" s="563"/>
    </row>
    <row r="126" spans="1:15" x14ac:dyDescent="0.2">
      <c r="A126" s="588" t="s">
        <v>847</v>
      </c>
      <c r="B126" s="561" t="s">
        <v>848</v>
      </c>
      <c r="C126" s="590">
        <v>43830</v>
      </c>
      <c r="D126" s="550">
        <v>5080000</v>
      </c>
      <c r="E126" s="591">
        <v>0</v>
      </c>
      <c r="F126" s="476"/>
      <c r="G126" s="563"/>
      <c r="H126" s="563"/>
      <c r="I126" s="563"/>
      <c r="J126" s="563"/>
      <c r="K126" s="563"/>
      <c r="L126" s="563"/>
      <c r="M126" s="563"/>
      <c r="N126" s="563"/>
      <c r="O126" s="563"/>
    </row>
    <row r="127" spans="1:15" s="476" customFormat="1" x14ac:dyDescent="0.2">
      <c r="A127" s="526" t="s">
        <v>849</v>
      </c>
      <c r="B127" s="561" t="s">
        <v>681</v>
      </c>
      <c r="C127" s="522" t="s">
        <v>514</v>
      </c>
      <c r="D127" s="528">
        <f>E127</f>
        <v>8202</v>
      </c>
      <c r="E127" s="529">
        <v>8202</v>
      </c>
      <c r="G127" s="531"/>
      <c r="H127" s="531"/>
      <c r="I127" s="566"/>
      <c r="J127" s="531"/>
      <c r="K127" s="531"/>
      <c r="L127" s="531"/>
      <c r="M127" s="531"/>
      <c r="N127" s="531"/>
      <c r="O127" s="531"/>
    </row>
    <row r="128" spans="1:15" s="476" customFormat="1" x14ac:dyDescent="0.2">
      <c r="A128" s="526" t="s">
        <v>850</v>
      </c>
      <c r="B128" s="561" t="s">
        <v>851</v>
      </c>
      <c r="C128" s="522">
        <v>43462</v>
      </c>
      <c r="D128" s="528">
        <v>687844</v>
      </c>
      <c r="E128" s="529">
        <v>0</v>
      </c>
      <c r="G128" s="531"/>
      <c r="H128" s="531"/>
      <c r="I128" s="566"/>
      <c r="J128" s="531"/>
      <c r="K128" s="531"/>
      <c r="L128" s="531"/>
      <c r="M128" s="531"/>
      <c r="N128" s="531"/>
      <c r="O128" s="531"/>
    </row>
    <row r="129" spans="1:15" s="476" customFormat="1" x14ac:dyDescent="0.2">
      <c r="A129" s="526" t="s">
        <v>852</v>
      </c>
      <c r="B129" s="561" t="s">
        <v>853</v>
      </c>
      <c r="C129" s="522">
        <v>44014</v>
      </c>
      <c r="D129" s="528">
        <f>E129</f>
        <v>885302</v>
      </c>
      <c r="E129" s="529">
        <v>885302</v>
      </c>
      <c r="G129" s="531"/>
      <c r="H129" s="531"/>
      <c r="I129" s="566"/>
      <c r="J129" s="531"/>
      <c r="K129" s="531"/>
      <c r="L129" s="531"/>
      <c r="M129" s="531"/>
      <c r="N129" s="531"/>
      <c r="O129" s="531"/>
    </row>
    <row r="130" spans="1:15" s="584" customFormat="1" x14ac:dyDescent="0.2">
      <c r="A130" s="560" t="s">
        <v>854</v>
      </c>
      <c r="B130" s="580" t="s">
        <v>855</v>
      </c>
      <c r="C130" s="569">
        <v>43555</v>
      </c>
      <c r="D130" s="528">
        <f>(E130/12)*3</f>
        <v>14239756</v>
      </c>
      <c r="E130" s="564">
        <v>56959024</v>
      </c>
      <c r="F130" s="476"/>
      <c r="G130" s="583"/>
      <c r="H130" s="583"/>
      <c r="I130" s="583"/>
      <c r="J130" s="583"/>
      <c r="K130" s="583"/>
      <c r="L130" s="583"/>
      <c r="M130" s="583"/>
      <c r="N130" s="583"/>
      <c r="O130" s="583"/>
    </row>
    <row r="131" spans="1:15" s="584" customFormat="1" x14ac:dyDescent="0.2">
      <c r="A131" s="560" t="s">
        <v>856</v>
      </c>
      <c r="B131" s="580" t="s">
        <v>857</v>
      </c>
      <c r="C131" s="569" t="s">
        <v>514</v>
      </c>
      <c r="D131" s="528">
        <v>25740</v>
      </c>
      <c r="E131" s="564" t="s">
        <v>858</v>
      </c>
      <c r="F131" s="476"/>
      <c r="G131" s="583"/>
      <c r="H131" s="583"/>
      <c r="I131" s="583"/>
      <c r="J131" s="583"/>
      <c r="K131" s="583"/>
      <c r="L131" s="583"/>
      <c r="M131" s="583"/>
      <c r="N131" s="583"/>
      <c r="O131" s="583"/>
    </row>
    <row r="132" spans="1:15" s="584" customFormat="1" x14ac:dyDescent="0.2">
      <c r="A132" s="560" t="s">
        <v>859</v>
      </c>
      <c r="B132" s="580" t="s">
        <v>860</v>
      </c>
      <c r="C132" s="569">
        <v>43555</v>
      </c>
      <c r="D132" s="528">
        <v>635000</v>
      </c>
      <c r="E132" s="564">
        <v>381000</v>
      </c>
      <c r="F132" s="476"/>
      <c r="G132" s="583"/>
      <c r="H132" s="583"/>
      <c r="I132" s="583"/>
      <c r="J132" s="583"/>
      <c r="K132" s="583"/>
      <c r="L132" s="583"/>
      <c r="M132" s="583"/>
      <c r="N132" s="583"/>
      <c r="O132" s="583"/>
    </row>
    <row r="133" spans="1:15" s="584" customFormat="1" x14ac:dyDescent="0.2">
      <c r="A133" s="560" t="s">
        <v>859</v>
      </c>
      <c r="B133" s="580" t="s">
        <v>861</v>
      </c>
      <c r="C133" s="569">
        <v>43434</v>
      </c>
      <c r="D133" s="528">
        <f>290000*1.27</f>
        <v>368300</v>
      </c>
      <c r="E133" s="564">
        <v>0</v>
      </c>
      <c r="F133" s="476"/>
      <c r="G133" s="583"/>
      <c r="H133" s="583"/>
      <c r="I133" s="583"/>
      <c r="J133" s="583"/>
      <c r="K133" s="583"/>
      <c r="L133" s="583"/>
      <c r="M133" s="583"/>
      <c r="N133" s="583"/>
      <c r="O133" s="583"/>
    </row>
    <row r="134" spans="1:15" s="584" customFormat="1" x14ac:dyDescent="0.2">
      <c r="A134" s="560" t="s">
        <v>859</v>
      </c>
      <c r="B134" s="580" t="s">
        <v>862</v>
      </c>
      <c r="C134" s="569">
        <v>43889</v>
      </c>
      <c r="D134" s="528">
        <f>((1700000*1.27)/3)*2</f>
        <v>1439333.3333333333</v>
      </c>
      <c r="E134" s="564">
        <v>0</v>
      </c>
      <c r="F134" s="476"/>
      <c r="G134" s="583"/>
      <c r="H134" s="583"/>
      <c r="I134" s="583"/>
      <c r="J134" s="583"/>
      <c r="K134" s="583"/>
      <c r="L134" s="583"/>
      <c r="M134" s="583"/>
      <c r="N134" s="583"/>
      <c r="O134" s="583"/>
    </row>
    <row r="135" spans="1:15" s="476" customFormat="1" ht="25.5" x14ac:dyDescent="0.2">
      <c r="A135" s="560" t="s">
        <v>863</v>
      </c>
      <c r="B135" s="595" t="s">
        <v>1071</v>
      </c>
      <c r="C135" s="569">
        <v>43435</v>
      </c>
      <c r="D135" s="528">
        <f>100000*1.27</f>
        <v>127000</v>
      </c>
      <c r="E135" s="564">
        <v>0</v>
      </c>
      <c r="G135" s="531"/>
      <c r="H135" s="531"/>
      <c r="I135" s="531"/>
      <c r="J135" s="531"/>
      <c r="K135" s="531"/>
      <c r="L135" s="531"/>
      <c r="M135" s="531"/>
      <c r="N135" s="531"/>
      <c r="O135" s="531"/>
    </row>
    <row r="136" spans="1:15" s="584" customFormat="1" x14ac:dyDescent="0.2">
      <c r="A136" s="560" t="s">
        <v>864</v>
      </c>
      <c r="B136" s="580" t="s">
        <v>865</v>
      </c>
      <c r="C136" s="569">
        <v>43470</v>
      </c>
      <c r="D136" s="528">
        <f>1418473+1049020</f>
        <v>2467493</v>
      </c>
      <c r="E136" s="564">
        <v>2467483</v>
      </c>
      <c r="F136" s="476"/>
      <c r="G136" s="583"/>
      <c r="H136" s="583"/>
      <c r="I136" s="583"/>
      <c r="J136" s="583"/>
      <c r="K136" s="583"/>
      <c r="L136" s="583"/>
      <c r="M136" s="583"/>
      <c r="N136" s="583"/>
      <c r="O136" s="583"/>
    </row>
    <row r="137" spans="1:15" s="584" customFormat="1" x14ac:dyDescent="0.2">
      <c r="A137" s="560" t="s">
        <v>866</v>
      </c>
      <c r="B137" s="580" t="s">
        <v>867</v>
      </c>
      <c r="C137" s="569">
        <v>43413</v>
      </c>
      <c r="D137" s="528">
        <v>20642677</v>
      </c>
      <c r="E137" s="564">
        <v>0</v>
      </c>
      <c r="F137" s="476"/>
      <c r="G137" s="583"/>
      <c r="H137" s="583"/>
      <c r="I137" s="583"/>
      <c r="J137" s="583"/>
      <c r="K137" s="583"/>
      <c r="L137" s="583"/>
      <c r="M137" s="583"/>
      <c r="N137" s="583"/>
      <c r="O137" s="583"/>
    </row>
    <row r="138" spans="1:15" s="584" customFormat="1" x14ac:dyDescent="0.2">
      <c r="A138" s="560" t="s">
        <v>868</v>
      </c>
      <c r="B138" s="580" t="s">
        <v>869</v>
      </c>
      <c r="C138" s="569" t="s">
        <v>514</v>
      </c>
      <c r="D138" s="528">
        <v>4978</v>
      </c>
      <c r="E138" s="564">
        <v>4978</v>
      </c>
      <c r="F138" s="476"/>
      <c r="G138" s="583"/>
      <c r="H138" s="583"/>
      <c r="I138" s="583"/>
      <c r="J138" s="583"/>
      <c r="K138" s="583"/>
      <c r="L138" s="583"/>
      <c r="M138" s="583"/>
      <c r="N138" s="583"/>
      <c r="O138" s="583"/>
    </row>
    <row r="139" spans="1:15" x14ac:dyDescent="0.2">
      <c r="A139" s="560" t="s">
        <v>870</v>
      </c>
      <c r="B139" s="580" t="s">
        <v>871</v>
      </c>
      <c r="C139" s="569">
        <v>43497</v>
      </c>
      <c r="D139" s="528">
        <f>E139/12*2</f>
        <v>9043517.333333334</v>
      </c>
      <c r="E139" s="564">
        <f>48413137+5847967</f>
        <v>54261104</v>
      </c>
      <c r="G139" s="563"/>
      <c r="H139" s="563"/>
      <c r="I139" s="563"/>
      <c r="J139" s="563"/>
      <c r="K139" s="563"/>
      <c r="L139" s="592"/>
      <c r="M139" s="563"/>
      <c r="N139" s="592"/>
      <c r="O139" s="563"/>
    </row>
    <row r="140" spans="1:15" s="476" customFormat="1" x14ac:dyDescent="0.2">
      <c r="A140" s="579" t="s">
        <v>872</v>
      </c>
      <c r="B140" s="580" t="s">
        <v>873</v>
      </c>
      <c r="C140" s="569" t="s">
        <v>514</v>
      </c>
      <c r="D140" s="581">
        <f>E140*E6</f>
        <v>2102014</v>
      </c>
      <c r="E140" s="582">
        <v>2102014</v>
      </c>
      <c r="G140" s="531"/>
      <c r="H140" s="531"/>
      <c r="I140" s="531"/>
      <c r="J140" s="531"/>
      <c r="K140" s="531"/>
      <c r="L140" s="531"/>
      <c r="M140" s="531"/>
      <c r="N140" s="531"/>
      <c r="O140" s="531"/>
    </row>
    <row r="141" spans="1:15" s="459" customFormat="1" x14ac:dyDescent="0.2">
      <c r="A141" s="579" t="s">
        <v>874</v>
      </c>
      <c r="B141" s="580" t="s">
        <v>875</v>
      </c>
      <c r="C141" s="569">
        <v>43787</v>
      </c>
      <c r="D141" s="581">
        <v>721300</v>
      </c>
      <c r="E141" s="582">
        <v>721300</v>
      </c>
      <c r="G141" s="514"/>
      <c r="H141" s="514"/>
      <c r="I141" s="514"/>
      <c r="J141" s="514"/>
      <c r="K141" s="514"/>
      <c r="L141" s="514"/>
      <c r="M141" s="514"/>
      <c r="N141" s="514"/>
      <c r="O141" s="514"/>
    </row>
    <row r="142" spans="1:15" s="459" customFormat="1" x14ac:dyDescent="0.2">
      <c r="A142" s="579" t="s">
        <v>874</v>
      </c>
      <c r="B142" s="580" t="s">
        <v>876</v>
      </c>
      <c r="C142" s="569">
        <v>43874</v>
      </c>
      <c r="D142" s="581">
        <f>E142/11*13</f>
        <v>417217.27272727271</v>
      </c>
      <c r="E142" s="582">
        <v>353030</v>
      </c>
      <c r="F142" s="476"/>
      <c r="G142" s="514"/>
      <c r="H142" s="514"/>
      <c r="I142" s="514"/>
      <c r="J142" s="514"/>
      <c r="K142" s="514"/>
      <c r="L142" s="514"/>
      <c r="M142" s="514"/>
      <c r="N142" s="514"/>
      <c r="O142" s="514"/>
    </row>
    <row r="143" spans="1:15" s="459" customFormat="1" x14ac:dyDescent="0.2">
      <c r="A143" s="579" t="s">
        <v>874</v>
      </c>
      <c r="B143" s="580" t="s">
        <v>877</v>
      </c>
      <c r="C143" s="569"/>
      <c r="D143" s="581">
        <f>E143/3*13</f>
        <v>107553.33333333334</v>
      </c>
      <c r="E143" s="582">
        <v>24820</v>
      </c>
      <c r="F143" s="476"/>
      <c r="G143" s="514"/>
      <c r="H143" s="514"/>
      <c r="I143" s="514"/>
      <c r="J143" s="514"/>
      <c r="K143" s="514"/>
      <c r="L143" s="514"/>
      <c r="M143" s="514"/>
      <c r="N143" s="514"/>
      <c r="O143" s="514"/>
    </row>
    <row r="144" spans="1:15" s="459" customFormat="1" x14ac:dyDescent="0.2">
      <c r="A144" s="579" t="s">
        <v>878</v>
      </c>
      <c r="B144" s="580" t="s">
        <v>879</v>
      </c>
      <c r="C144" s="569">
        <v>43465</v>
      </c>
      <c r="D144" s="581">
        <v>400000</v>
      </c>
      <c r="E144" s="582">
        <v>0</v>
      </c>
      <c r="F144" s="476"/>
      <c r="G144" s="514"/>
      <c r="H144" s="514"/>
      <c r="I144" s="514"/>
      <c r="J144" s="514"/>
      <c r="K144" s="514"/>
      <c r="L144" s="514"/>
      <c r="M144" s="514"/>
      <c r="N144" s="514"/>
      <c r="O144" s="514"/>
    </row>
    <row r="145" spans="1:15" s="459" customFormat="1" x14ac:dyDescent="0.2">
      <c r="A145" s="579" t="s">
        <v>880</v>
      </c>
      <c r="B145" s="580" t="s">
        <v>881</v>
      </c>
      <c r="C145" s="569" t="s">
        <v>514</v>
      </c>
      <c r="D145" s="581">
        <f>E145+83330</f>
        <v>249990</v>
      </c>
      <c r="E145" s="582">
        <v>166660</v>
      </c>
      <c r="F145" s="476"/>
      <c r="G145" s="514"/>
      <c r="H145" s="514"/>
      <c r="I145" s="514"/>
      <c r="J145" s="514"/>
      <c r="K145" s="514"/>
      <c r="L145" s="514"/>
      <c r="M145" s="514"/>
      <c r="N145" s="514"/>
      <c r="O145" s="514"/>
    </row>
    <row r="146" spans="1:15" s="459" customFormat="1" x14ac:dyDescent="0.2">
      <c r="A146" s="579" t="s">
        <v>882</v>
      </c>
      <c r="B146" s="580" t="s">
        <v>883</v>
      </c>
      <c r="C146" s="569">
        <v>43582</v>
      </c>
      <c r="D146" s="581">
        <v>6350000</v>
      </c>
      <c r="E146" s="582">
        <v>0</v>
      </c>
      <c r="F146" s="476"/>
      <c r="G146" s="514"/>
      <c r="H146" s="514"/>
      <c r="I146" s="514"/>
      <c r="J146" s="514"/>
      <c r="K146" s="514"/>
      <c r="L146" s="514"/>
      <c r="M146" s="514"/>
      <c r="N146" s="514"/>
      <c r="O146" s="514"/>
    </row>
    <row r="147" spans="1:15" s="459" customFormat="1" x14ac:dyDescent="0.2">
      <c r="A147" s="579" t="s">
        <v>882</v>
      </c>
      <c r="B147" s="580" t="s">
        <v>1072</v>
      </c>
      <c r="C147" s="569" t="s">
        <v>655</v>
      </c>
      <c r="D147" s="581">
        <f>E147</f>
        <v>38400000</v>
      </c>
      <c r="E147" s="582">
        <v>38400000</v>
      </c>
      <c r="F147" s="476"/>
      <c r="G147" s="514"/>
      <c r="H147" s="514"/>
      <c r="I147" s="514"/>
      <c r="J147" s="514"/>
      <c r="K147" s="514"/>
      <c r="L147" s="514"/>
      <c r="M147" s="514"/>
      <c r="N147" s="514"/>
      <c r="O147" s="514"/>
    </row>
    <row r="148" spans="1:15" s="459" customFormat="1" x14ac:dyDescent="0.2">
      <c r="A148" s="579" t="s">
        <v>884</v>
      </c>
      <c r="B148" s="580" t="s">
        <v>885</v>
      </c>
      <c r="C148" s="569">
        <v>43579</v>
      </c>
      <c r="D148" s="581">
        <v>1428000</v>
      </c>
      <c r="E148" s="582">
        <v>1304000</v>
      </c>
      <c r="F148" s="476"/>
      <c r="G148" s="514"/>
      <c r="H148" s="514"/>
      <c r="I148" s="514"/>
      <c r="J148" s="514"/>
      <c r="K148" s="514"/>
      <c r="L148" s="514"/>
      <c r="M148" s="514"/>
      <c r="N148" s="514"/>
      <c r="O148" s="514"/>
    </row>
    <row r="149" spans="1:15" x14ac:dyDescent="0.2">
      <c r="A149" s="526" t="s">
        <v>886</v>
      </c>
      <c r="B149" s="527" t="s">
        <v>887</v>
      </c>
      <c r="C149" s="522">
        <v>43496</v>
      </c>
      <c r="D149" s="528" t="s">
        <v>888</v>
      </c>
      <c r="E149" s="529">
        <v>0</v>
      </c>
      <c r="G149" s="563"/>
      <c r="H149" s="563"/>
      <c r="I149" s="563"/>
      <c r="J149" s="563"/>
      <c r="K149" s="563"/>
      <c r="L149" s="563"/>
      <c r="M149" s="563"/>
      <c r="N149" s="563"/>
      <c r="O149" s="563"/>
    </row>
    <row r="150" spans="1:15" x14ac:dyDescent="0.2">
      <c r="A150" s="526" t="s">
        <v>886</v>
      </c>
      <c r="B150" s="527" t="s">
        <v>889</v>
      </c>
      <c r="C150" s="522">
        <v>43496</v>
      </c>
      <c r="D150" s="528" t="s">
        <v>890</v>
      </c>
      <c r="E150" s="564" t="s">
        <v>891</v>
      </c>
      <c r="G150" s="563"/>
      <c r="H150" s="563"/>
      <c r="I150" s="563"/>
      <c r="J150" s="563"/>
      <c r="K150" s="563"/>
      <c r="L150" s="563"/>
      <c r="M150" s="563"/>
      <c r="N150" s="563"/>
      <c r="O150" s="563"/>
    </row>
    <row r="151" spans="1:15" x14ac:dyDescent="0.2">
      <c r="A151" s="526" t="s">
        <v>886</v>
      </c>
      <c r="B151" s="527" t="s">
        <v>892</v>
      </c>
      <c r="C151" s="522">
        <v>43496</v>
      </c>
      <c r="D151" s="528" t="s">
        <v>893</v>
      </c>
      <c r="E151" s="564" t="s">
        <v>893</v>
      </c>
      <c r="G151" s="563"/>
      <c r="H151" s="563"/>
      <c r="I151" s="563"/>
      <c r="J151" s="563"/>
      <c r="K151" s="563"/>
      <c r="L151" s="563"/>
      <c r="M151" s="563"/>
      <c r="N151" s="563"/>
      <c r="O151" s="563"/>
    </row>
    <row r="152" spans="1:15" x14ac:dyDescent="0.2">
      <c r="A152" s="526" t="s">
        <v>886</v>
      </c>
      <c r="B152" s="527" t="s">
        <v>894</v>
      </c>
      <c r="C152" s="522">
        <v>43449</v>
      </c>
      <c r="D152" s="528">
        <f>3716424*1.27</f>
        <v>4719858.4800000004</v>
      </c>
      <c r="E152" s="564">
        <v>0</v>
      </c>
      <c r="G152" s="563"/>
      <c r="H152" s="563"/>
      <c r="I152" s="563"/>
      <c r="J152" s="563"/>
      <c r="K152" s="563"/>
      <c r="L152" s="563"/>
      <c r="M152" s="563"/>
      <c r="N152" s="563"/>
      <c r="O152" s="563"/>
    </row>
    <row r="153" spans="1:15" x14ac:dyDescent="0.2">
      <c r="A153" s="526" t="s">
        <v>886</v>
      </c>
      <c r="B153" s="527" t="s">
        <v>895</v>
      </c>
      <c r="C153" s="522" t="s">
        <v>896</v>
      </c>
      <c r="D153" s="528">
        <v>5161076</v>
      </c>
      <c r="E153" s="564">
        <v>0</v>
      </c>
      <c r="G153" s="563"/>
      <c r="H153" s="563"/>
      <c r="I153" s="563"/>
      <c r="J153" s="563"/>
      <c r="K153" s="563"/>
      <c r="L153" s="563"/>
      <c r="M153" s="563"/>
      <c r="N153" s="563"/>
      <c r="O153" s="563"/>
    </row>
    <row r="154" spans="1:15" x14ac:dyDescent="0.2">
      <c r="A154" s="570" t="s">
        <v>898</v>
      </c>
      <c r="B154" s="527" t="s">
        <v>897</v>
      </c>
      <c r="C154" s="522">
        <v>44193</v>
      </c>
      <c r="D154" s="528">
        <v>1793817</v>
      </c>
      <c r="E154" s="529">
        <v>0</v>
      </c>
      <c r="G154" s="563"/>
      <c r="H154" s="563"/>
      <c r="I154" s="563"/>
      <c r="J154" s="563"/>
      <c r="K154" s="563"/>
      <c r="L154" s="563"/>
      <c r="M154" s="563"/>
      <c r="N154" s="563"/>
      <c r="O154" s="563"/>
    </row>
    <row r="155" spans="1:15" x14ac:dyDescent="0.2">
      <c r="A155" s="526" t="s">
        <v>899</v>
      </c>
      <c r="B155" s="527" t="s">
        <v>900</v>
      </c>
      <c r="C155" s="522" t="s">
        <v>514</v>
      </c>
      <c r="D155" s="528">
        <f>E155</f>
        <v>24106044</v>
      </c>
      <c r="E155" s="529">
        <v>24106044</v>
      </c>
      <c r="G155" s="563"/>
      <c r="H155" s="563"/>
      <c r="I155" s="563"/>
      <c r="J155" s="563"/>
      <c r="K155" s="563"/>
      <c r="L155" s="563"/>
      <c r="M155" s="563"/>
      <c r="N155" s="563"/>
      <c r="O155" s="563"/>
    </row>
    <row r="156" spans="1:15" x14ac:dyDescent="0.2">
      <c r="A156" s="526" t="s">
        <v>899</v>
      </c>
      <c r="B156" s="527" t="s">
        <v>901</v>
      </c>
      <c r="C156" s="522">
        <v>43305</v>
      </c>
      <c r="D156" s="528" t="s">
        <v>902</v>
      </c>
      <c r="E156" s="529">
        <v>0</v>
      </c>
      <c r="G156" s="563"/>
      <c r="H156" s="563"/>
      <c r="I156" s="563"/>
      <c r="J156" s="563"/>
      <c r="K156" s="563"/>
      <c r="L156" s="563"/>
      <c r="M156" s="563"/>
      <c r="N156" s="563"/>
      <c r="O156" s="563"/>
    </row>
    <row r="157" spans="1:15" x14ac:dyDescent="0.2">
      <c r="A157" s="526" t="s">
        <v>632</v>
      </c>
      <c r="B157" s="527" t="s">
        <v>903</v>
      </c>
      <c r="C157" s="522">
        <v>43480</v>
      </c>
      <c r="D157" s="528">
        <v>601980</v>
      </c>
      <c r="E157" s="529">
        <v>0</v>
      </c>
      <c r="G157" s="563"/>
      <c r="H157" s="563"/>
      <c r="I157" s="563"/>
      <c r="J157" s="563"/>
      <c r="K157" s="563"/>
      <c r="L157" s="563"/>
      <c r="M157" s="563"/>
      <c r="N157" s="563"/>
      <c r="O157" s="563"/>
    </row>
    <row r="158" spans="1:15" x14ac:dyDescent="0.2">
      <c r="A158" s="596" t="s">
        <v>904</v>
      </c>
      <c r="B158" s="589" t="s">
        <v>905</v>
      </c>
      <c r="C158" s="590">
        <v>43993</v>
      </c>
      <c r="D158" s="528">
        <v>614000</v>
      </c>
      <c r="E158" s="529">
        <v>614000</v>
      </c>
      <c r="F158" s="476"/>
      <c r="G158" s="563"/>
      <c r="H158" s="563"/>
      <c r="I158" s="563"/>
      <c r="J158" s="563"/>
      <c r="K158" s="563"/>
      <c r="L158" s="563"/>
      <c r="M158" s="563"/>
      <c r="N158" s="563"/>
      <c r="O158" s="563"/>
    </row>
    <row r="159" spans="1:15" x14ac:dyDescent="0.2">
      <c r="A159" s="588" t="s">
        <v>906</v>
      </c>
      <c r="B159" s="597" t="s">
        <v>907</v>
      </c>
      <c r="C159" s="598">
        <v>44377</v>
      </c>
      <c r="D159" s="528">
        <f>14*16538</f>
        <v>231532</v>
      </c>
      <c r="E159" s="529">
        <v>148590</v>
      </c>
      <c r="G159" s="563"/>
      <c r="H159" s="563"/>
      <c r="I159" s="563"/>
      <c r="J159" s="563"/>
      <c r="K159" s="563"/>
      <c r="L159" s="563"/>
      <c r="M159" s="563"/>
      <c r="N159" s="563"/>
      <c r="O159" s="563"/>
    </row>
    <row r="160" spans="1:15" x14ac:dyDescent="0.2">
      <c r="A160" s="588" t="s">
        <v>906</v>
      </c>
      <c r="B160" s="597" t="s">
        <v>908</v>
      </c>
      <c r="C160" s="598" t="s">
        <v>514</v>
      </c>
      <c r="D160" s="528">
        <f>679215/3</f>
        <v>226405</v>
      </c>
      <c r="E160" s="529">
        <v>226405</v>
      </c>
      <c r="G160" s="563"/>
      <c r="H160" s="563"/>
      <c r="I160" s="563"/>
      <c r="J160" s="563"/>
      <c r="K160" s="563"/>
      <c r="L160" s="563"/>
      <c r="M160" s="563"/>
      <c r="N160" s="563"/>
      <c r="O160" s="563"/>
    </row>
    <row r="161" spans="1:15" ht="13.5" thickBot="1" x14ac:dyDescent="0.25">
      <c r="A161" s="680" t="s">
        <v>28</v>
      </c>
      <c r="B161" s="681"/>
      <c r="C161" s="682"/>
      <c r="D161" s="599">
        <f>SUM(D9:D160)</f>
        <v>501220487.56606054</v>
      </c>
      <c r="E161" s="600">
        <f>SUM(E9:E160)</f>
        <v>435571736</v>
      </c>
      <c r="G161" s="563"/>
      <c r="H161" s="563"/>
      <c r="I161" s="563"/>
      <c r="J161" s="563"/>
      <c r="K161" s="563"/>
      <c r="L161" s="563"/>
      <c r="M161" s="563"/>
      <c r="N161" s="563"/>
      <c r="O161" s="563"/>
    </row>
    <row r="162" spans="1:15" x14ac:dyDescent="0.2">
      <c r="G162" s="563"/>
      <c r="H162" s="563"/>
      <c r="I162" s="563"/>
      <c r="J162" s="563"/>
      <c r="K162" s="563"/>
      <c r="L162" s="563"/>
      <c r="M162" s="563"/>
      <c r="N162" s="563"/>
      <c r="O162" s="563"/>
    </row>
    <row r="163" spans="1:15" x14ac:dyDescent="0.2">
      <c r="G163" s="563"/>
      <c r="H163" s="563"/>
      <c r="I163" s="563"/>
      <c r="J163" s="563"/>
      <c r="K163" s="563"/>
      <c r="L163" s="563"/>
      <c r="M163" s="563"/>
      <c r="N163" s="563"/>
      <c r="O163" s="563"/>
    </row>
    <row r="164" spans="1:15" x14ac:dyDescent="0.2">
      <c r="A164" s="476"/>
      <c r="G164" s="563"/>
      <c r="H164" s="563"/>
      <c r="I164" s="563"/>
      <c r="J164" s="563"/>
      <c r="K164" s="563"/>
      <c r="L164" s="563"/>
      <c r="M164" s="563"/>
      <c r="N164" s="563"/>
      <c r="O164" s="563"/>
    </row>
    <row r="165" spans="1:15" x14ac:dyDescent="0.2">
      <c r="A165" s="476"/>
    </row>
    <row r="166" spans="1:15" x14ac:dyDescent="0.2">
      <c r="A166" s="476"/>
    </row>
    <row r="167" spans="1:15" x14ac:dyDescent="0.2">
      <c r="F167" s="514"/>
      <c r="G167" s="563"/>
    </row>
    <row r="168" spans="1:15" x14ac:dyDescent="0.2">
      <c r="F168" s="514"/>
      <c r="G168" s="563"/>
    </row>
    <row r="169" spans="1:15" x14ac:dyDescent="0.2">
      <c r="F169" s="514"/>
      <c r="G169" s="563"/>
    </row>
    <row r="170" spans="1:15" x14ac:dyDescent="0.2">
      <c r="F170" s="514"/>
      <c r="G170" s="563"/>
    </row>
    <row r="171" spans="1:15" x14ac:dyDescent="0.2">
      <c r="F171" s="514"/>
      <c r="G171" s="563"/>
    </row>
    <row r="172" spans="1:15" x14ac:dyDescent="0.2">
      <c r="F172" s="514"/>
      <c r="G172" s="563"/>
    </row>
    <row r="173" spans="1:15" x14ac:dyDescent="0.2">
      <c r="F173" s="514"/>
      <c r="G173" s="563"/>
    </row>
    <row r="174" spans="1:15" x14ac:dyDescent="0.2">
      <c r="F174" s="514"/>
      <c r="G174" s="563"/>
    </row>
    <row r="175" spans="1:15" x14ac:dyDescent="0.2">
      <c r="F175" s="514"/>
      <c r="G175" s="563"/>
    </row>
    <row r="176" spans="1:15" x14ac:dyDescent="0.2">
      <c r="F176" s="514"/>
      <c r="G176" s="563"/>
    </row>
    <row r="177" spans="4:7" x14ac:dyDescent="0.2">
      <c r="F177" s="514"/>
      <c r="G177" s="563"/>
    </row>
    <row r="178" spans="4:7" x14ac:dyDescent="0.2">
      <c r="F178" s="514"/>
      <c r="G178" s="563"/>
    </row>
    <row r="179" spans="4:7" x14ac:dyDescent="0.2">
      <c r="F179" s="514"/>
      <c r="G179" s="563"/>
    </row>
    <row r="180" spans="4:7" x14ac:dyDescent="0.2">
      <c r="F180" s="514"/>
      <c r="G180" s="563"/>
    </row>
    <row r="181" spans="4:7" x14ac:dyDescent="0.2">
      <c r="F181" s="514"/>
      <c r="G181" s="563"/>
    </row>
    <row r="182" spans="4:7" x14ac:dyDescent="0.2">
      <c r="F182" s="514"/>
      <c r="G182" s="616"/>
    </row>
    <row r="183" spans="4:7" x14ac:dyDescent="0.2">
      <c r="D183" s="514"/>
      <c r="F183" s="514"/>
      <c r="G183" s="563"/>
    </row>
    <row r="184" spans="4:7" x14ac:dyDescent="0.2">
      <c r="F184" s="514"/>
      <c r="G184" s="563"/>
    </row>
    <row r="185" spans="4:7" x14ac:dyDescent="0.2">
      <c r="F185" s="514"/>
      <c r="G185" s="563"/>
    </row>
    <row r="186" spans="4:7" x14ac:dyDescent="0.2">
      <c r="F186" s="514"/>
      <c r="G186" s="563"/>
    </row>
    <row r="187" spans="4:7" x14ac:dyDescent="0.2">
      <c r="F187" s="514"/>
      <c r="G187" s="563"/>
    </row>
    <row r="188" spans="4:7" x14ac:dyDescent="0.2">
      <c r="F188" s="514"/>
      <c r="G188" s="563"/>
    </row>
    <row r="189" spans="4:7" x14ac:dyDescent="0.2">
      <c r="F189" s="514"/>
      <c r="G189" s="563"/>
    </row>
    <row r="190" spans="4:7" x14ac:dyDescent="0.2">
      <c r="F190" s="514"/>
      <c r="G190" s="563"/>
    </row>
    <row r="191" spans="4:7" x14ac:dyDescent="0.2">
      <c r="F191" s="514"/>
      <c r="G191" s="563"/>
    </row>
    <row r="192" spans="4:7" x14ac:dyDescent="0.2">
      <c r="F192" s="514"/>
      <c r="G192" s="563"/>
    </row>
    <row r="193" spans="6:7" x14ac:dyDescent="0.2">
      <c r="F193" s="514"/>
      <c r="G193" s="563"/>
    </row>
    <row r="194" spans="6:7" x14ac:dyDescent="0.2">
      <c r="F194" s="514"/>
      <c r="G194" s="563"/>
    </row>
    <row r="195" spans="6:7" x14ac:dyDescent="0.2">
      <c r="F195" s="514"/>
      <c r="G195" s="563"/>
    </row>
    <row r="196" spans="6:7" x14ac:dyDescent="0.2">
      <c r="F196" s="514"/>
      <c r="G196" s="563"/>
    </row>
  </sheetData>
  <mergeCells count="8">
    <mergeCell ref="G117:J117"/>
    <mergeCell ref="A161:C161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</vt:lpstr>
      <vt:lpstr>2. m. kiadások</vt:lpstr>
      <vt:lpstr>2.a KÖH</vt:lpstr>
      <vt:lpstr>3. m. létszám</vt:lpstr>
      <vt:lpstr>4. melléklet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</vt:lpstr>
      <vt:lpstr>9. melléklet</vt:lpstr>
      <vt:lpstr>10. melléklet EU-s</vt:lpstr>
      <vt:lpstr>'1. m. bevételek'!Nyomtatási_cím</vt:lpstr>
      <vt:lpstr>'2. m. kiadások'!Nyomtatási_cím</vt:lpstr>
      <vt:lpstr>'2.a KÖH'!Nyomtatási_cím</vt:lpstr>
      <vt:lpstr>'5.c melléklet-szerződések-Önk'!Nyomtatási_cím</vt:lpstr>
      <vt:lpstr>'1. m. bevételek'!Nyomtatási_terület</vt:lpstr>
      <vt:lpstr>'2. m. kiadások'!Nyomtatási_terület</vt:lpstr>
      <vt:lpstr>'2.a KÖH'!Nyomtatási_terület</vt:lpstr>
      <vt:lpstr>'4. melléklet'!Nyomtatási_terület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2019-02-13T16:08:51Z</cp:lastPrinted>
  <dcterms:created xsi:type="dcterms:W3CDTF">2009-01-15T09:14:34Z</dcterms:created>
  <dcterms:modified xsi:type="dcterms:W3CDTF">2019-03-08T11:46:18Z</dcterms:modified>
</cp:coreProperties>
</file>