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12" activeTab="16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mell. - beruházások" sheetId="9" r:id="rId9"/>
    <sheet name="9.mell. -tartalék" sheetId="10" r:id="rId10"/>
    <sheet name="10.mell. - közgazd.mérleg" sheetId="11" r:id="rId11"/>
    <sheet name="11.mell. -ei.felh.ütemt.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</sheets>
  <definedNames/>
  <calcPr fullCalcOnLoad="1"/>
</workbook>
</file>

<file path=xl/sharedStrings.xml><?xml version="1.0" encoding="utf-8"?>
<sst xmlns="http://schemas.openxmlformats.org/spreadsheetml/2006/main" count="950" uniqueCount="546">
  <si>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</si>
  <si>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</si>
  <si>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</si>
  <si>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</si>
  <si>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</si>
  <si>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</si>
  <si>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</si>
  <si>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TÁMOGATÁSOK ÖSSZESEN:</t>
  </si>
  <si>
    <t>(e Ft-ban)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</si>
  <si>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</si>
  <si>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</si>
  <si>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</si>
  <si>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</si>
  <si>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</si>
  <si>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</si>
  <si>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</si>
  <si>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</si>
  <si>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>Értékpapírok</t>
  </si>
  <si>
    <t>Értékpapírok 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</si>
  <si>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</si>
  <si>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</si>
  <si>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</si>
  <si>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</si>
  <si>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</si>
  <si>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</si>
  <si>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</si>
  <si>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</si>
  <si>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</si>
  <si>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Körjegyzőségi feladatok ellátása</t>
  </si>
  <si>
    <t>Bursa Hungarica Alapítvány támogatása</t>
  </si>
  <si>
    <t>Citerazenekar támogatása</t>
  </si>
  <si>
    <t>Hímzőszakkör támogatása</t>
  </si>
  <si>
    <t>2.</t>
  </si>
  <si>
    <t>OTP tőkegarantált pénzpiaci befektetési jegy</t>
  </si>
  <si>
    <t>Kistérségi tagsági díj</t>
  </si>
  <si>
    <t xml:space="preserve">Rendszeres társadalom, szociálpolitikai és egyéb társadalombiztosítási </t>
  </si>
  <si>
    <t>juttatások  összesen: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</si>
  <si>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</si>
  <si>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</si>
  <si>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</si>
  <si>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</si>
  <si>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</si>
  <si>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ebből: igényel- hető költség- vetési támogatás</t>
  </si>
  <si>
    <t>hető költség-</t>
  </si>
  <si>
    <t>vetési támogatás</t>
  </si>
  <si>
    <t>Háziorvosi alapellátás</t>
  </si>
  <si>
    <t>Gyermekjóléti szolgáltatás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</si>
  <si>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</si>
  <si>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</si>
  <si>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</si>
  <si>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</si>
  <si>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</si>
  <si>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</si>
  <si>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</si>
  <si>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</si>
  <si>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</si>
  <si>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</si>
  <si>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</si>
  <si>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</si>
  <si>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>Nyugdíjas Klub</t>
  </si>
  <si>
    <t xml:space="preserve">Tekeszakosztály </t>
  </si>
  <si>
    <t>TÁRGYÉVI KIADÁSOK ÖSSZESEN:</t>
  </si>
  <si>
    <t>TÁRGYÉVI BEVÉTELEK ÉS KIADÁSOK EGYENLEGE:</t>
  </si>
  <si>
    <t xml:space="preserve">Rendszeres szociális segély     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</si>
  <si>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</si>
  <si>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</si>
  <si>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</si>
  <si>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</si>
  <si>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</si>
  <si>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</si>
  <si>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</si>
  <si>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</si>
  <si>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</si>
  <si>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</si>
  <si>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</si>
  <si>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</si>
  <si>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2015.                                     év</t>
  </si>
  <si>
    <t>2016.                                     év</t>
  </si>
  <si>
    <t>2017.                                     év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</si>
  <si>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</si>
  <si>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</si>
  <si>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</si>
  <si>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</si>
  <si>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</si>
  <si>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</si>
  <si>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</si>
  <si>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</si>
  <si>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</si>
  <si>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2014. év</t>
  </si>
  <si>
    <t>KÖZHATALMI BEVÉTELEK ÖSSZESEN:</t>
  </si>
  <si>
    <t>ravatalozó használati díj</t>
  </si>
  <si>
    <t>vendégebéd térítési díja</t>
  </si>
  <si>
    <t>működési kiadások</t>
  </si>
  <si>
    <t>felhalmozási kiadások</t>
  </si>
  <si>
    <t>felújítások</t>
  </si>
  <si>
    <t>Sághegy Leader tagdíj</t>
  </si>
  <si>
    <t>Labdarugó Szakosztály támogatása</t>
  </si>
  <si>
    <t>Foglalkoztatást helyettesítő juttatás</t>
  </si>
  <si>
    <t xml:space="preserve">Tanévkezdési támogatás </t>
  </si>
  <si>
    <t>TÁRGYÉVI KÖLTSÉGVETÉSI HIÁNY:</t>
  </si>
  <si>
    <t xml:space="preserve">       - egyéb működési kiadások</t>
  </si>
  <si>
    <t xml:space="preserve">       - egyéb felhalmozási kiadások</t>
  </si>
  <si>
    <t>szociális étkeztetés térítési díja</t>
  </si>
  <si>
    <t xml:space="preserve">Normatív lakásfenntartási támogatás </t>
  </si>
  <si>
    <t>táborozás támogatása</t>
  </si>
  <si>
    <t>talajterhelési díj</t>
  </si>
  <si>
    <t>„A közösségi közlekedés feltételrendszereinek fejlesztése Sárváron és a környező településeken” (NYDOP-3.2.1/B-12 )</t>
  </si>
  <si>
    <t>"Sitke község Önkormányzatának egészségre nevelő programja" projekt  (TÁMOP-6.12-11/1-2012-1244) 2014. évi üteme</t>
  </si>
  <si>
    <t xml:space="preserve">2015. évi 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</si>
  <si>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</si>
  <si>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</si>
  <si>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</si>
  <si>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</si>
  <si>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</si>
  <si>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</si>
  <si>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</si>
  <si>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</si>
  <si>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</si>
  <si>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</si>
  <si>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</si>
  <si>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</si>
  <si>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</si>
  <si>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</si>
  <si>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</si>
  <si>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</si>
  <si>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</si>
  <si>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</si>
  <si>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</si>
  <si>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</si>
  <si>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Kistelepülések szociális feladatainak támogatása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</si>
  <si>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</si>
  <si>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</si>
  <si>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</si>
  <si>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</si>
  <si>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</si>
  <si>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</si>
  <si>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</si>
  <si>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Működési célú központosított előirányzatok</t>
  </si>
  <si>
    <t>üdülőhelyi feladatok támogatása</t>
  </si>
  <si>
    <t>lakott külterületekkel kapcsolatos feladatok támogatása</t>
  </si>
  <si>
    <t>Helyi önkormányzatok  működésének  általános támogatása összesen:</t>
  </si>
  <si>
    <t>Egyéb működési célú támogatások bevételei államháztartáson belülről</t>
  </si>
  <si>
    <t>közfoglalkoztatás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</si>
  <si>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</si>
  <si>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</si>
  <si>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</si>
  <si>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</si>
  <si>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Egyéb felhalmozási célú támogatások bevételei államháztartáson belülről összesen:</t>
  </si>
  <si>
    <t>FELHALMOZÁSI CÉLÚ TÁMOGATÁSOK ÁLLAMHÁZ- TARTÁSON BELÜLRŐL ÖSSZESEN: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</si>
  <si>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</si>
  <si>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</si>
  <si>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</si>
  <si>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</si>
  <si>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</si>
  <si>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</si>
  <si>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</si>
  <si>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</si>
  <si>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</si>
  <si>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</si>
  <si>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</si>
  <si>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</si>
  <si>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</si>
  <si>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</si>
  <si>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</si>
  <si>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</si>
  <si>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</si>
  <si>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</si>
  <si>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</si>
  <si>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</si>
  <si>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</si>
  <si>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</si>
  <si>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</si>
  <si>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</si>
  <si>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</si>
  <si>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</si>
  <si>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</si>
  <si>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</si>
  <si>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</si>
  <si>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</si>
  <si>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</si>
  <si>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</si>
  <si>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</si>
  <si>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</si>
  <si>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</si>
  <si>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</si>
  <si>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</si>
  <si>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</si>
  <si>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2015. év</t>
  </si>
  <si>
    <t>Működési célú központosított előirányzatok összesen:</t>
  </si>
  <si>
    <t>lakott külterülettel kapcsolatos feladatok</t>
  </si>
  <si>
    <t>e.</t>
  </si>
  <si>
    <t>2014. évről áthúzódó bérkompenzáció támogatása</t>
  </si>
  <si>
    <t>Pénzbeni szociális ellátások kiegészítése</t>
  </si>
  <si>
    <t>Települési önkormányzatok szociális feladatainak egyéb támogatása</t>
  </si>
  <si>
    <t>Vidéki gazdaság és lakosság számára nyújtott alapszolgáltatások fejlesztése (mikrobusz beszerzése) támogatása</t>
  </si>
  <si>
    <t>Kápolnáért Kulturális és Sport Egyesület művelődési ház kialakításával kacsolatos támogatásának visszatérülése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</si>
  <si>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</si>
  <si>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</si>
  <si>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</si>
  <si>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</si>
  <si>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</si>
  <si>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</si>
  <si>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</si>
  <si>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</si>
  <si>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</si>
  <si>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</si>
  <si>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</si>
  <si>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</si>
  <si>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</si>
  <si>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</si>
  <si>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</si>
  <si>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</si>
  <si>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</si>
  <si>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</si>
  <si>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</si>
  <si>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</si>
  <si>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</si>
  <si>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</si>
  <si>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</si>
  <si>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</si>
  <si>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</si>
  <si>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</si>
  <si>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</si>
  <si>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</si>
  <si>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</si>
  <si>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</si>
  <si>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</si>
  <si>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</si>
  <si>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</si>
  <si>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</si>
  <si>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</si>
  <si>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</si>
  <si>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irányító szervi támogatás folyósítása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</si>
  <si>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</si>
  <si>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</si>
  <si>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</si>
  <si>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</si>
  <si>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</si>
  <si>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</si>
  <si>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</si>
  <si>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</si>
  <si>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</si>
  <si>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</si>
  <si>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</si>
  <si>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</si>
  <si>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</si>
  <si>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</si>
  <si>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</si>
  <si>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</si>
  <si>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</si>
  <si>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</si>
  <si>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</si>
  <si>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</si>
  <si>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</si>
  <si>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</si>
  <si>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</si>
  <si>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</si>
  <si>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</si>
  <si>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</si>
  <si>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</si>
  <si>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086020</t>
  </si>
  <si>
    <t>Helyi, térségi közösségi tér biztosítása, működtetése</t>
  </si>
  <si>
    <t>094260</t>
  </si>
  <si>
    <t>Hallgatói és oktatói ösztöndíjak, egyéb juttatások</t>
  </si>
  <si>
    <t>Betegséggel kapcsolatos pénzbeni ellátások, támogatások</t>
  </si>
  <si>
    <t>104042</t>
  </si>
  <si>
    <t>Munkanélküli aktív korúak ellátásai</t>
  </si>
  <si>
    <t>Lakásfenntartással, lakhatással összefüggő ellátások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</si>
  <si>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</si>
  <si>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</si>
  <si>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</si>
  <si>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</si>
  <si>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</si>
  <si>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</si>
  <si>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</si>
  <si>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</si>
  <si>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</si>
  <si>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2015. évre</t>
  </si>
  <si>
    <t>2015.év</t>
  </si>
  <si>
    <t>2015. 01.01-től</t>
  </si>
  <si>
    <t>Önkormányzati segélyek</t>
  </si>
  <si>
    <t>Sor-</t>
  </si>
  <si>
    <t>Feladat</t>
  </si>
  <si>
    <t>(a Ft-ban)</t>
  </si>
  <si>
    <t>Mindösszesen:</t>
  </si>
  <si>
    <t>2015-ben kiírásra kerülő pályázatok önrésze, saját forrásokból megvalósuló fejlesztések forrása</t>
  </si>
  <si>
    <t>ELŐZŐ ÉVEKI KÖLTSÉGVETÉSI MARADVÁNY IGÉNYBEVÉTELE 2014. ÉVRŐL ÁTHÚZÓDÓ FELADATOKRA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</si>
  <si>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</si>
  <si>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</si>
  <si>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</si>
  <si>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</si>
  <si>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</si>
  <si>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</si>
  <si>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</si>
  <si>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</si>
  <si>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</si>
  <si>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</si>
  <si>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</si>
  <si>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</si>
  <si>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</si>
  <si>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</si>
  <si>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</si>
  <si>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</si>
  <si>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</si>
  <si>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</si>
  <si>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</si>
  <si>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</si>
  <si>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</si>
  <si>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</si>
  <si>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</si>
  <si>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</si>
  <si>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</si>
  <si>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</si>
  <si>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</si>
  <si>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</si>
  <si>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</si>
  <si>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</si>
  <si>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</si>
  <si>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</si>
  <si>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</si>
  <si>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</si>
  <si>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</si>
  <si>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</si>
  <si>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</si>
  <si>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</si>
  <si>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</si>
  <si>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</si>
  <si>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</si>
  <si>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</si>
  <si>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</si>
  <si>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</si>
  <si>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</si>
  <si>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</si>
  <si>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</si>
  <si>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</si>
  <si>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</si>
  <si>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</si>
  <si>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</si>
  <si>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</si>
  <si>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</si>
  <si>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</si>
  <si>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</si>
  <si>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</si>
  <si>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</si>
  <si>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</si>
  <si>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</si>
  <si>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FELHALMOZÁSI CÉLÚ VISSZATÉRÍTENDŐ TÁMOGATÁSOK, KÖLCSÖNÖK NYÚJTÁSA ÁLLAMHÁZTARTÁSON KÍVÜLRE</t>
  </si>
  <si>
    <t>Kápolnáért Kulturális és Sport Egyesület visszatérítendő támogatása a művelődési ház kialakításához</t>
  </si>
  <si>
    <t>FELHALMOZÁSI CÉLÚ VISSZATÉRÍTENDŐ TÁMOGATÁSOK, KÖLCSÖNÖK NYÚJTÁSA ÁLLAMHÁZTARTÁSON KÍVÜLRE ÖSSZESEN:</t>
  </si>
  <si>
    <t>Általános tartalék</t>
  </si>
  <si>
    <t>Általános tartalék összesen:</t>
  </si>
  <si>
    <t>Felhalmozási célú céltartalék összesen:</t>
  </si>
  <si>
    <t>205. évi egyéb működési és felhalmozási kiadásai</t>
  </si>
  <si>
    <t>Működési és felhalmozási célú tartalékok és céltartalékok</t>
  </si>
  <si>
    <t>Költségvetési (működési és felhalmozási ) mérlege</t>
  </si>
  <si>
    <t>Sitke község Önkormányzta</t>
  </si>
  <si>
    <t>Kezességvállalások állománya</t>
  </si>
  <si>
    <t>mértéke: lakossági érdekeltségi hozzájárulás együttes összegének 20 %-a,  induláskor 11.322.424 Ft</t>
  </si>
  <si>
    <t>költségvetési tervezete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</si>
  <si>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</si>
  <si>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</si>
  <si>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</si>
  <si>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</si>
  <si>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</si>
  <si>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</si>
  <si>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</si>
  <si>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</si>
  <si>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</si>
  <si>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</si>
  <si>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</si>
  <si>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</si>
  <si>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</si>
  <si>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</si>
  <si>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</si>
  <si>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</si>
  <si>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</si>
  <si>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045160</t>
  </si>
  <si>
    <t>Közutak, hidak, alagutak üzemeltetése, fenntartása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</si>
  <si>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</si>
  <si>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</si>
  <si>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</si>
  <si>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</si>
  <si>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</si>
  <si>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</si>
  <si>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( e Ft-ban )</t>
  </si>
  <si>
    <t>Előzetesen felszámított általános forgalmi adó</t>
  </si>
  <si>
    <t>BERUHÁZÁSOK ÖSSZESEN:</t>
  </si>
  <si>
    <t>045160 Közutak, hidak, alagutak üzemeltetése, fenntartása</t>
  </si>
  <si>
    <t>Forgalmi tükör felszerelése (2014. évről áthúzódó)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</si>
  <si>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</si>
  <si>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</si>
  <si>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</si>
  <si>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</si>
  <si>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</si>
  <si>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</si>
  <si>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</si>
  <si>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</si>
  <si>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</si>
  <si>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</si>
  <si>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</si>
  <si>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</si>
  <si>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</si>
  <si>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</si>
  <si>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</si>
  <si>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</si>
  <si>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</si>
  <si>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</si>
  <si>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</si>
  <si>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</si>
  <si>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</si>
  <si>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</si>
  <si>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</si>
  <si>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</si>
  <si>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</si>
  <si>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</si>
  <si>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</si>
  <si>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</si>
  <si>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</si>
  <si>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</si>
  <si>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</si>
  <si>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</si>
  <si>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</si>
  <si>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</si>
  <si>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</si>
  <si>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</si>
  <si>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</si>
  <si>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</si>
  <si>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</si>
  <si>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</si>
  <si>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</si>
  <si>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</si>
  <si>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</si>
  <si>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</si>
  <si>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Szociális étkeztetés (562920)</t>
  </si>
  <si>
    <t>Gyermekvédelmi pénzbeni és természetbeni ellátások</t>
  </si>
  <si>
    <t>Fejezeti és általános tartalékok elszámolása</t>
  </si>
  <si>
    <t xml:space="preserve">ápolási díj </t>
  </si>
  <si>
    <t xml:space="preserve">Méltányossági közgyógyellátás    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</si>
  <si>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</si>
  <si>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</si>
  <si>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</si>
  <si>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</si>
  <si>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Rendszeres gyermekvédelmi kedvezményben részesülők Erzsébet utalványa támogatása</t>
  </si>
  <si>
    <t xml:space="preserve"> 013350 Önkormányzati vagyonnal való gazdálkodással kapcsolatos feladatok</t>
  </si>
  <si>
    <t>Sitke, 379/2 hrsz-ú ingatlan vételára</t>
  </si>
  <si>
    <t>066020 Városi és községgazdálkodási egyéb szolgáltatások</t>
  </si>
  <si>
    <t>településrendezése eszközök módosítása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</si>
  <si>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</si>
  <si>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</si>
  <si>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</si>
  <si>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</si>
  <si>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</si>
  <si>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</si>
  <si>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</si>
  <si>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</si>
  <si>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</si>
  <si>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</si>
  <si>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2014-2015. év</t>
  </si>
  <si>
    <t>2014.</t>
  </si>
  <si>
    <t>2015.</t>
  </si>
  <si>
    <t>2016.</t>
  </si>
  <si>
    <t>2017.</t>
  </si>
  <si>
    <t>2018.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</si>
  <si>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</si>
  <si>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</si>
  <si>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</si>
  <si>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</si>
  <si>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</si>
  <si>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</si>
  <si>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</si>
  <si>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</si>
  <si>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</si>
  <si>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</si>
  <si>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</si>
  <si>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</si>
  <si>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</si>
  <si>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</si>
  <si>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</si>
  <si>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</si>
  <si>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</si>
  <si>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</si>
  <si>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</si>
  <si>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</si>
  <si>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</si>
  <si>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</si>
  <si>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</si>
  <si>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</si>
  <si>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</si>
  <si>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</si>
  <si>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</si>
  <si>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</si>
  <si>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</si>
  <si>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</si>
  <si>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</si>
  <si>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</si>
  <si>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</si>
  <si>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</si>
  <si>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</si>
  <si>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</si>
  <si>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</si>
  <si>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</si>
  <si>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</si>
  <si>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</si>
  <si>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</si>
  <si>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</si>
  <si>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</si>
  <si>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Sitke község Önkormányzata saját bevételeinek, valamint az adósságot keletkeztető ügyleteiből eredő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</si>
  <si>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</si>
  <si>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</si>
  <si>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</si>
  <si>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</si>
  <si>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</si>
  <si>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</si>
  <si>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</si>
  <si>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</si>
  <si>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</si>
  <si>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2016-2018. év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</si>
  <si>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</si>
  <si>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</si>
  <si>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</si>
  <si>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</si>
  <si>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</si>
  <si>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</si>
  <si>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</si>
  <si>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</si>
  <si>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</si>
  <si>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</si>
  <si>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</si>
  <si>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</si>
  <si>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(2014. december 31-i állapot szerint)</t>
  </si>
  <si>
    <t>1. melléklet  a  2/2015. (II. 10.) önkormányzati rendelethez</t>
  </si>
  <si>
    <t>2. melléklet  a  2/2015. (II. 10.) önkormányzati rendelethez</t>
  </si>
  <si>
    <t>3. melléklet  a  2/2015. (II. 10.) önkormányzati rendelethez</t>
  </si>
  <si>
    <t>4. melléklet  a  2/2015. (II. 10.) önkormányzati rendelethez</t>
  </si>
  <si>
    <t>5. melléklet  a  2/2015. (II. 10.) önkormányzati rendelethez</t>
  </si>
  <si>
    <t>6. melléklet  a  2/2015. (II. 10.) önkormányzati rendelethez</t>
  </si>
  <si>
    <t>7. melléklet  a  2/2015. (II. 10.) önkormányzati rendelethez</t>
  </si>
  <si>
    <t>8. melléklet a 2/2015. (II. 10.) önkormányzati rendelethez</t>
  </si>
  <si>
    <t>9. melléklet a 2/2015. (II. 10.) önkormányzati rendelethez</t>
  </si>
  <si>
    <t>10. melléklet a 2/2015. (II. 10.) önkormányzati rendelethez</t>
  </si>
  <si>
    <t>11. melléklet a 2/2015. (II. 10.) önkormányzati rendelethez</t>
  </si>
  <si>
    <t>12. melléklet a 2/2015. (II. 10.) önkormányzati rendelethez</t>
  </si>
  <si>
    <t>13. melléklet a 2/2015. (II. 10.) önkormányzati rendelethez</t>
  </si>
  <si>
    <t>14. melléklet  a  2/2015. (II. 10.) önkormányzati rendelethez</t>
  </si>
  <si>
    <t>15. melléklet  a  2/2015. (II. 10.) önkormányzati rendelethez</t>
  </si>
  <si>
    <t>16. melléklet  a  2/2015. (II. 10.)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</si>
</sst>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</numFmts>
  <fonts count="51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ck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0" fillId="0" borderId="0" applyFont="0" applyFill="0" applyBorder="0" applyAlignment="0" applyProtection="0"/>
  </cellStyleXfs>
  <cellXfs count="70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8" applyFont="1" applyBorder="1" applyAlignment="1">
      <alignment horizontal="center"/>
      <protection/>
    </xf>
    <xf numFmtId="0" fontId="12" fillId="0" borderId="0" xfId="58" applyFont="1" applyBorder="1">
      <alignment/>
      <protection/>
    </xf>
    <xf numFmtId="0" fontId="12" fillId="0" borderId="0" xfId="58" applyFont="1">
      <alignment/>
      <protection/>
    </xf>
    <xf numFmtId="0" fontId="6" fillId="0" borderId="0" xfId="58" applyFont="1">
      <alignment/>
      <protection/>
    </xf>
    <xf numFmtId="164" fontId="6" fillId="0" borderId="0" xfId="58" applyNumberFormat="1" applyFont="1">
      <alignment/>
      <protection/>
    </xf>
    <xf numFmtId="164" fontId="12" fillId="0" borderId="0" xfId="58" applyNumberFormat="1" applyFont="1">
      <alignment/>
      <protection/>
    </xf>
    <xf numFmtId="0" fontId="4" fillId="0" borderId="0" xfId="61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60" applyFont="1">
      <alignment/>
      <protection/>
    </xf>
    <xf numFmtId="0" fontId="12" fillId="0" borderId="0" xfId="61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60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60" applyFont="1" applyBorder="1">
      <alignment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2" fillId="0" borderId="0" xfId="57" applyFont="1">
      <alignment/>
      <protection/>
    </xf>
    <xf numFmtId="0" fontId="4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14" fillId="0" borderId="0" xfId="57" applyFont="1" applyAlignment="1">
      <alignment/>
      <protection/>
    </xf>
    <xf numFmtId="41" fontId="6" fillId="0" borderId="0" xfId="57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5" fillId="0" borderId="0" xfId="57" applyFont="1" applyAlignment="1">
      <alignment/>
      <protection/>
    </xf>
    <xf numFmtId="41" fontId="10" fillId="0" borderId="0" xfId="57" applyNumberFormat="1" applyFont="1" applyAlignment="1">
      <alignment horizontal="centerContinuous"/>
      <protection/>
    </xf>
    <xf numFmtId="0" fontId="11" fillId="0" borderId="0" xfId="57" applyFont="1">
      <alignment/>
      <protection/>
    </xf>
    <xf numFmtId="0" fontId="12" fillId="0" borderId="0" xfId="57" applyFont="1" applyAlignment="1">
      <alignment horizontal="right"/>
      <protection/>
    </xf>
    <xf numFmtId="41" fontId="13" fillId="0" borderId="0" xfId="57" applyNumberFormat="1" applyFont="1">
      <alignment/>
      <protection/>
    </xf>
    <xf numFmtId="41" fontId="6" fillId="0" borderId="0" xfId="57" applyNumberFormat="1" applyFont="1">
      <alignment/>
      <protection/>
    </xf>
    <xf numFmtId="0" fontId="14" fillId="0" borderId="0" xfId="57" applyFont="1">
      <alignment/>
      <protection/>
    </xf>
    <xf numFmtId="41" fontId="13" fillId="0" borderId="0" xfId="57" applyNumberFormat="1" applyFont="1" applyBorder="1">
      <alignment/>
      <protection/>
    </xf>
    <xf numFmtId="0" fontId="7" fillId="0" borderId="0" xfId="57" applyFont="1">
      <alignment/>
      <protection/>
    </xf>
    <xf numFmtId="0" fontId="11" fillId="0" borderId="0" xfId="60" applyFont="1">
      <alignment/>
      <protection/>
    </xf>
    <xf numFmtId="0" fontId="10" fillId="0" borderId="0" xfId="60" applyFont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0" fillId="0" borderId="10" xfId="60" applyFont="1" applyBorder="1" applyAlignment="1">
      <alignment horizontal="center"/>
      <protection/>
    </xf>
    <xf numFmtId="0" fontId="10" fillId="0" borderId="11" xfId="60" applyFont="1" applyBorder="1" applyAlignment="1">
      <alignment horizontal="center"/>
      <protection/>
    </xf>
    <xf numFmtId="0" fontId="10" fillId="0" borderId="12" xfId="60" applyFont="1" applyBorder="1" applyAlignment="1">
      <alignment horizontal="center"/>
      <protection/>
    </xf>
    <xf numFmtId="0" fontId="11" fillId="0" borderId="13" xfId="60" applyFont="1" applyBorder="1">
      <alignment/>
      <protection/>
    </xf>
    <xf numFmtId="0" fontId="10" fillId="0" borderId="14" xfId="60" applyFont="1" applyBorder="1" applyAlignment="1">
      <alignment horizontal="center"/>
      <protection/>
    </xf>
    <xf numFmtId="0" fontId="10" fillId="0" borderId="15" xfId="60" applyFont="1" applyBorder="1" applyAlignment="1">
      <alignment horizontal="center"/>
      <protection/>
    </xf>
    <xf numFmtId="0" fontId="10" fillId="0" borderId="0" xfId="60" applyFont="1">
      <alignment/>
      <protection/>
    </xf>
    <xf numFmtId="0" fontId="16" fillId="0" borderId="0" xfId="60" applyFont="1">
      <alignment/>
      <protection/>
    </xf>
    <xf numFmtId="0" fontId="17" fillId="0" borderId="0" xfId="60" applyFont="1">
      <alignment/>
      <protection/>
    </xf>
    <xf numFmtId="168" fontId="12" fillId="0" borderId="0" xfId="40" applyNumberFormat="1" applyFont="1" applyAlignment="1">
      <alignment horizontal="centerContinuous"/>
    </xf>
    <xf numFmtId="168" fontId="12" fillId="0" borderId="0" xfId="40" applyNumberFormat="1" applyFont="1" applyAlignment="1">
      <alignment horizontal="center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6" fillId="0" borderId="11" xfId="40" applyNumberFormat="1" applyFont="1" applyBorder="1" applyAlignment="1">
      <alignment horizontal="center" wrapText="1"/>
    </xf>
    <xf numFmtId="168" fontId="6" fillId="0" borderId="13" xfId="40" applyNumberFormat="1" applyFont="1" applyBorder="1" applyAlignment="1">
      <alignment horizontal="center" wrapText="1"/>
    </xf>
    <xf numFmtId="168" fontId="6" fillId="0" borderId="15" xfId="40" applyNumberFormat="1" applyFont="1" applyBorder="1" applyAlignment="1">
      <alignment horizontal="center" wrapText="1"/>
    </xf>
    <xf numFmtId="168" fontId="11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8" applyFont="1">
      <alignment/>
      <protection/>
    </xf>
    <xf numFmtId="0" fontId="9" fillId="0" borderId="0" xfId="0" applyFont="1" applyAlignment="1">
      <alignment horizontal="center"/>
    </xf>
    <xf numFmtId="168" fontId="11" fillId="0" borderId="0" xfId="40" applyNumberFormat="1" applyFont="1" applyAlignment="1">
      <alignment horizontal="right"/>
    </xf>
    <xf numFmtId="168" fontId="11" fillId="0" borderId="0" xfId="40" applyNumberFormat="1" applyFont="1" applyBorder="1" applyAlignment="1">
      <alignment/>
    </xf>
    <xf numFmtId="168" fontId="17" fillId="0" borderId="0" xfId="40" applyNumberFormat="1" applyFont="1" applyAlignment="1">
      <alignment/>
    </xf>
    <xf numFmtId="168" fontId="16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60" applyNumberFormat="1" applyFont="1" applyBorder="1">
      <alignment/>
      <protection/>
    </xf>
    <xf numFmtId="0" fontId="12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12" fillId="0" borderId="0" xfId="58" applyFont="1" applyAlignment="1">
      <alignment/>
      <protection/>
    </xf>
    <xf numFmtId="0" fontId="12" fillId="0" borderId="0" xfId="58" applyFont="1" applyAlignment="1">
      <alignment horizontal="left"/>
      <protection/>
    </xf>
    <xf numFmtId="0" fontId="12" fillId="0" borderId="16" xfId="58" applyFont="1" applyBorder="1" applyAlignment="1">
      <alignment horizontal="left"/>
      <protection/>
    </xf>
    <xf numFmtId="0" fontId="12" fillId="0" borderId="16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0" fontId="12" fillId="0" borderId="13" xfId="58" applyFont="1" applyBorder="1" applyAlignment="1">
      <alignment horizontal="center"/>
      <protection/>
    </xf>
    <xf numFmtId="0" fontId="12" fillId="0" borderId="13" xfId="58" applyFont="1" applyBorder="1">
      <alignment/>
      <protection/>
    </xf>
    <xf numFmtId="0" fontId="12" fillId="0" borderId="15" xfId="58" applyFont="1" applyBorder="1" applyAlignment="1">
      <alignment horizontal="center"/>
      <protection/>
    </xf>
    <xf numFmtId="0" fontId="12" fillId="0" borderId="0" xfId="56" applyFont="1">
      <alignment/>
      <protection/>
    </xf>
    <xf numFmtId="0" fontId="21" fillId="0" borderId="0" xfId="58" applyFont="1">
      <alignment/>
      <protection/>
    </xf>
    <xf numFmtId="0" fontId="10" fillId="0" borderId="0" xfId="58" applyFont="1" applyAlignment="1">
      <alignment/>
      <protection/>
    </xf>
    <xf numFmtId="0" fontId="7" fillId="0" borderId="0" xfId="58" applyFont="1" applyAlignment="1">
      <alignment horizontal="centerContinuous"/>
      <protection/>
    </xf>
    <xf numFmtId="0" fontId="7" fillId="0" borderId="0" xfId="58" applyFont="1" applyAlignment="1">
      <alignment horizontal="center"/>
      <protection/>
    </xf>
    <xf numFmtId="0" fontId="4" fillId="0" borderId="17" xfId="58" applyFont="1" applyBorder="1" applyAlignment="1">
      <alignment/>
      <protection/>
    </xf>
    <xf numFmtId="0" fontId="4" fillId="0" borderId="18" xfId="58" applyFont="1" applyBorder="1" applyAlignment="1">
      <alignment horizontal="center"/>
      <protection/>
    </xf>
    <xf numFmtId="0" fontId="4" fillId="0" borderId="0" xfId="58" applyFont="1">
      <alignment/>
      <protection/>
    </xf>
    <xf numFmtId="0" fontId="4" fillId="0" borderId="19" xfId="58" applyFont="1" applyBorder="1">
      <alignment/>
      <protection/>
    </xf>
    <xf numFmtId="0" fontId="4" fillId="0" borderId="12" xfId="58" applyFont="1" applyBorder="1" applyAlignment="1">
      <alignment horizontal="center"/>
      <protection/>
    </xf>
    <xf numFmtId="0" fontId="4" fillId="0" borderId="20" xfId="58" applyFont="1" applyBorder="1">
      <alignment/>
      <protection/>
    </xf>
    <xf numFmtId="0" fontId="4" fillId="0" borderId="14" xfId="58" applyFont="1" applyBorder="1" applyAlignment="1">
      <alignment horizontal="center"/>
      <protection/>
    </xf>
    <xf numFmtId="0" fontId="4" fillId="0" borderId="21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/>
      <protection/>
    </xf>
    <xf numFmtId="0" fontId="4" fillId="0" borderId="22" xfId="58" applyFont="1" applyBorder="1">
      <alignment/>
      <protection/>
    </xf>
    <xf numFmtId="0" fontId="7" fillId="0" borderId="23" xfId="58" applyFont="1" applyBorder="1" applyAlignment="1">
      <alignment horizontal="right"/>
      <protection/>
    </xf>
    <xf numFmtId="0" fontId="7" fillId="0" borderId="24" xfId="58" applyFont="1" applyBorder="1" applyAlignment="1">
      <alignment horizontal="left"/>
      <protection/>
    </xf>
    <xf numFmtId="168" fontId="7" fillId="0" borderId="24" xfId="40" applyNumberFormat="1" applyFont="1" applyBorder="1" applyAlignment="1">
      <alignment horizontal="right"/>
    </xf>
    <xf numFmtId="168" fontId="7" fillId="0" borderId="25" xfId="40" applyNumberFormat="1" applyFont="1" applyBorder="1" applyAlignment="1">
      <alignment horizontal="right"/>
    </xf>
    <xf numFmtId="168" fontId="7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7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8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168" fontId="18" fillId="0" borderId="0" xfId="40" applyNumberFormat="1" applyFont="1" applyAlignment="1">
      <alignment wrapText="1"/>
    </xf>
    <xf numFmtId="168" fontId="18" fillId="0" borderId="0" xfId="40" applyNumberFormat="1" applyFont="1" applyAlignment="1">
      <alignment/>
    </xf>
    <xf numFmtId="168" fontId="12" fillId="0" borderId="11" xfId="40" applyNumberFormat="1" applyFont="1" applyBorder="1" applyAlignment="1">
      <alignment horizontal="center"/>
    </xf>
    <xf numFmtId="0" fontId="11" fillId="0" borderId="11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 vertical="center"/>
      <protection/>
    </xf>
    <xf numFmtId="168" fontId="12" fillId="0" borderId="13" xfId="40" applyNumberFormat="1" applyFont="1" applyBorder="1" applyAlignment="1">
      <alignment horizontal="center"/>
    </xf>
    <xf numFmtId="168" fontId="12" fillId="0" borderId="15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6" fillId="0" borderId="0" xfId="58" applyFont="1" applyBorder="1" applyAlignment="1">
      <alignment horizontal="center" vertical="center"/>
      <protection/>
    </xf>
    <xf numFmtId="168" fontId="12" fillId="0" borderId="0" xfId="40" applyNumberFormat="1" applyFont="1" applyBorder="1" applyAlignment="1">
      <alignment horizontal="center"/>
    </xf>
    <xf numFmtId="0" fontId="12" fillId="0" borderId="0" xfId="58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12" fillId="0" borderId="0" xfId="0" applyNumberFormat="1" applyFont="1" applyAlignment="1">
      <alignment wrapText="1"/>
    </xf>
    <xf numFmtId="168" fontId="12" fillId="0" borderId="0" xfId="40" applyNumberFormat="1" applyFont="1" applyBorder="1" applyAlignment="1">
      <alignment horizontal="center"/>
    </xf>
    <xf numFmtId="168" fontId="12" fillId="0" borderId="0" xfId="40" applyNumberFormat="1" applyFont="1" applyAlignment="1">
      <alignment horizontal="left" wrapText="1"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168" fontId="16" fillId="0" borderId="0" xfId="0" applyNumberFormat="1" applyFont="1" applyAlignment="1">
      <alignment/>
    </xf>
    <xf numFmtId="0" fontId="23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60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10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11" fillId="0" borderId="0" xfId="58" applyFont="1">
      <alignment/>
      <protection/>
    </xf>
    <xf numFmtId="0" fontId="11" fillId="0" borderId="26" xfId="60" applyFont="1" applyBorder="1" applyAlignment="1" quotePrefix="1">
      <alignment horizontal="center" vertical="center" wrapText="1"/>
      <protection/>
    </xf>
    <xf numFmtId="0" fontId="11" fillId="0" borderId="27" xfId="60" applyFont="1" applyBorder="1" applyAlignment="1">
      <alignment horizontal="left" wrapText="1"/>
      <protection/>
    </xf>
    <xf numFmtId="0" fontId="11" fillId="0" borderId="28" xfId="61" applyFont="1" applyBorder="1">
      <alignment/>
      <protection/>
    </xf>
    <xf numFmtId="0" fontId="11" fillId="0" borderId="29" xfId="61" applyFont="1" applyBorder="1">
      <alignment/>
      <protection/>
    </xf>
    <xf numFmtId="0" fontId="11" fillId="0" borderId="30" xfId="60" applyFont="1" applyBorder="1" applyAlignment="1" quotePrefix="1">
      <alignment horizontal="center" vertical="center" wrapText="1"/>
      <protection/>
    </xf>
    <xf numFmtId="0" fontId="11" fillId="0" borderId="31" xfId="61" applyFont="1" applyBorder="1">
      <alignment/>
      <protection/>
    </xf>
    <xf numFmtId="0" fontId="11" fillId="0" borderId="32" xfId="61" applyFont="1" applyBorder="1">
      <alignment/>
      <protection/>
    </xf>
    <xf numFmtId="0" fontId="11" fillId="0" borderId="33" xfId="61" applyFont="1" applyBorder="1">
      <alignment/>
      <protection/>
    </xf>
    <xf numFmtId="0" fontId="11" fillId="0" borderId="27" xfId="61" applyFont="1" applyBorder="1">
      <alignment/>
      <protection/>
    </xf>
    <xf numFmtId="0" fontId="10" fillId="0" borderId="34" xfId="61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60" applyFont="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0" fontId="11" fillId="0" borderId="33" xfId="60" applyFont="1" applyBorder="1" applyAlignment="1">
      <alignment horizontal="right"/>
      <protection/>
    </xf>
    <xf numFmtId="0" fontId="11" fillId="0" borderId="28" xfId="60" applyFont="1" applyBorder="1" applyAlignment="1">
      <alignment horizontal="right"/>
      <protection/>
    </xf>
    <xf numFmtId="0" fontId="11" fillId="0" borderId="28" xfId="60" applyFont="1" applyBorder="1">
      <alignment/>
      <protection/>
    </xf>
    <xf numFmtId="0" fontId="12" fillId="0" borderId="0" xfId="58" applyFont="1">
      <alignment/>
      <protection/>
    </xf>
    <xf numFmtId="0" fontId="18" fillId="0" borderId="0" xfId="58" applyFont="1">
      <alignment/>
      <protection/>
    </xf>
    <xf numFmtId="0" fontId="18" fillId="0" borderId="0" xfId="58" applyFont="1" applyAlignment="1">
      <alignment horizontal="center"/>
      <protection/>
    </xf>
    <xf numFmtId="0" fontId="18" fillId="0" borderId="0" xfId="0" applyFont="1" applyAlignment="1">
      <alignment/>
    </xf>
    <xf numFmtId="0" fontId="6" fillId="0" borderId="11" xfId="58" applyFont="1" applyBorder="1">
      <alignment/>
      <protection/>
    </xf>
    <xf numFmtId="0" fontId="6" fillId="0" borderId="10" xfId="58" applyFont="1" applyBorder="1" applyAlignment="1">
      <alignment horizontal="center"/>
      <protection/>
    </xf>
    <xf numFmtId="0" fontId="6" fillId="0" borderId="11" xfId="58" applyFont="1" applyBorder="1" applyAlignment="1">
      <alignment horizontal="center"/>
      <protection/>
    </xf>
    <xf numFmtId="0" fontId="6" fillId="0" borderId="13" xfId="58" applyFont="1" applyBorder="1">
      <alignment/>
      <protection/>
    </xf>
    <xf numFmtId="0" fontId="6" fillId="0" borderId="12" xfId="58" applyFont="1" applyBorder="1" applyAlignment="1">
      <alignment horizontal="center"/>
      <protection/>
    </xf>
    <xf numFmtId="0" fontId="6" fillId="0" borderId="13" xfId="58" applyFont="1" applyBorder="1" applyAlignment="1">
      <alignment horizontal="center"/>
      <protection/>
    </xf>
    <xf numFmtId="0" fontId="6" fillId="0" borderId="15" xfId="58" applyFont="1" applyBorder="1">
      <alignment/>
      <protection/>
    </xf>
    <xf numFmtId="0" fontId="4" fillId="0" borderId="15" xfId="58" applyFont="1" applyBorder="1" applyAlignment="1">
      <alignment horizontal="center"/>
      <protection/>
    </xf>
    <xf numFmtId="168" fontId="6" fillId="0" borderId="34" xfId="40" applyNumberFormat="1" applyFont="1" applyBorder="1" applyAlignment="1">
      <alignment/>
    </xf>
    <xf numFmtId="0" fontId="12" fillId="0" borderId="34" xfId="58" applyFont="1" applyBorder="1">
      <alignment/>
      <protection/>
    </xf>
    <xf numFmtId="0" fontId="6" fillId="0" borderId="35" xfId="58" applyFont="1" applyBorder="1">
      <alignment/>
      <protection/>
    </xf>
    <xf numFmtId="0" fontId="6" fillId="0" borderId="16" xfId="58" applyFont="1" applyBorder="1">
      <alignment/>
      <protection/>
    </xf>
    <xf numFmtId="168" fontId="6" fillId="0" borderId="15" xfId="40" applyNumberFormat="1" applyFont="1" applyBorder="1" applyAlignment="1">
      <alignment/>
    </xf>
    <xf numFmtId="0" fontId="6" fillId="0" borderId="0" xfId="58" applyFont="1">
      <alignment/>
      <protection/>
    </xf>
    <xf numFmtId="0" fontId="12" fillId="0" borderId="34" xfId="58" applyFont="1" applyBorder="1" applyAlignment="1">
      <alignment horizontal="right"/>
      <protection/>
    </xf>
    <xf numFmtId="0" fontId="12" fillId="0" borderId="35" xfId="58" applyFont="1" applyBorder="1" applyAlignment="1">
      <alignment wrapText="1"/>
      <protection/>
    </xf>
    <xf numFmtId="168" fontId="12" fillId="0" borderId="34" xfId="40" applyNumberFormat="1" applyFont="1" applyBorder="1" applyAlignment="1">
      <alignment/>
    </xf>
    <xf numFmtId="168" fontId="18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8" applyFont="1" applyAlignment="1">
      <alignment horizontal="right"/>
      <protection/>
    </xf>
    <xf numFmtId="0" fontId="6" fillId="0" borderId="11" xfId="58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6" fillId="0" borderId="15" xfId="58" applyFont="1" applyBorder="1" applyAlignment="1">
      <alignment horizontal="center"/>
      <protection/>
    </xf>
    <xf numFmtId="168" fontId="6" fillId="0" borderId="15" xfId="40" applyNumberFormat="1" applyFont="1" applyBorder="1" applyAlignment="1">
      <alignment horizontal="center"/>
    </xf>
    <xf numFmtId="0" fontId="12" fillId="0" borderId="0" xfId="58" applyFont="1" applyBorder="1" applyAlignment="1">
      <alignment horizontal="right"/>
      <protection/>
    </xf>
    <xf numFmtId="0" fontId="12" fillId="0" borderId="0" xfId="58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8" applyFont="1" applyBorder="1" applyAlignment="1">
      <alignment wrapText="1"/>
      <protection/>
    </xf>
    <xf numFmtId="0" fontId="12" fillId="0" borderId="28" xfId="58" applyFont="1" applyBorder="1" applyAlignment="1">
      <alignment horizontal="right"/>
      <protection/>
    </xf>
    <xf numFmtId="0" fontId="12" fillId="0" borderId="28" xfId="58" applyFont="1" applyBorder="1" applyAlignment="1">
      <alignment/>
      <protection/>
    </xf>
    <xf numFmtId="168" fontId="12" fillId="0" borderId="28" xfId="4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8" applyNumberFormat="1" applyFont="1">
      <alignment/>
      <protection/>
    </xf>
    <xf numFmtId="0" fontId="6" fillId="0" borderId="34" xfId="58" applyFont="1" applyBorder="1" applyAlignment="1">
      <alignment horizontal="right"/>
      <protection/>
    </xf>
    <xf numFmtId="0" fontId="6" fillId="0" borderId="34" xfId="58" applyFont="1" applyBorder="1">
      <alignment/>
      <protection/>
    </xf>
    <xf numFmtId="168" fontId="6" fillId="0" borderId="34" xfId="40" applyNumberFormat="1" applyFont="1" applyBorder="1" applyAlignment="1">
      <alignment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9" applyFont="1">
      <alignment/>
      <protection/>
    </xf>
    <xf numFmtId="0" fontId="6" fillId="0" borderId="0" xfId="59" applyFont="1" applyBorder="1" applyAlignment="1">
      <alignment horizontal="center"/>
      <protection/>
    </xf>
    <xf numFmtId="0" fontId="25" fillId="0" borderId="28" xfId="0" applyFont="1" applyBorder="1" applyAlignment="1">
      <alignment/>
    </xf>
    <xf numFmtId="168" fontId="6" fillId="0" borderId="28" xfId="40" applyNumberFormat="1" applyFont="1" applyBorder="1" applyAlignment="1">
      <alignment/>
    </xf>
    <xf numFmtId="0" fontId="6" fillId="0" borderId="0" xfId="59" applyFont="1">
      <alignment/>
      <protection/>
    </xf>
    <xf numFmtId="0" fontId="6" fillId="0" borderId="34" xfId="59" applyFont="1" applyBorder="1" applyAlignment="1">
      <alignment horizontal="right"/>
      <protection/>
    </xf>
    <xf numFmtId="0" fontId="6" fillId="0" borderId="34" xfId="59" applyFont="1" applyBorder="1">
      <alignment/>
      <protection/>
    </xf>
    <xf numFmtId="168" fontId="6" fillId="0" borderId="34" xfId="59" applyNumberFormat="1" applyFont="1" applyBorder="1" applyAlignment="1">
      <alignment/>
      <protection/>
    </xf>
    <xf numFmtId="168" fontId="6" fillId="0" borderId="0" xfId="59" applyNumberFormat="1" applyFont="1">
      <alignment/>
      <protection/>
    </xf>
    <xf numFmtId="0" fontId="12" fillId="0" borderId="0" xfId="59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1" fillId="0" borderId="0" xfId="60" applyFont="1" applyAlignment="1">
      <alignment horizontal="left" wrapText="1"/>
      <protection/>
    </xf>
    <xf numFmtId="0" fontId="6" fillId="0" borderId="14" xfId="58" applyFont="1" applyBorder="1" applyAlignment="1">
      <alignment horizontal="center"/>
      <protection/>
    </xf>
    <xf numFmtId="14" fontId="4" fillId="0" borderId="0" xfId="0" applyNumberFormat="1" applyFont="1" applyAlignment="1">
      <alignment/>
    </xf>
    <xf numFmtId="0" fontId="11" fillId="0" borderId="22" xfId="61" applyFont="1" applyBorder="1">
      <alignment/>
      <protection/>
    </xf>
    <xf numFmtId="0" fontId="23" fillId="0" borderId="34" xfId="58" applyFont="1" applyBorder="1" applyAlignment="1">
      <alignment horizontal="center"/>
      <protection/>
    </xf>
    <xf numFmtId="0" fontId="7" fillId="0" borderId="34" xfId="58" applyFont="1" applyBorder="1" applyAlignment="1">
      <alignment horizontal="center"/>
      <protection/>
    </xf>
    <xf numFmtId="164" fontId="11" fillId="0" borderId="32" xfId="61" applyNumberFormat="1" applyFont="1" applyBorder="1">
      <alignment/>
      <protection/>
    </xf>
    <xf numFmtId="164" fontId="11" fillId="0" borderId="28" xfId="61" applyNumberFormat="1" applyFont="1" applyBorder="1">
      <alignment/>
      <protection/>
    </xf>
    <xf numFmtId="14" fontId="7" fillId="0" borderId="0" xfId="0" applyNumberFormat="1" applyFont="1" applyAlignment="1">
      <alignment/>
    </xf>
    <xf numFmtId="0" fontId="26" fillId="0" borderId="0" xfId="58" applyFont="1">
      <alignment/>
      <protection/>
    </xf>
    <xf numFmtId="0" fontId="26" fillId="0" borderId="0" xfId="58" applyFont="1" applyAlignment="1">
      <alignment horizontal="center"/>
      <protection/>
    </xf>
    <xf numFmtId="168" fontId="26" fillId="0" borderId="0" xfId="40" applyNumberFormat="1" applyFont="1" applyAlignment="1">
      <alignment/>
    </xf>
    <xf numFmtId="0" fontId="11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3" fillId="0" borderId="0" xfId="58" applyFont="1" applyAlignment="1">
      <alignment horizontal="center"/>
      <protection/>
    </xf>
    <xf numFmtId="168" fontId="23" fillId="0" borderId="0" xfId="40" applyNumberFormat="1" applyFont="1" applyAlignment="1">
      <alignment horizontal="centerContinuous"/>
    </xf>
    <xf numFmtId="168" fontId="23" fillId="0" borderId="0" xfId="40" applyNumberFormat="1" applyFont="1" applyAlignment="1">
      <alignment/>
    </xf>
    <xf numFmtId="168" fontId="23" fillId="0" borderId="36" xfId="40" applyNumberFormat="1" applyFont="1" applyBorder="1" applyAlignment="1">
      <alignment horizontal="center"/>
    </xf>
    <xf numFmtId="168" fontId="23" fillId="0" borderId="11" xfId="40" applyNumberFormat="1" applyFont="1" applyBorder="1" applyAlignment="1">
      <alignment horizontal="center"/>
    </xf>
    <xf numFmtId="168" fontId="23" fillId="0" borderId="11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1" fillId="0" borderId="37" xfId="60" applyFont="1" applyBorder="1" applyAlignment="1" quotePrefix="1">
      <alignment horizontal="center" vertical="center" wrapText="1"/>
      <protection/>
    </xf>
    <xf numFmtId="0" fontId="11" fillId="0" borderId="0" xfId="60" applyFont="1" applyBorder="1" applyAlignment="1">
      <alignment horizontal="left" wrapText="1"/>
      <protection/>
    </xf>
    <xf numFmtId="168" fontId="4" fillId="0" borderId="22" xfId="40" applyNumberFormat="1" applyFont="1" applyBorder="1" applyAlignment="1">
      <alignment/>
    </xf>
    <xf numFmtId="168" fontId="4" fillId="0" borderId="38" xfId="40" applyNumberFormat="1" applyFont="1" applyBorder="1" applyAlignment="1">
      <alignment/>
    </xf>
    <xf numFmtId="168" fontId="4" fillId="0" borderId="28" xfId="40" applyNumberFormat="1" applyFont="1" applyBorder="1" applyAlignment="1">
      <alignment/>
    </xf>
    <xf numFmtId="168" fontId="4" fillId="0" borderId="39" xfId="40" applyNumberFormat="1" applyFont="1" applyBorder="1" applyAlignment="1">
      <alignment/>
    </xf>
    <xf numFmtId="0" fontId="10" fillId="0" borderId="40" xfId="61" applyFont="1" applyBorder="1">
      <alignment/>
      <protection/>
    </xf>
    <xf numFmtId="0" fontId="10" fillId="0" borderId="34" xfId="61" applyFont="1" applyBorder="1">
      <alignment/>
      <protection/>
    </xf>
    <xf numFmtId="168" fontId="4" fillId="0" borderId="34" xfId="40" applyNumberFormat="1" applyFont="1" applyBorder="1" applyAlignment="1">
      <alignment/>
    </xf>
    <xf numFmtId="0" fontId="11" fillId="0" borderId="41" xfId="60" applyFont="1" applyBorder="1" applyAlignment="1" quotePrefix="1">
      <alignment horizontal="center" vertical="center" wrapText="1"/>
      <protection/>
    </xf>
    <xf numFmtId="0" fontId="4" fillId="0" borderId="34" xfId="0" applyFont="1" applyBorder="1" applyAlignment="1">
      <alignment/>
    </xf>
    <xf numFmtId="0" fontId="22" fillId="0" borderId="0" xfId="0" applyFont="1" applyAlignment="1">
      <alignment/>
    </xf>
    <xf numFmtId="0" fontId="11" fillId="0" borderId="29" xfId="60" applyFont="1" applyBorder="1" applyAlignment="1">
      <alignment horizontal="right"/>
      <protection/>
    </xf>
    <xf numFmtId="0" fontId="22" fillId="0" borderId="28" xfId="60" applyFont="1" applyBorder="1">
      <alignment/>
      <protection/>
    </xf>
    <xf numFmtId="0" fontId="22" fillId="0" borderId="32" xfId="60" applyFont="1" applyBorder="1">
      <alignment/>
      <protection/>
    </xf>
    <xf numFmtId="0" fontId="11" fillId="0" borderId="32" xfId="60" applyFont="1" applyBorder="1">
      <alignment/>
      <protection/>
    </xf>
    <xf numFmtId="0" fontId="11" fillId="0" borderId="39" xfId="60" applyFont="1" applyBorder="1">
      <alignment/>
      <protection/>
    </xf>
    <xf numFmtId="0" fontId="11" fillId="0" borderId="42" xfId="60" applyFont="1" applyBorder="1">
      <alignment/>
      <protection/>
    </xf>
    <xf numFmtId="0" fontId="10" fillId="0" borderId="40" xfId="60" applyFont="1" applyBorder="1">
      <alignment/>
      <protection/>
    </xf>
    <xf numFmtId="0" fontId="10" fillId="0" borderId="34" xfId="60" applyFont="1" applyBorder="1">
      <alignment/>
      <protection/>
    </xf>
    <xf numFmtId="0" fontId="10" fillId="0" borderId="40" xfId="60" applyFont="1" applyBorder="1" applyAlignment="1">
      <alignment horizontal="right"/>
      <protection/>
    </xf>
    <xf numFmtId="0" fontId="10" fillId="0" borderId="34" xfId="60" applyFont="1" applyBorder="1" applyAlignment="1">
      <alignment horizontal="right"/>
      <protection/>
    </xf>
    <xf numFmtId="0" fontId="22" fillId="0" borderId="0" xfId="60" applyFont="1">
      <alignment/>
      <protection/>
    </xf>
    <xf numFmtId="0" fontId="7" fillId="0" borderId="0" xfId="60" applyFont="1" applyAlignment="1">
      <alignment/>
      <protection/>
    </xf>
    <xf numFmtId="0" fontId="27" fillId="0" borderId="0" xfId="0" applyFont="1" applyAlignment="1">
      <alignment horizontal="left"/>
    </xf>
    <xf numFmtId="0" fontId="6" fillId="0" borderId="0" xfId="61" applyFont="1" applyAlignment="1">
      <alignment horizontal="centerContinuous"/>
      <protection/>
    </xf>
    <xf numFmtId="0" fontId="28" fillId="0" borderId="0" xfId="61" applyFont="1">
      <alignment/>
      <protection/>
    </xf>
    <xf numFmtId="0" fontId="6" fillId="0" borderId="11" xfId="61" applyFont="1" applyBorder="1">
      <alignment/>
      <protection/>
    </xf>
    <xf numFmtId="0" fontId="6" fillId="0" borderId="11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5" xfId="61" applyFont="1" applyBorder="1">
      <alignment/>
      <protection/>
    </xf>
    <xf numFmtId="0" fontId="6" fillId="0" borderId="15" xfId="61" applyFont="1" applyBorder="1" applyAlignment="1">
      <alignment horizontal="center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44" fontId="12" fillId="0" borderId="0" xfId="63" applyFont="1" applyAlignment="1">
      <alignment horizontal="left" wrapText="1"/>
    </xf>
    <xf numFmtId="168" fontId="12" fillId="0" borderId="0" xfId="40" applyNumberFormat="1" applyFont="1" applyAlignment="1">
      <alignment wrapText="1"/>
    </xf>
    <xf numFmtId="44" fontId="12" fillId="0" borderId="0" xfId="63" applyFont="1" applyAlignment="1">
      <alignment wrapText="1"/>
    </xf>
    <xf numFmtId="0" fontId="12" fillId="0" borderId="0" xfId="61" applyFont="1" applyBorder="1">
      <alignment/>
      <protection/>
    </xf>
    <xf numFmtId="168" fontId="13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 horizontal="right"/>
    </xf>
    <xf numFmtId="0" fontId="10" fillId="0" borderId="0" xfId="60" applyFont="1" applyBorder="1" quotePrefix="1">
      <alignment/>
      <protection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43" xfId="40" applyNumberFormat="1" applyFont="1" applyBorder="1" applyAlignment="1">
      <alignment/>
    </xf>
    <xf numFmtId="168" fontId="6" fillId="0" borderId="44" xfId="40" applyNumberFormat="1" applyFont="1" applyBorder="1" applyAlignment="1">
      <alignment/>
    </xf>
    <xf numFmtId="168" fontId="6" fillId="0" borderId="45" xfId="40" applyNumberFormat="1" applyFont="1" applyBorder="1" applyAlignment="1">
      <alignment/>
    </xf>
    <xf numFmtId="168" fontId="12" fillId="0" borderId="45" xfId="40" applyNumberFormat="1" applyFont="1" applyBorder="1" applyAlignment="1">
      <alignment/>
    </xf>
    <xf numFmtId="168" fontId="12" fillId="0" borderId="44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168" fontId="12" fillId="0" borderId="46" xfId="40" applyNumberFormat="1" applyFont="1" applyBorder="1" applyAlignment="1">
      <alignment horizontal="center"/>
    </xf>
    <xf numFmtId="168" fontId="12" fillId="0" borderId="47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168" fontId="12" fillId="0" borderId="15" xfId="40" applyNumberFormat="1" applyFont="1" applyBorder="1" applyAlignment="1">
      <alignment/>
    </xf>
    <xf numFmtId="168" fontId="12" fillId="0" borderId="48" xfId="40" applyNumberFormat="1" applyFont="1" applyBorder="1" applyAlignment="1">
      <alignment/>
    </xf>
    <xf numFmtId="168" fontId="12" fillId="0" borderId="49" xfId="40" applyNumberFormat="1" applyFont="1" applyBorder="1" applyAlignment="1">
      <alignment/>
    </xf>
    <xf numFmtId="168" fontId="12" fillId="0" borderId="50" xfId="40" applyNumberFormat="1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28" xfId="0" applyFont="1" applyBorder="1" applyAlignment="1">
      <alignment wrapText="1"/>
    </xf>
    <xf numFmtId="168" fontId="12" fillId="0" borderId="28" xfId="40" applyNumberFormat="1" applyFont="1" applyBorder="1" applyAlignment="1">
      <alignment/>
    </xf>
    <xf numFmtId="168" fontId="12" fillId="0" borderId="39" xfId="40" applyNumberFormat="1" applyFont="1" applyBorder="1" applyAlignment="1">
      <alignment/>
    </xf>
    <xf numFmtId="0" fontId="12" fillId="0" borderId="28" xfId="0" applyFont="1" applyBorder="1" applyAlignment="1">
      <alignment/>
    </xf>
    <xf numFmtId="168" fontId="12" fillId="0" borderId="28" xfId="40" applyNumberFormat="1" applyFont="1" applyBorder="1" applyAlignment="1">
      <alignment/>
    </xf>
    <xf numFmtId="168" fontId="29" fillId="0" borderId="28" xfId="40" applyNumberFormat="1" applyFont="1" applyFill="1" applyBorder="1" applyAlignment="1">
      <alignment/>
    </xf>
    <xf numFmtId="168" fontId="29" fillId="0" borderId="32" xfId="40" applyNumberFormat="1" applyFont="1" applyFill="1" applyBorder="1" applyAlignment="1">
      <alignment/>
    </xf>
    <xf numFmtId="168" fontId="12" fillId="0" borderId="28" xfId="40" applyNumberFormat="1" applyFont="1" applyFill="1" applyBorder="1" applyAlignment="1">
      <alignment/>
    </xf>
    <xf numFmtId="168" fontId="12" fillId="0" borderId="32" xfId="40" applyNumberFormat="1" applyFont="1" applyFill="1" applyBorder="1" applyAlignment="1">
      <alignment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/>
    </xf>
    <xf numFmtId="0" fontId="6" fillId="0" borderId="34" xfId="0" applyFont="1" applyBorder="1" applyAlignment="1">
      <alignment/>
    </xf>
    <xf numFmtId="168" fontId="6" fillId="0" borderId="53" xfId="40" applyNumberFormat="1" applyFont="1" applyBorder="1" applyAlignment="1">
      <alignment/>
    </xf>
    <xf numFmtId="168" fontId="6" fillId="0" borderId="34" xfId="40" applyNumberFormat="1" applyFont="1" applyBorder="1" applyAlignment="1">
      <alignment/>
    </xf>
    <xf numFmtId="0" fontId="12" fillId="0" borderId="54" xfId="0" applyFont="1" applyBorder="1" applyAlignment="1">
      <alignment horizontal="center"/>
    </xf>
    <xf numFmtId="0" fontId="6" fillId="0" borderId="22" xfId="0" applyFont="1" applyBorder="1" applyAlignment="1">
      <alignment/>
    </xf>
    <xf numFmtId="168" fontId="12" fillId="0" borderId="55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34" xfId="0" applyFont="1" applyBorder="1" applyAlignment="1">
      <alignment/>
    </xf>
    <xf numFmtId="0" fontId="6" fillId="0" borderId="40" xfId="0" applyFont="1" applyBorder="1" applyAlignment="1">
      <alignment/>
    </xf>
    <xf numFmtId="168" fontId="12" fillId="0" borderId="56" xfId="40" applyNumberFormat="1" applyFont="1" applyBorder="1" applyAlignment="1">
      <alignment/>
    </xf>
    <xf numFmtId="168" fontId="12" fillId="0" borderId="57" xfId="40" applyNumberFormat="1" applyFont="1" applyBorder="1" applyAlignment="1">
      <alignment/>
    </xf>
    <xf numFmtId="0" fontId="12" fillId="0" borderId="28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60" applyFont="1" applyBorder="1" applyAlignment="1">
      <alignment horizontal="left" wrapText="1"/>
      <protection/>
    </xf>
    <xf numFmtId="0" fontId="6" fillId="0" borderId="0" xfId="61" applyFont="1" applyBorder="1" quotePrefix="1">
      <alignment/>
      <protection/>
    </xf>
    <xf numFmtId="168" fontId="12" fillId="0" borderId="0" xfId="40" applyNumberFormat="1" applyFont="1" applyAlignment="1">
      <alignment horizontal="left" wrapText="1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48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49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centerContinuous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3" xfId="57" applyFont="1" applyBorder="1" applyAlignment="1">
      <alignment horizontal="centerContinuous"/>
      <protection/>
    </xf>
    <xf numFmtId="0" fontId="6" fillId="0" borderId="34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Continuous"/>
      <protection/>
    </xf>
    <xf numFmtId="41" fontId="12" fillId="0" borderId="0" xfId="57" applyNumberFormat="1" applyFont="1">
      <alignment/>
      <protection/>
    </xf>
    <xf numFmtId="41" fontId="12" fillId="0" borderId="0" xfId="57" applyNumberFormat="1" applyFont="1" applyBorder="1" applyAlignment="1">
      <alignment horizontal="center"/>
      <protection/>
    </xf>
    <xf numFmtId="41" fontId="12" fillId="0" borderId="0" xfId="57" applyNumberFormat="1" applyFont="1" applyBorder="1">
      <alignment/>
      <protection/>
    </xf>
    <xf numFmtId="41" fontId="50" fillId="0" borderId="58" xfId="57" applyNumberFormat="1" applyFont="1" applyBorder="1" applyAlignment="1">
      <alignment horizontal="centerContinuous"/>
      <protection/>
    </xf>
    <xf numFmtId="0" fontId="21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/>
      <protection/>
    </xf>
    <xf numFmtId="41" fontId="21" fillId="0" borderId="0" xfId="57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41" fontId="5" fillId="0" borderId="0" xfId="57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wrapText="1"/>
      <protection/>
    </xf>
    <xf numFmtId="41" fontId="12" fillId="0" borderId="58" xfId="57" applyNumberFormat="1" applyFont="1" applyBorder="1">
      <alignment/>
      <protection/>
    </xf>
    <xf numFmtId="0" fontId="21" fillId="0" borderId="0" xfId="57" applyFont="1" applyBorder="1" applyAlignment="1">
      <alignment wrapText="1"/>
      <protection/>
    </xf>
    <xf numFmtId="41" fontId="21" fillId="0" borderId="0" xfId="57" applyNumberFormat="1" applyFont="1" applyBorder="1">
      <alignment/>
      <protection/>
    </xf>
    <xf numFmtId="0" fontId="5" fillId="0" borderId="0" xfId="57" applyFont="1" applyBorder="1" applyAlignment="1">
      <alignment wrapText="1"/>
      <protection/>
    </xf>
    <xf numFmtId="41" fontId="5" fillId="0" borderId="0" xfId="57" applyNumberFormat="1" applyFont="1" applyBorder="1" applyAlignment="1">
      <alignment/>
      <protection/>
    </xf>
    <xf numFmtId="0" fontId="28" fillId="0" borderId="0" xfId="0" applyFont="1" applyBorder="1" applyAlignment="1">
      <alignment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>
      <alignment/>
      <protection/>
    </xf>
    <xf numFmtId="0" fontId="50" fillId="0" borderId="0" xfId="57" applyFont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 wrapText="1"/>
    </xf>
    <xf numFmtId="168" fontId="23" fillId="0" borderId="0" xfId="40" applyNumberFormat="1" applyFont="1" applyBorder="1" applyAlignment="1">
      <alignment horizontal="center"/>
    </xf>
    <xf numFmtId="168" fontId="23" fillId="0" borderId="59" xfId="40" applyNumberFormat="1" applyFont="1" applyBorder="1" applyAlignment="1">
      <alignment horizontal="center"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168" fontId="23" fillId="0" borderId="35" xfId="40" applyNumberFormat="1" applyFont="1" applyBorder="1" applyAlignment="1">
      <alignment horizontal="center"/>
    </xf>
    <xf numFmtId="168" fontId="23" fillId="0" borderId="60" xfId="40" applyNumberFormat="1" applyFont="1" applyBorder="1" applyAlignment="1">
      <alignment horizontal="center"/>
    </xf>
    <xf numFmtId="168" fontId="23" fillId="0" borderId="10" xfId="40" applyNumberFormat="1" applyFont="1" applyBorder="1" applyAlignment="1">
      <alignment horizontal="center"/>
    </xf>
    <xf numFmtId="168" fontId="23" fillId="0" borderId="61" xfId="40" applyNumberFormat="1" applyFont="1" applyBorder="1" applyAlignment="1">
      <alignment horizontal="center"/>
    </xf>
    <xf numFmtId="168" fontId="23" fillId="0" borderId="36" xfId="40" applyNumberFormat="1" applyFont="1" applyBorder="1" applyAlignment="1">
      <alignment horizontal="center"/>
    </xf>
    <xf numFmtId="168" fontId="23" fillId="0" borderId="12" xfId="40" applyNumberFormat="1" applyFont="1" applyBorder="1" applyAlignment="1">
      <alignment horizontal="center"/>
    </xf>
    <xf numFmtId="0" fontId="11" fillId="0" borderId="15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7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 horizontal="center" wrapText="1"/>
      <protection/>
    </xf>
    <xf numFmtId="0" fontId="12" fillId="0" borderId="0" xfId="58" applyFont="1" applyBorder="1" applyAlignment="1">
      <alignment horizontal="left" vertical="center"/>
      <protection/>
    </xf>
    <xf numFmtId="0" fontId="12" fillId="0" borderId="0" xfId="58" applyFont="1" applyAlignment="1">
      <alignment horizontal="left" wrapText="1"/>
      <protection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2" fillId="0" borderId="10" xfId="58" applyFont="1" applyBorder="1" applyAlignment="1">
      <alignment horizontal="center"/>
      <protection/>
    </xf>
    <xf numFmtId="0" fontId="12" fillId="0" borderId="61" xfId="58" applyFont="1" applyBorder="1" applyAlignment="1">
      <alignment horizontal="center"/>
      <protection/>
    </xf>
    <xf numFmtId="0" fontId="12" fillId="0" borderId="36" xfId="58" applyFont="1" applyBorder="1" applyAlignment="1">
      <alignment horizontal="center"/>
      <protection/>
    </xf>
    <xf numFmtId="0" fontId="12" fillId="0" borderId="12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59" xfId="58" applyFont="1" applyBorder="1" applyAlignment="1">
      <alignment horizontal="center"/>
      <protection/>
    </xf>
    <xf numFmtId="0" fontId="12" fillId="0" borderId="14" xfId="58" applyFont="1" applyBorder="1" applyAlignment="1">
      <alignment horizontal="center"/>
      <protection/>
    </xf>
    <xf numFmtId="0" fontId="12" fillId="0" borderId="16" xfId="58" applyFont="1" applyBorder="1" applyAlignment="1">
      <alignment horizontal="center"/>
      <protection/>
    </xf>
    <xf numFmtId="0" fontId="12" fillId="0" borderId="62" xfId="58" applyFont="1" applyBorder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8" fillId="0" borderId="0" xfId="0" applyFont="1" applyAlignment="1">
      <alignment horizontal="left" wrapText="1"/>
    </xf>
    <xf numFmtId="0" fontId="12" fillId="0" borderId="10" xfId="58" applyFont="1" applyBorder="1" applyAlignment="1">
      <alignment horizontal="center" vertical="center"/>
      <protection/>
    </xf>
    <xf numFmtId="0" fontId="12" fillId="0" borderId="61" xfId="58" applyFont="1" applyBorder="1" applyAlignment="1">
      <alignment horizontal="center" vertical="center"/>
      <protection/>
    </xf>
    <xf numFmtId="0" fontId="12" fillId="0" borderId="36" xfId="58" applyFont="1" applyBorder="1" applyAlignment="1">
      <alignment horizontal="center" vertical="center"/>
      <protection/>
    </xf>
    <xf numFmtId="0" fontId="12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2" fillId="0" borderId="59" xfId="58" applyFont="1" applyBorder="1" applyAlignment="1">
      <alignment horizontal="center" vertical="center"/>
      <protection/>
    </xf>
    <xf numFmtId="0" fontId="12" fillId="0" borderId="14" xfId="58" applyFont="1" applyBorder="1" applyAlignment="1">
      <alignment horizontal="center" vertical="center"/>
      <protection/>
    </xf>
    <xf numFmtId="0" fontId="12" fillId="0" borderId="16" xfId="58" applyFont="1" applyBorder="1" applyAlignment="1">
      <alignment horizontal="center" vertical="center"/>
      <protection/>
    </xf>
    <xf numFmtId="0" fontId="12" fillId="0" borderId="62" xfId="58" applyFont="1" applyBorder="1" applyAlignment="1">
      <alignment horizontal="center" vertical="center"/>
      <protection/>
    </xf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8" fontId="23" fillId="0" borderId="14" xfId="40" applyNumberFormat="1" applyFont="1" applyBorder="1" applyAlignment="1">
      <alignment horizontal="center"/>
    </xf>
    <xf numFmtId="168" fontId="23" fillId="0" borderId="16" xfId="40" applyNumberFormat="1" applyFont="1" applyBorder="1" applyAlignment="1">
      <alignment horizontal="center"/>
    </xf>
    <xf numFmtId="168" fontId="23" fillId="0" borderId="62" xfId="40" applyNumberFormat="1" applyFont="1" applyBorder="1" applyAlignment="1">
      <alignment horizontal="center"/>
    </xf>
    <xf numFmtId="0" fontId="10" fillId="0" borderId="0" xfId="61" applyFont="1" applyAlignment="1">
      <alignment horizontal="center"/>
      <protection/>
    </xf>
    <xf numFmtId="0" fontId="7" fillId="0" borderId="40" xfId="58" applyFont="1" applyBorder="1" applyAlignment="1">
      <alignment horizontal="center"/>
      <protection/>
    </xf>
    <xf numFmtId="0" fontId="7" fillId="0" borderId="60" xfId="58" applyFont="1" applyBorder="1" applyAlignment="1">
      <alignment horizontal="center"/>
      <protection/>
    </xf>
    <xf numFmtId="44" fontId="11" fillId="0" borderId="40" xfId="63" applyFont="1" applyBorder="1" applyAlignment="1">
      <alignment horizontal="center"/>
    </xf>
    <xf numFmtId="44" fontId="11" fillId="0" borderId="35" xfId="63" applyFont="1" applyBorder="1" applyAlignment="1">
      <alignment horizontal="center"/>
    </xf>
    <xf numFmtId="44" fontId="11" fillId="0" borderId="60" xfId="63" applyFont="1" applyBorder="1" applyAlignment="1">
      <alignment horizontal="center"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11" fillId="0" borderId="15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40" xfId="58" applyFont="1" applyBorder="1" applyAlignment="1">
      <alignment horizontal="center"/>
      <protection/>
    </xf>
    <xf numFmtId="0" fontId="11" fillId="0" borderId="35" xfId="58" applyFont="1" applyBorder="1" applyAlignment="1">
      <alignment horizontal="center"/>
      <protection/>
    </xf>
    <xf numFmtId="0" fontId="11" fillId="0" borderId="60" xfId="58" applyFont="1" applyBorder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27" fillId="0" borderId="11" xfId="58" applyFont="1" applyBorder="1" applyAlignment="1">
      <alignment horizontal="center" vertical="center" wrapText="1"/>
      <protection/>
    </xf>
    <xf numFmtId="0" fontId="27" fillId="0" borderId="13" xfId="58" applyFont="1" applyBorder="1" applyAlignment="1">
      <alignment horizontal="center" vertical="center" wrapText="1"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/>
      <protection/>
    </xf>
    <xf numFmtId="0" fontId="7" fillId="0" borderId="59" xfId="58" applyFont="1" applyBorder="1" applyAlignment="1">
      <alignment horizontal="center"/>
      <protection/>
    </xf>
    <xf numFmtId="0" fontId="7" fillId="0" borderId="14" xfId="58" applyFont="1" applyBorder="1" applyAlignment="1">
      <alignment horizontal="center"/>
      <protection/>
    </xf>
    <xf numFmtId="0" fontId="7" fillId="0" borderId="62" xfId="58" applyFont="1" applyBorder="1" applyAlignment="1">
      <alignment horizontal="center"/>
      <protection/>
    </xf>
    <xf numFmtId="0" fontId="11" fillId="0" borderId="40" xfId="58" applyFont="1" applyBorder="1" applyAlignment="1">
      <alignment horizontal="center" wrapText="1"/>
      <protection/>
    </xf>
    <xf numFmtId="0" fontId="11" fillId="0" borderId="35" xfId="58" applyFont="1" applyBorder="1" applyAlignment="1">
      <alignment horizontal="center" wrapText="1"/>
      <protection/>
    </xf>
    <xf numFmtId="0" fontId="11" fillId="0" borderId="60" xfId="58" applyFont="1" applyBorder="1" applyAlignment="1">
      <alignment horizont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11" fillId="0" borderId="0" xfId="0" applyFont="1" applyAlignment="1">
      <alignment horizontal="right"/>
    </xf>
    <xf numFmtId="0" fontId="11" fillId="0" borderId="16" xfId="61" applyFont="1" applyBorder="1" applyAlignment="1">
      <alignment horizontal="right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2" fillId="0" borderId="0" xfId="60" applyFont="1" applyAlignment="1">
      <alignment horizontal="left" wrapText="1"/>
      <protection/>
    </xf>
    <xf numFmtId="0" fontId="7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2" fillId="0" borderId="0" xfId="58" applyFont="1" applyAlignment="1">
      <alignment horizontal="right"/>
      <protection/>
    </xf>
    <xf numFmtId="0" fontId="7" fillId="0" borderId="0" xfId="58" applyFont="1" applyAlignment="1">
      <alignment horizontal="center"/>
      <protection/>
    </xf>
    <xf numFmtId="0" fontId="12" fillId="0" borderId="11" xfId="59" applyFont="1" applyBorder="1" applyAlignment="1">
      <alignment horizontal="center" vertical="center"/>
      <protection/>
    </xf>
    <xf numFmtId="0" fontId="12" fillId="0" borderId="13" xfId="59" applyFont="1" applyBorder="1" applyAlignment="1">
      <alignment horizontal="center" vertical="center"/>
      <protection/>
    </xf>
    <xf numFmtId="0" fontId="12" fillId="0" borderId="15" xfId="59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/>
      <protection/>
    </xf>
    <xf numFmtId="0" fontId="5" fillId="0" borderId="61" xfId="58" applyFont="1" applyBorder="1" applyAlignment="1">
      <alignment horizontal="center"/>
      <protection/>
    </xf>
    <xf numFmtId="0" fontId="12" fillId="0" borderId="16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4" fillId="0" borderId="65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0" fontId="4" fillId="0" borderId="66" xfId="58" applyFont="1" applyBorder="1" applyAlignment="1">
      <alignment horizontal="center"/>
      <protection/>
    </xf>
    <xf numFmtId="0" fontId="4" fillId="0" borderId="67" xfId="58" applyFont="1" applyBorder="1" applyAlignment="1">
      <alignment horizontal="center"/>
      <protection/>
    </xf>
    <xf numFmtId="0" fontId="4" fillId="0" borderId="45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 vertical="center" wrapText="1"/>
      <protection/>
    </xf>
    <xf numFmtId="168" fontId="4" fillId="0" borderId="45" xfId="40" applyNumberFormat="1" applyFont="1" applyBorder="1" applyAlignment="1">
      <alignment horizontal="center" vertical="center"/>
    </xf>
    <xf numFmtId="168" fontId="4" fillId="0" borderId="21" xfId="40" applyNumberFormat="1" applyFont="1" applyBorder="1" applyAlignment="1">
      <alignment horizontal="center" vertical="center"/>
    </xf>
    <xf numFmtId="168" fontId="4" fillId="0" borderId="68" xfId="40" applyNumberFormat="1" applyFont="1" applyBorder="1" applyAlignment="1">
      <alignment horizontal="center" vertical="center"/>
    </xf>
    <xf numFmtId="168" fontId="4" fillId="0" borderId="69" xfId="40" applyNumberFormat="1" applyFont="1" applyBorder="1" applyAlignment="1">
      <alignment horizontal="center" vertical="center"/>
    </xf>
    <xf numFmtId="0" fontId="4" fillId="0" borderId="70" xfId="58" applyFont="1" applyBorder="1" applyAlignment="1">
      <alignment horizontal="center" vertical="center"/>
      <protection/>
    </xf>
    <xf numFmtId="0" fontId="4" fillId="0" borderId="69" xfId="58" applyFont="1" applyBorder="1" applyAlignment="1">
      <alignment horizontal="center" vertical="center"/>
      <protection/>
    </xf>
    <xf numFmtId="0" fontId="4" fillId="0" borderId="71" xfId="58" applyFont="1" applyBorder="1" applyAlignment="1">
      <alignment horizontal="center" vertical="center"/>
      <protection/>
    </xf>
    <xf numFmtId="168" fontId="12" fillId="0" borderId="7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168" fontId="12" fillId="0" borderId="45" xfId="40" applyNumberFormat="1" applyFont="1" applyBorder="1" applyAlignment="1">
      <alignment horizontal="center" vertical="center"/>
    </xf>
    <xf numFmtId="168" fontId="12" fillId="0" borderId="21" xfId="40" applyNumberFormat="1" applyFont="1" applyBorder="1" applyAlignment="1">
      <alignment horizontal="center" vertical="center"/>
    </xf>
    <xf numFmtId="168" fontId="12" fillId="0" borderId="50" xfId="40" applyNumberFormat="1" applyFont="1" applyBorder="1" applyAlignment="1">
      <alignment horizontal="center" vertical="center"/>
    </xf>
    <xf numFmtId="168" fontId="12" fillId="0" borderId="74" xfId="40" applyNumberFormat="1" applyFont="1" applyBorder="1" applyAlignment="1">
      <alignment horizontal="center" vertical="center"/>
    </xf>
    <xf numFmtId="168" fontId="12" fillId="0" borderId="75" xfId="40" applyNumberFormat="1" applyFont="1" applyBorder="1" applyAlignment="1">
      <alignment horizontal="center" vertical="center"/>
    </xf>
    <xf numFmtId="168" fontId="12" fillId="0" borderId="76" xfId="40" applyNumberFormat="1" applyFont="1" applyBorder="1" applyAlignment="1">
      <alignment horizontal="center" vertical="center"/>
    </xf>
    <xf numFmtId="0" fontId="12" fillId="0" borderId="77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80" xfId="0" applyFont="1" applyBorder="1" applyAlignment="1">
      <alignment horizontal="left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168" fontId="12" fillId="0" borderId="84" xfId="40" applyNumberFormat="1" applyFont="1" applyBorder="1" applyAlignment="1">
      <alignment horizontal="center" vertical="center"/>
    </xf>
    <xf numFmtId="168" fontId="12" fillId="0" borderId="82" xfId="40" applyNumberFormat="1" applyFont="1" applyBorder="1" applyAlignment="1">
      <alignment horizontal="center" vertical="center"/>
    </xf>
    <xf numFmtId="168" fontId="12" fillId="0" borderId="85" xfId="40" applyNumberFormat="1" applyFont="1" applyBorder="1" applyAlignment="1">
      <alignment horizontal="center" vertical="center"/>
    </xf>
    <xf numFmtId="168" fontId="18" fillId="0" borderId="86" xfId="40" applyNumberFormat="1" applyFont="1" applyBorder="1" applyAlignment="1">
      <alignment horizontal="center" vertical="center"/>
    </xf>
    <xf numFmtId="168" fontId="18" fillId="0" borderId="87" xfId="40" applyNumberFormat="1" applyFont="1" applyBorder="1" applyAlignment="1">
      <alignment horizontal="center" vertical="center"/>
    </xf>
    <xf numFmtId="168" fontId="18" fillId="0" borderId="88" xfId="4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8" fontId="12" fillId="0" borderId="89" xfId="40" applyNumberFormat="1" applyFont="1" applyBorder="1" applyAlignment="1">
      <alignment horizontal="center" vertical="center"/>
    </xf>
    <xf numFmtId="0" fontId="12" fillId="0" borderId="66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12" fillId="0" borderId="45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2" fontId="12" fillId="0" borderId="84" xfId="0" applyNumberFormat="1" applyFont="1" applyBorder="1" applyAlignment="1">
      <alignment horizontal="center" vertical="center" wrapText="1"/>
    </xf>
    <xf numFmtId="2" fontId="12" fillId="0" borderId="82" xfId="0" applyNumberFormat="1" applyFont="1" applyBorder="1" applyAlignment="1">
      <alignment horizontal="center" vertical="center" wrapText="1"/>
    </xf>
    <xf numFmtId="2" fontId="12" fillId="0" borderId="85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12" fillId="0" borderId="9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98" xfId="0" applyFont="1" applyBorder="1" applyAlignment="1">
      <alignment horizontal="center"/>
    </xf>
    <xf numFmtId="0" fontId="12" fillId="0" borderId="9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8" fontId="12" fillId="0" borderId="21" xfId="40" applyNumberFormat="1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36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62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36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62" xfId="40" applyNumberFormat="1" applyFont="1" applyBorder="1" applyAlignment="1">
      <alignment horizontal="center"/>
    </xf>
    <xf numFmtId="168" fontId="12" fillId="0" borderId="98" xfId="40" applyNumberFormat="1" applyFont="1" applyBorder="1" applyAlignment="1">
      <alignment horizontal="center"/>
    </xf>
    <xf numFmtId="168" fontId="12" fillId="0" borderId="99" xfId="4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168" fontId="12" fillId="0" borderId="28" xfId="40" applyNumberFormat="1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68" fontId="12" fillId="0" borderId="52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168" fontId="12" fillId="0" borderId="52" xfId="40" applyNumberFormat="1" applyFont="1" applyBorder="1" applyAlignment="1">
      <alignment horizontal="center"/>
    </xf>
    <xf numFmtId="168" fontId="12" fillId="0" borderId="22" xfId="40" applyNumberFormat="1" applyFont="1" applyBorder="1" applyAlignment="1">
      <alignment horizontal="center"/>
    </xf>
    <xf numFmtId="0" fontId="47" fillId="0" borderId="28" xfId="0" applyFont="1" applyBorder="1" applyAlignment="1">
      <alignment horizontal="center" wrapText="1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10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01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2" fillId="0" borderId="5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0" xfId="57" applyFont="1" applyAlignment="1">
      <alignment horizont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6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40" xfId="57" applyFont="1" applyBorder="1" applyAlignment="1">
      <alignment horizontal="center"/>
      <protection/>
    </xf>
    <xf numFmtId="0" fontId="6" fillId="0" borderId="35" xfId="57" applyFont="1" applyBorder="1" applyAlignment="1">
      <alignment horizont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v.99" xfId="56"/>
    <cellStyle name="Normál_KONEPC99" xfId="57"/>
    <cellStyle name="Normál_KTGV99" xfId="58"/>
    <cellStyle name="Normál_mérleg" xfId="59"/>
    <cellStyle name="Normál_PHKV99" xfId="60"/>
    <cellStyle name="Normál_SIKONC9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A1">
      <selection activeCell="L46" sqref="L46:M46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81"/>
      <c r="J39" s="2"/>
      <c r="N39" s="444" t="s">
        <v>4</v>
      </c>
      <c r="O39" s="444"/>
      <c r="P39" s="444"/>
      <c r="Q39" s="444"/>
      <c r="R39" s="444"/>
      <c r="S39" s="444"/>
      <c r="T39" s="444"/>
      <c r="U39" s="444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72"/>
      <c r="J41" s="2"/>
      <c r="N41" s="444" t="s">
        <v>108</v>
      </c>
      <c r="O41" s="444"/>
      <c r="P41" s="444"/>
      <c r="Q41" s="444"/>
      <c r="R41" s="444"/>
      <c r="S41" s="444"/>
      <c r="T41" s="444"/>
      <c r="U41" s="444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72"/>
      <c r="J43" s="2"/>
      <c r="N43" s="444" t="s">
        <v>358</v>
      </c>
      <c r="O43" s="444"/>
      <c r="P43" s="444"/>
      <c r="Q43" s="444"/>
      <c r="R43" s="444"/>
      <c r="S43" s="444"/>
      <c r="T43" s="444"/>
      <c r="U43" s="444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10" ht="27.75">
      <c r="B45" s="2"/>
      <c r="C45" s="3"/>
      <c r="D45" s="3"/>
      <c r="E45" s="3"/>
      <c r="F45" s="3"/>
      <c r="G45" s="3"/>
      <c r="H45" s="3"/>
      <c r="I45" s="3"/>
      <c r="J45" s="2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82"/>
      <c r="M46" s="253"/>
      <c r="O46" s="247"/>
    </row>
    <row r="47" spans="1:10" ht="27.75">
      <c r="A47" s="82"/>
      <c r="B47" s="83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3">
    <mergeCell ref="N39:U39"/>
    <mergeCell ref="N41:U41"/>
    <mergeCell ref="N43:U4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0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75390625" style="188" customWidth="1"/>
    <col min="2" max="2" width="74.375" style="188" customWidth="1"/>
    <col min="3" max="3" width="19.875" style="188" customWidth="1"/>
    <col min="4" max="16384" width="9.125" style="188" customWidth="1"/>
  </cols>
  <sheetData>
    <row r="1" spans="1:3" ht="15.75">
      <c r="A1" s="278" t="s">
        <v>538</v>
      </c>
      <c r="B1" s="278"/>
      <c r="C1" s="126"/>
    </row>
    <row r="2" s="189" customFormat="1" ht="15.75">
      <c r="C2" s="190"/>
    </row>
    <row r="4" spans="1:3" ht="15.75">
      <c r="A4" s="530"/>
      <c r="B4" s="530"/>
      <c r="C4" s="530"/>
    </row>
    <row r="5" spans="1:3" ht="15.75">
      <c r="A5" s="191"/>
      <c r="B5" s="191"/>
      <c r="C5" s="191"/>
    </row>
    <row r="6" spans="1:3" ht="15.75">
      <c r="A6" s="530" t="s">
        <v>4</v>
      </c>
      <c r="B6" s="530"/>
      <c r="C6" s="530"/>
    </row>
    <row r="7" spans="1:3" ht="15.75">
      <c r="A7" s="530" t="s">
        <v>353</v>
      </c>
      <c r="B7" s="530"/>
      <c r="C7" s="530"/>
    </row>
    <row r="8" spans="1:3" ht="15.75">
      <c r="A8" s="530" t="s">
        <v>187</v>
      </c>
      <c r="B8" s="530"/>
      <c r="C8" s="530"/>
    </row>
    <row r="9" ht="16.5" thickBot="1"/>
    <row r="10" spans="1:3" s="5" customFormat="1" ht="15.75">
      <c r="A10" s="192" t="s">
        <v>281</v>
      </c>
      <c r="B10" s="193"/>
      <c r="C10" s="194" t="s">
        <v>22</v>
      </c>
    </row>
    <row r="11" spans="1:3" s="5" customFormat="1" ht="15.75">
      <c r="A11" s="195"/>
      <c r="B11" s="196" t="s">
        <v>282</v>
      </c>
      <c r="C11" s="197" t="s">
        <v>11</v>
      </c>
    </row>
    <row r="12" spans="1:3" s="5" customFormat="1" ht="16.5" thickBot="1">
      <c r="A12" s="198" t="s">
        <v>55</v>
      </c>
      <c r="B12" s="246"/>
      <c r="C12" s="199" t="s">
        <v>283</v>
      </c>
    </row>
    <row r="13" spans="1:3" s="103" customFormat="1" ht="41.25" customHeight="1" thickBot="1">
      <c r="A13" s="206" t="s">
        <v>56</v>
      </c>
      <c r="B13" s="207" t="s">
        <v>349</v>
      </c>
      <c r="C13" s="208">
        <v>2107</v>
      </c>
    </row>
    <row r="14" spans="1:3" s="5" customFormat="1" ht="42" customHeight="1" thickBot="1">
      <c r="A14" s="201"/>
      <c r="B14" s="202" t="s">
        <v>350</v>
      </c>
      <c r="C14" s="200">
        <f>C13</f>
        <v>2107</v>
      </c>
    </row>
    <row r="15" spans="1:3" s="103" customFormat="1" ht="41.25" customHeight="1" thickBot="1">
      <c r="A15" s="206" t="s">
        <v>56</v>
      </c>
      <c r="B15" s="207" t="s">
        <v>285</v>
      </c>
      <c r="C15" s="208">
        <v>8000</v>
      </c>
    </row>
    <row r="16" spans="1:3" s="5" customFormat="1" ht="42" customHeight="1" thickBot="1">
      <c r="A16" s="201"/>
      <c r="B16" s="202" t="s">
        <v>351</v>
      </c>
      <c r="C16" s="200">
        <f>SUM(C15)</f>
        <v>8000</v>
      </c>
    </row>
    <row r="17" spans="1:3" s="5" customFormat="1" ht="42" customHeight="1" thickBot="1">
      <c r="A17" s="198"/>
      <c r="B17" s="203" t="s">
        <v>284</v>
      </c>
      <c r="C17" s="204">
        <f>C14+C16</f>
        <v>10107</v>
      </c>
    </row>
    <row r="21" ht="15.75">
      <c r="A21" s="205"/>
    </row>
    <row r="22" ht="15.75">
      <c r="A22" s="205"/>
    </row>
    <row r="110" ht="15.75">
      <c r="A110" s="205"/>
    </row>
  </sheetData>
  <sheetProtection password="DB7F" sheet="1" selectLockedCells="1" selectUnlockedCells="1"/>
  <mergeCells count="4">
    <mergeCell ref="A8:C8"/>
    <mergeCell ref="A4:C4"/>
    <mergeCell ref="A6:C6"/>
    <mergeCell ref="A7:C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5.75390625" style="10" customWidth="1"/>
    <col min="2" max="2" width="74.00390625" style="10" customWidth="1"/>
    <col min="3" max="3" width="21.00390625" style="210" customWidth="1"/>
    <col min="4" max="4" width="9.125" style="10" customWidth="1"/>
    <col min="5" max="5" width="12.625" style="10" bestFit="1" customWidth="1"/>
    <col min="6" max="6" width="14.25390625" style="10" bestFit="1" customWidth="1"/>
    <col min="7" max="16384" width="9.125" style="10" customWidth="1"/>
  </cols>
  <sheetData>
    <row r="1" spans="1:3" ht="15.75">
      <c r="A1" s="278" t="s">
        <v>539</v>
      </c>
      <c r="B1" s="278"/>
      <c r="C1" s="126"/>
    </row>
    <row r="2" s="189" customFormat="1" ht="15.75">
      <c r="C2" s="209"/>
    </row>
    <row r="4" spans="1:3" ht="15.75">
      <c r="A4" s="531"/>
      <c r="B4" s="531"/>
      <c r="C4" s="531"/>
    </row>
    <row r="5" spans="1:3" ht="15.75">
      <c r="A5" s="530"/>
      <c r="B5" s="530"/>
      <c r="C5" s="530"/>
    </row>
    <row r="6" spans="1:3" s="5" customFormat="1" ht="12.75">
      <c r="A6" s="532"/>
      <c r="B6" s="532"/>
      <c r="C6" s="532"/>
    </row>
    <row r="7" spans="1:3" s="171" customFormat="1" ht="15.75">
      <c r="A7" s="191"/>
      <c r="B7" s="98"/>
      <c r="C7" s="98"/>
    </row>
    <row r="8" spans="1:3" s="171" customFormat="1" ht="15.75">
      <c r="A8" s="191"/>
      <c r="B8" s="98"/>
      <c r="C8" s="98"/>
    </row>
    <row r="9" spans="1:3" ht="15.75">
      <c r="A9" s="530" t="s">
        <v>4</v>
      </c>
      <c r="B9" s="530"/>
      <c r="C9" s="530"/>
    </row>
    <row r="10" spans="1:3" ht="15.75">
      <c r="A10" s="459" t="s">
        <v>354</v>
      </c>
      <c r="B10" s="459"/>
      <c r="C10" s="459"/>
    </row>
    <row r="11" spans="1:3" ht="15.75">
      <c r="A11" s="459" t="s">
        <v>287</v>
      </c>
      <c r="B11" s="459"/>
      <c r="C11" s="459"/>
    </row>
    <row r="12" spans="1:3" ht="15.75">
      <c r="A12" s="459" t="s">
        <v>187</v>
      </c>
      <c r="B12" s="459"/>
      <c r="C12" s="459"/>
    </row>
    <row r="13" ht="16.5" thickBot="1"/>
    <row r="14" spans="1:3" ht="15.75">
      <c r="A14" s="212" t="s">
        <v>54</v>
      </c>
      <c r="B14" s="194"/>
      <c r="C14" s="213" t="s">
        <v>22</v>
      </c>
    </row>
    <row r="15" spans="1:3" ht="15.75">
      <c r="A15" s="195"/>
      <c r="B15" s="197" t="s">
        <v>0</v>
      </c>
      <c r="C15" s="214"/>
    </row>
    <row r="16" spans="1:3" ht="34.5" customHeight="1" thickBot="1">
      <c r="A16" s="198" t="s">
        <v>55</v>
      </c>
      <c r="B16" s="215"/>
      <c r="C16" s="216" t="s">
        <v>11</v>
      </c>
    </row>
    <row r="17" spans="1:3" ht="20.25" customHeight="1">
      <c r="A17" s="537" t="s">
        <v>288</v>
      </c>
      <c r="B17" s="537"/>
      <c r="C17" s="537"/>
    </row>
    <row r="18" spans="1:3" ht="20.25" customHeight="1">
      <c r="A18" s="217" t="s">
        <v>56</v>
      </c>
      <c r="B18" s="218" t="s">
        <v>289</v>
      </c>
      <c r="C18" s="219"/>
    </row>
    <row r="19" spans="1:3" ht="20.25" customHeight="1">
      <c r="A19" s="217"/>
      <c r="B19" s="25" t="s">
        <v>290</v>
      </c>
      <c r="C19" s="219">
        <v>25766</v>
      </c>
    </row>
    <row r="20" spans="1:5" ht="20.25" customHeight="1">
      <c r="A20" s="217"/>
      <c r="B20" s="132" t="s">
        <v>291</v>
      </c>
      <c r="C20" s="219">
        <v>46</v>
      </c>
      <c r="D20" s="129"/>
      <c r="E20" s="129"/>
    </row>
    <row r="21" spans="1:3" ht="20.25" customHeight="1">
      <c r="A21" s="217" t="s">
        <v>32</v>
      </c>
      <c r="B21" s="218" t="s">
        <v>292</v>
      </c>
      <c r="C21" s="219">
        <v>7813</v>
      </c>
    </row>
    <row r="22" spans="1:3" ht="20.25" customHeight="1">
      <c r="A22" s="217" t="s">
        <v>57</v>
      </c>
      <c r="B22" s="218" t="s">
        <v>293</v>
      </c>
      <c r="C22" s="219">
        <v>9237</v>
      </c>
    </row>
    <row r="23" spans="1:3" ht="20.25" customHeight="1">
      <c r="A23" s="217" t="s">
        <v>128</v>
      </c>
      <c r="B23" s="220" t="s">
        <v>294</v>
      </c>
      <c r="C23" s="219"/>
    </row>
    <row r="24" spans="1:5" ht="36" customHeight="1">
      <c r="A24" s="217"/>
      <c r="B24" s="132" t="s">
        <v>295</v>
      </c>
      <c r="C24" s="219"/>
      <c r="D24" s="132"/>
      <c r="E24" s="132"/>
    </row>
    <row r="25" spans="1:3" ht="20.25" customHeight="1">
      <c r="A25" s="217"/>
      <c r="B25" s="25" t="s">
        <v>296</v>
      </c>
      <c r="C25" s="219"/>
    </row>
    <row r="26" spans="1:3" ht="36" customHeight="1">
      <c r="A26" s="221"/>
      <c r="B26" s="222" t="s">
        <v>297</v>
      </c>
      <c r="C26" s="223">
        <f>SUM(C19:C25)</f>
        <v>42862</v>
      </c>
    </row>
    <row r="27" spans="1:3" ht="21" customHeight="1">
      <c r="A27" s="211" t="s">
        <v>130</v>
      </c>
      <c r="B27" s="218" t="s">
        <v>298</v>
      </c>
      <c r="C27" s="29">
        <v>12767</v>
      </c>
    </row>
    <row r="28" spans="1:3" ht="21" customHeight="1">
      <c r="A28" s="211" t="s">
        <v>136</v>
      </c>
      <c r="B28" s="218" t="s">
        <v>299</v>
      </c>
      <c r="C28" s="29">
        <v>3561</v>
      </c>
    </row>
    <row r="29" spans="1:3" ht="21" customHeight="1">
      <c r="A29" s="211" t="s">
        <v>300</v>
      </c>
      <c r="B29" s="224" t="s">
        <v>301</v>
      </c>
      <c r="C29" s="29">
        <v>22876</v>
      </c>
    </row>
    <row r="30" spans="1:3" ht="21" customHeight="1">
      <c r="A30" s="211" t="s">
        <v>302</v>
      </c>
      <c r="B30" s="224" t="s">
        <v>303</v>
      </c>
      <c r="C30" s="29">
        <v>2633</v>
      </c>
    </row>
    <row r="31" spans="1:3" ht="21" customHeight="1">
      <c r="A31" s="211" t="s">
        <v>304</v>
      </c>
      <c r="B31" s="224" t="s">
        <v>305</v>
      </c>
      <c r="C31" s="29"/>
    </row>
    <row r="32" spans="1:3" ht="15.75">
      <c r="A32" s="211"/>
      <c r="B32" s="225" t="s">
        <v>306</v>
      </c>
      <c r="C32" s="29">
        <v>112</v>
      </c>
    </row>
    <row r="33" spans="1:3" ht="32.25" customHeight="1">
      <c r="A33" s="211"/>
      <c r="B33" s="132" t="s">
        <v>307</v>
      </c>
      <c r="C33" s="226"/>
    </row>
    <row r="34" spans="1:3" ht="15.75">
      <c r="A34" s="211"/>
      <c r="B34" s="225" t="s">
        <v>308</v>
      </c>
      <c r="C34" s="226">
        <v>925</v>
      </c>
    </row>
    <row r="35" spans="1:5" ht="15.75">
      <c r="A35" s="211"/>
      <c r="B35" s="225" t="s">
        <v>309</v>
      </c>
      <c r="C35" s="210">
        <v>10107</v>
      </c>
      <c r="E35" s="134"/>
    </row>
    <row r="36" spans="1:6" ht="33.75" customHeight="1">
      <c r="A36" s="221"/>
      <c r="B36" s="222" t="s">
        <v>310</v>
      </c>
      <c r="C36" s="223">
        <f>SUM(C27:C35)</f>
        <v>52981</v>
      </c>
      <c r="E36" s="134"/>
      <c r="F36" s="134"/>
    </row>
    <row r="37" spans="1:3" ht="16.5" thickBot="1">
      <c r="A37" s="454">
        <v>2</v>
      </c>
      <c r="B37" s="454"/>
      <c r="C37" s="454"/>
    </row>
    <row r="38" spans="1:3" ht="15.75">
      <c r="A38" s="212" t="s">
        <v>54</v>
      </c>
      <c r="B38" s="194"/>
      <c r="C38" s="213" t="s">
        <v>22</v>
      </c>
    </row>
    <row r="39" spans="1:3" ht="15.75">
      <c r="A39" s="195"/>
      <c r="B39" s="197" t="s">
        <v>0</v>
      </c>
      <c r="C39" s="214"/>
    </row>
    <row r="40" spans="1:3" ht="31.5" customHeight="1" thickBot="1">
      <c r="A40" s="198" t="s">
        <v>55</v>
      </c>
      <c r="B40" s="215"/>
      <c r="C40" s="216" t="s">
        <v>11</v>
      </c>
    </row>
    <row r="41" spans="1:3" ht="21" customHeight="1">
      <c r="A41" s="539" t="s">
        <v>311</v>
      </c>
      <c r="B41" s="539"/>
      <c r="C41" s="539"/>
    </row>
    <row r="42" spans="1:3" ht="21" customHeight="1">
      <c r="A42" s="211" t="s">
        <v>312</v>
      </c>
      <c r="B42" s="88" t="s">
        <v>313</v>
      </c>
      <c r="C42" s="210">
        <v>9743</v>
      </c>
    </row>
    <row r="43" spans="1:2" ht="21" customHeight="1">
      <c r="A43" s="211" t="s">
        <v>314</v>
      </c>
      <c r="B43" s="88" t="s">
        <v>315</v>
      </c>
    </row>
    <row r="44" spans="1:2" ht="21" customHeight="1">
      <c r="A44" s="211" t="s">
        <v>316</v>
      </c>
      <c r="B44" s="220" t="s">
        <v>317</v>
      </c>
    </row>
    <row r="45" spans="1:3" ht="31.5" customHeight="1">
      <c r="A45" s="211"/>
      <c r="B45" s="163" t="s">
        <v>318</v>
      </c>
      <c r="C45" s="210">
        <f>26215+92</f>
        <v>26307</v>
      </c>
    </row>
    <row r="46" spans="1:2" ht="21" customHeight="1">
      <c r="A46" s="211"/>
      <c r="B46" s="70" t="s">
        <v>319</v>
      </c>
    </row>
    <row r="47" spans="1:5" ht="39.75" customHeight="1">
      <c r="A47" s="221"/>
      <c r="B47" s="222" t="s">
        <v>320</v>
      </c>
      <c r="C47" s="223">
        <f>SUM(C42:C46)</f>
        <v>36050</v>
      </c>
      <c r="E47" s="134"/>
    </row>
    <row r="48" spans="1:3" ht="21" customHeight="1">
      <c r="A48" s="211" t="s">
        <v>321</v>
      </c>
      <c r="B48" s="88" t="s">
        <v>322</v>
      </c>
      <c r="C48" s="210">
        <v>231</v>
      </c>
    </row>
    <row r="49" spans="1:2" ht="21" customHeight="1">
      <c r="A49" s="211" t="s">
        <v>323</v>
      </c>
      <c r="B49" s="88" t="s">
        <v>324</v>
      </c>
    </row>
    <row r="50" spans="1:2" ht="21" customHeight="1">
      <c r="A50" s="211" t="s">
        <v>325</v>
      </c>
      <c r="B50" s="220" t="s">
        <v>326</v>
      </c>
    </row>
    <row r="51" spans="1:3" ht="33" customHeight="1">
      <c r="A51" s="211"/>
      <c r="B51" s="163" t="s">
        <v>327</v>
      </c>
      <c r="C51" s="210">
        <v>26215</v>
      </c>
    </row>
    <row r="52" spans="1:3" ht="21" customHeight="1">
      <c r="A52" s="211"/>
      <c r="B52" s="225" t="s">
        <v>328</v>
      </c>
      <c r="C52" s="210">
        <v>600</v>
      </c>
    </row>
    <row r="53" spans="1:2" ht="21" customHeight="1">
      <c r="A53" s="211"/>
      <c r="B53" s="225" t="s">
        <v>309</v>
      </c>
    </row>
    <row r="54" spans="1:6" s="11" customFormat="1" ht="42" customHeight="1" thickBot="1">
      <c r="A54" s="221"/>
      <c r="B54" s="222" t="s">
        <v>329</v>
      </c>
      <c r="C54" s="223">
        <f>SUM(C48:C53)</f>
        <v>27046</v>
      </c>
      <c r="F54" s="227"/>
    </row>
    <row r="55" spans="1:3" s="11" customFormat="1" ht="35.25" customHeight="1" thickBot="1">
      <c r="A55" s="228"/>
      <c r="B55" s="229" t="s">
        <v>330</v>
      </c>
      <c r="C55" s="230">
        <f>C26+C47</f>
        <v>78912</v>
      </c>
    </row>
    <row r="56" spans="1:6" s="11" customFormat="1" ht="35.25" customHeight="1" thickBot="1">
      <c r="A56" s="228"/>
      <c r="B56" s="229" t="s">
        <v>331</v>
      </c>
      <c r="C56" s="230">
        <f>C36+C54</f>
        <v>80027</v>
      </c>
      <c r="F56" s="227"/>
    </row>
    <row r="57" spans="1:3" s="11" customFormat="1" ht="15.75">
      <c r="A57" s="231"/>
      <c r="B57" s="232"/>
      <c r="C57" s="233"/>
    </row>
    <row r="62" spans="1:3" s="234" customFormat="1" ht="15.75">
      <c r="A62" s="232"/>
      <c r="B62" s="243"/>
      <c r="C62" s="244"/>
    </row>
    <row r="63" spans="1:3" s="234" customFormat="1" ht="15.75">
      <c r="A63" s="232"/>
      <c r="B63" s="243"/>
      <c r="C63" s="244"/>
    </row>
    <row r="64" spans="1:3" s="234" customFormat="1" ht="15.75">
      <c r="A64" s="232"/>
      <c r="B64" s="243"/>
      <c r="C64" s="244"/>
    </row>
    <row r="65" spans="1:3" s="234" customFormat="1" ht="15.75">
      <c r="A65" s="232"/>
      <c r="B65" s="243"/>
      <c r="C65" s="244"/>
    </row>
    <row r="66" spans="1:3" s="234" customFormat="1" ht="15.75">
      <c r="A66" s="232"/>
      <c r="B66" s="243"/>
      <c r="C66" s="244"/>
    </row>
    <row r="67" spans="1:3" s="234" customFormat="1" ht="15.75">
      <c r="A67" s="232"/>
      <c r="B67" s="243"/>
      <c r="C67" s="244"/>
    </row>
    <row r="68" spans="1:3" s="234" customFormat="1" ht="15.75">
      <c r="A68" s="232"/>
      <c r="B68" s="243"/>
      <c r="C68" s="244"/>
    </row>
    <row r="69" spans="1:3" s="234" customFormat="1" ht="15.75">
      <c r="A69" s="232"/>
      <c r="B69" s="243"/>
      <c r="C69" s="244"/>
    </row>
    <row r="70" spans="1:3" s="234" customFormat="1" ht="16.5" thickBot="1">
      <c r="A70" s="538">
        <v>3</v>
      </c>
      <c r="B70" s="538"/>
      <c r="C70" s="538"/>
    </row>
    <row r="71" spans="1:3" s="234" customFormat="1" ht="19.5" customHeight="1">
      <c r="A71" s="212" t="s">
        <v>54</v>
      </c>
      <c r="B71" s="533" t="s">
        <v>0</v>
      </c>
      <c r="C71" s="213" t="s">
        <v>22</v>
      </c>
    </row>
    <row r="72" spans="1:3" s="234" customFormat="1" ht="15.75">
      <c r="A72" s="195"/>
      <c r="B72" s="534"/>
      <c r="C72" s="214"/>
    </row>
    <row r="73" spans="1:3" s="234" customFormat="1" ht="16.5" thickBot="1">
      <c r="A73" s="198" t="s">
        <v>55</v>
      </c>
      <c r="B73" s="535"/>
      <c r="C73" s="216" t="s">
        <v>11</v>
      </c>
    </row>
    <row r="74" spans="1:3" s="234" customFormat="1" ht="15.75">
      <c r="A74" s="232"/>
      <c r="B74" s="243"/>
      <c r="C74" s="244"/>
    </row>
    <row r="75" spans="1:3" ht="20.25" customHeight="1">
      <c r="A75" s="536" t="s">
        <v>332</v>
      </c>
      <c r="B75" s="536"/>
      <c r="C75" s="536"/>
    </row>
    <row r="76" spans="1:3" ht="20.25" customHeight="1">
      <c r="A76" s="235"/>
      <c r="B76" s="235"/>
      <c r="C76" s="235"/>
    </row>
    <row r="77" spans="1:3" ht="20.25" customHeight="1">
      <c r="A77" s="221" t="s">
        <v>333</v>
      </c>
      <c r="B77" s="236" t="s">
        <v>334</v>
      </c>
      <c r="C77" s="223">
        <v>1115</v>
      </c>
    </row>
    <row r="78" spans="1:3" ht="21" customHeight="1">
      <c r="A78" s="221"/>
      <c r="B78" s="222" t="s">
        <v>335</v>
      </c>
      <c r="C78" s="237">
        <f>SUM(C77:C77)</f>
        <v>1115</v>
      </c>
    </row>
    <row r="79" spans="1:3" ht="15.75">
      <c r="A79" s="217" t="s">
        <v>336</v>
      </c>
      <c r="B79" s="236" t="s">
        <v>337</v>
      </c>
      <c r="C79" s="223"/>
    </row>
    <row r="80" spans="1:3" ht="15.75">
      <c r="A80" s="211" t="s">
        <v>338</v>
      </c>
      <c r="B80" s="236" t="s">
        <v>339</v>
      </c>
      <c r="C80" s="223"/>
    </row>
    <row r="81" spans="1:3" s="238" customFormat="1" ht="30" customHeight="1" thickBot="1">
      <c r="A81" s="221"/>
      <c r="B81" s="222" t="s">
        <v>340</v>
      </c>
      <c r="C81" s="223">
        <f>SUM(C79:C80)</f>
        <v>0</v>
      </c>
    </row>
    <row r="82" spans="1:5" s="238" customFormat="1" ht="30" customHeight="1" thickBot="1">
      <c r="A82" s="239"/>
      <c r="B82" s="240" t="s">
        <v>341</v>
      </c>
      <c r="C82" s="241">
        <f>C55+C78</f>
        <v>80027</v>
      </c>
      <c r="E82" s="242"/>
    </row>
    <row r="83" spans="1:5" ht="35.25" customHeight="1" thickBot="1">
      <c r="A83" s="239"/>
      <c r="B83" s="240" t="s">
        <v>342</v>
      </c>
      <c r="C83" s="241">
        <f>C56+C81</f>
        <v>80027</v>
      </c>
      <c r="E83" s="242"/>
    </row>
  </sheetData>
  <sheetProtection password="DB7F" sheet="1" selectLockedCells="1" selectUnlockedCells="1"/>
  <mergeCells count="13">
    <mergeCell ref="B71:B73"/>
    <mergeCell ref="A75:C75"/>
    <mergeCell ref="A10:C10"/>
    <mergeCell ref="A11:C11"/>
    <mergeCell ref="A12:C12"/>
    <mergeCell ref="A17:C17"/>
    <mergeCell ref="A70:C70"/>
    <mergeCell ref="A37:C37"/>
    <mergeCell ref="A41:C41"/>
    <mergeCell ref="A4:C4"/>
    <mergeCell ref="A5:C5"/>
    <mergeCell ref="A6:C6"/>
    <mergeCell ref="A9:C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5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5.125" style="70" customWidth="1"/>
    <col min="2" max="2" width="43.625" style="70" customWidth="1"/>
    <col min="3" max="15" width="15.375" style="29" customWidth="1"/>
    <col min="16" max="16" width="12.625" style="70" bestFit="1" customWidth="1"/>
    <col min="17" max="16384" width="9.125" style="70" customWidth="1"/>
  </cols>
  <sheetData>
    <row r="2" spans="1:15" s="135" customFormat="1" ht="15.75">
      <c r="A2" s="135" t="s">
        <v>540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4" spans="2:15" ht="15.75"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</row>
    <row r="5" spans="2:15" ht="15.75"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</row>
    <row r="6" spans="2:15" ht="15.75">
      <c r="B6" s="447" t="s">
        <v>53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</row>
    <row r="7" spans="2:15" ht="15.75">
      <c r="B7" s="447" t="s">
        <v>389</v>
      </c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</row>
    <row r="8" spans="2:15" ht="15.75">
      <c r="B8" s="447" t="s">
        <v>187</v>
      </c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</row>
    <row r="9" spans="3:15" ht="16.5" thickBot="1">
      <c r="C9" s="30"/>
      <c r="D9" s="30"/>
      <c r="E9" s="30"/>
      <c r="F9" s="310"/>
      <c r="G9" s="30"/>
      <c r="H9" s="30"/>
      <c r="I9" s="30"/>
      <c r="J9" s="30"/>
      <c r="O9" s="311" t="s">
        <v>8</v>
      </c>
    </row>
    <row r="10" spans="1:15" ht="15.75">
      <c r="A10" s="312" t="s">
        <v>54</v>
      </c>
      <c r="B10" s="313"/>
      <c r="C10" s="314"/>
      <c r="D10" s="315"/>
      <c r="E10" s="316"/>
      <c r="F10" s="317"/>
      <c r="G10" s="317"/>
      <c r="H10" s="317"/>
      <c r="I10" s="317"/>
      <c r="J10" s="317"/>
      <c r="K10" s="318"/>
      <c r="L10" s="318"/>
      <c r="M10" s="318"/>
      <c r="N10" s="319"/>
      <c r="O10" s="320"/>
    </row>
    <row r="11" spans="1:15" ht="15.75">
      <c r="A11" s="321"/>
      <c r="B11" s="322" t="s">
        <v>0</v>
      </c>
      <c r="C11" s="142" t="s">
        <v>390</v>
      </c>
      <c r="D11" s="323" t="s">
        <v>391</v>
      </c>
      <c r="E11" s="324" t="s">
        <v>392</v>
      </c>
      <c r="F11" s="325" t="s">
        <v>393</v>
      </c>
      <c r="G11" s="325" t="s">
        <v>394</v>
      </c>
      <c r="H11" s="325" t="s">
        <v>395</v>
      </c>
      <c r="I11" s="325" t="s">
        <v>396</v>
      </c>
      <c r="J11" s="325" t="s">
        <v>397</v>
      </c>
      <c r="K11" s="325" t="s">
        <v>398</v>
      </c>
      <c r="L11" s="325" t="s">
        <v>399</v>
      </c>
      <c r="M11" s="325" t="s">
        <v>400</v>
      </c>
      <c r="N11" s="324" t="s">
        <v>401</v>
      </c>
      <c r="O11" s="214" t="s">
        <v>378</v>
      </c>
    </row>
    <row r="12" spans="1:15" ht="16.5" thickBot="1">
      <c r="A12" s="326" t="s">
        <v>55</v>
      </c>
      <c r="B12" s="327"/>
      <c r="C12" s="328"/>
      <c r="D12" s="329"/>
      <c r="E12" s="330"/>
      <c r="F12" s="331"/>
      <c r="G12" s="331"/>
      <c r="H12" s="331"/>
      <c r="I12" s="331"/>
      <c r="J12" s="331"/>
      <c r="K12" s="331"/>
      <c r="L12" s="331"/>
      <c r="M12" s="331"/>
      <c r="N12" s="330"/>
      <c r="O12" s="328"/>
    </row>
    <row r="13" spans="1:15" ht="28.5" customHeight="1">
      <c r="A13" s="332"/>
      <c r="B13" s="333" t="s">
        <v>402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5"/>
    </row>
    <row r="14" spans="1:15" ht="28.5" customHeight="1">
      <c r="A14" s="332" t="s">
        <v>56</v>
      </c>
      <c r="B14" s="333" t="s">
        <v>403</v>
      </c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5"/>
    </row>
    <row r="15" spans="1:15" ht="28.5" customHeight="1">
      <c r="A15" s="332"/>
      <c r="B15" s="333" t="s">
        <v>404</v>
      </c>
      <c r="C15" s="334">
        <f>3053+109</f>
        <v>3162</v>
      </c>
      <c r="D15" s="334">
        <f>2035+109</f>
        <v>2144</v>
      </c>
      <c r="E15" s="334">
        <v>2144</v>
      </c>
      <c r="F15" s="334">
        <v>2035</v>
      </c>
      <c r="G15" s="334">
        <v>2035</v>
      </c>
      <c r="H15" s="334">
        <v>2035</v>
      </c>
      <c r="I15" s="334">
        <v>2035</v>
      </c>
      <c r="J15" s="334">
        <v>2035</v>
      </c>
      <c r="K15" s="334">
        <v>2035</v>
      </c>
      <c r="L15" s="334">
        <v>2035</v>
      </c>
      <c r="M15" s="334">
        <v>2035</v>
      </c>
      <c r="N15" s="334">
        <v>2036</v>
      </c>
      <c r="O15" s="335">
        <f>SUM(C15:N15)</f>
        <v>25766</v>
      </c>
    </row>
    <row r="16" spans="1:15" ht="28.5" customHeight="1">
      <c r="A16" s="332"/>
      <c r="B16" s="333" t="s">
        <v>405</v>
      </c>
      <c r="C16" s="334"/>
      <c r="D16" s="334"/>
      <c r="E16" s="334"/>
      <c r="F16" s="334"/>
      <c r="G16" s="334"/>
      <c r="H16" s="334"/>
      <c r="I16" s="334"/>
      <c r="J16" s="334">
        <v>23</v>
      </c>
      <c r="K16" s="334"/>
      <c r="L16" s="334"/>
      <c r="M16" s="334">
        <v>23</v>
      </c>
      <c r="N16" s="334"/>
      <c r="O16" s="335">
        <f>SUM(C16:N16)</f>
        <v>46</v>
      </c>
    </row>
    <row r="17" spans="1:15" ht="28.5" customHeight="1">
      <c r="A17" s="332" t="s">
        <v>32</v>
      </c>
      <c r="B17" s="333" t="s">
        <v>406</v>
      </c>
      <c r="C17" s="334">
        <v>9743</v>
      </c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5">
        <f aca="true" t="shared" si="0" ref="O17:O27">SUM(C17:N17)</f>
        <v>9743</v>
      </c>
    </row>
    <row r="18" spans="1:15" ht="15.75">
      <c r="A18" s="332" t="s">
        <v>57</v>
      </c>
      <c r="B18" s="333" t="s">
        <v>407</v>
      </c>
      <c r="C18" s="334">
        <f>12+44+32+31</f>
        <v>119</v>
      </c>
      <c r="D18" s="334">
        <f>19+12+118+253+31</f>
        <v>433</v>
      </c>
      <c r="E18" s="334">
        <f>1127+11+620+382+31</f>
        <v>2171</v>
      </c>
      <c r="F18" s="334">
        <f>9+12+76+34+31+200</f>
        <v>362</v>
      </c>
      <c r="G18" s="334">
        <f>408+12+48+35+31-200</f>
        <v>334</v>
      </c>
      <c r="H18" s="334">
        <f>46+12+20+19+31</f>
        <v>128</v>
      </c>
      <c r="I18" s="334">
        <f>12+2+2+31</f>
        <v>47</v>
      </c>
      <c r="J18" s="334">
        <f>12+237+346+31</f>
        <v>626</v>
      </c>
      <c r="K18" s="334">
        <f>1188+11+601+335+31</f>
        <v>2166</v>
      </c>
      <c r="L18" s="334">
        <f>10+12+27+35+31</f>
        <v>115</v>
      </c>
      <c r="M18" s="334">
        <f>852+11+76+12+31</f>
        <v>982</v>
      </c>
      <c r="N18" s="334">
        <f>241+11+34+15+29</f>
        <v>330</v>
      </c>
      <c r="O18" s="335">
        <f t="shared" si="0"/>
        <v>7813</v>
      </c>
    </row>
    <row r="19" spans="1:17" ht="15.75">
      <c r="A19" s="332" t="s">
        <v>128</v>
      </c>
      <c r="B19" s="333" t="s">
        <v>408</v>
      </c>
      <c r="C19" s="334">
        <v>791</v>
      </c>
      <c r="D19" s="334">
        <v>737</v>
      </c>
      <c r="E19" s="334">
        <v>818</v>
      </c>
      <c r="F19" s="334">
        <f>846+50</f>
        <v>896</v>
      </c>
      <c r="G19" s="334">
        <v>750</v>
      </c>
      <c r="H19" s="334">
        <v>664</v>
      </c>
      <c r="I19" s="334">
        <v>618</v>
      </c>
      <c r="J19" s="334">
        <v>564</v>
      </c>
      <c r="K19" s="334">
        <v>864</v>
      </c>
      <c r="L19" s="334">
        <f>773+120</f>
        <v>893</v>
      </c>
      <c r="M19" s="334">
        <v>773</v>
      </c>
      <c r="N19" s="334">
        <f>845+24</f>
        <v>869</v>
      </c>
      <c r="O19" s="335">
        <f t="shared" si="0"/>
        <v>9237</v>
      </c>
      <c r="Q19" s="357"/>
    </row>
    <row r="20" spans="1:15" ht="15.75">
      <c r="A20" s="332" t="s">
        <v>130</v>
      </c>
      <c r="B20" s="336" t="s">
        <v>409</v>
      </c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5">
        <f t="shared" si="0"/>
        <v>0</v>
      </c>
    </row>
    <row r="21" spans="1:15" ht="15.75">
      <c r="A21" s="332" t="s">
        <v>136</v>
      </c>
      <c r="B21" s="336" t="s">
        <v>294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9"/>
      <c r="O21" s="335">
        <f t="shared" si="0"/>
        <v>0</v>
      </c>
    </row>
    <row r="22" spans="1:15" ht="31.5">
      <c r="A22" s="332"/>
      <c r="B22" s="333" t="s">
        <v>410</v>
      </c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1"/>
      <c r="O22" s="335">
        <f t="shared" si="0"/>
        <v>0</v>
      </c>
    </row>
    <row r="23" spans="1:15" ht="17.25" customHeight="1">
      <c r="A23" s="332"/>
      <c r="B23" s="333" t="s">
        <v>411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1"/>
      <c r="O23" s="335">
        <f t="shared" si="0"/>
        <v>0</v>
      </c>
    </row>
    <row r="24" spans="1:15" ht="15.75">
      <c r="A24" s="332" t="s">
        <v>300</v>
      </c>
      <c r="B24" s="336" t="s">
        <v>412</v>
      </c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1"/>
      <c r="O24" s="335">
        <f t="shared" si="0"/>
        <v>0</v>
      </c>
    </row>
    <row r="25" spans="1:15" ht="47.25">
      <c r="A25" s="332"/>
      <c r="B25" s="355" t="s">
        <v>413</v>
      </c>
      <c r="C25" s="340">
        <v>8</v>
      </c>
      <c r="D25" s="340">
        <v>8</v>
      </c>
      <c r="E25" s="340">
        <v>10007</v>
      </c>
      <c r="F25" s="340">
        <v>8</v>
      </c>
      <c r="G25" s="340">
        <v>8</v>
      </c>
      <c r="H25" s="340">
        <v>10007</v>
      </c>
      <c r="I25" s="340">
        <v>8</v>
      </c>
      <c r="J25" s="340">
        <f>6215+8</f>
        <v>6223</v>
      </c>
      <c r="K25" s="340">
        <v>7</v>
      </c>
      <c r="L25" s="340">
        <v>8</v>
      </c>
      <c r="M25" s="340">
        <v>8</v>
      </c>
      <c r="N25" s="341">
        <v>7</v>
      </c>
      <c r="O25" s="335">
        <f t="shared" si="0"/>
        <v>26307</v>
      </c>
    </row>
    <row r="26" spans="1:15" ht="15.75">
      <c r="A26" s="332"/>
      <c r="B26" s="333" t="s">
        <v>414</v>
      </c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1"/>
      <c r="O26" s="335">
        <f t="shared" si="0"/>
        <v>0</v>
      </c>
    </row>
    <row r="27" spans="1:15" ht="15.75">
      <c r="A27" s="332" t="s">
        <v>302</v>
      </c>
      <c r="B27" s="336" t="s">
        <v>415</v>
      </c>
      <c r="C27" s="340">
        <v>1115</v>
      </c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1"/>
      <c r="O27" s="335">
        <f t="shared" si="0"/>
        <v>1115</v>
      </c>
    </row>
    <row r="28" spans="1:15" ht="16.5" thickBot="1">
      <c r="A28" s="342" t="s">
        <v>304</v>
      </c>
      <c r="B28" s="343" t="s">
        <v>416</v>
      </c>
      <c r="C28" s="340"/>
      <c r="D28" s="340">
        <f>C49</f>
        <v>1272</v>
      </c>
      <c r="E28" s="340">
        <f aca="true" t="shared" si="1" ref="E28:N28">D49</f>
        <v>1222</v>
      </c>
      <c r="F28" s="340">
        <f t="shared" si="1"/>
        <v>12800</v>
      </c>
      <c r="G28" s="340">
        <f t="shared" si="1"/>
        <v>2300</v>
      </c>
      <c r="H28" s="340">
        <f t="shared" si="1"/>
        <v>1073</v>
      </c>
      <c r="I28" s="340">
        <f t="shared" si="1"/>
        <v>3813</v>
      </c>
      <c r="J28" s="340">
        <f t="shared" si="1"/>
        <v>3423</v>
      </c>
      <c r="K28" s="340">
        <f t="shared" si="1"/>
        <v>8961</v>
      </c>
      <c r="L28" s="340">
        <f t="shared" si="1"/>
        <v>10062</v>
      </c>
      <c r="M28" s="340">
        <f t="shared" si="1"/>
        <v>9395</v>
      </c>
      <c r="N28" s="340">
        <f t="shared" si="1"/>
        <v>9079</v>
      </c>
      <c r="O28" s="335"/>
    </row>
    <row r="29" spans="1:16" s="22" customFormat="1" ht="27.75" customHeight="1" thickBot="1">
      <c r="A29" s="344"/>
      <c r="B29" s="344" t="s">
        <v>417</v>
      </c>
      <c r="C29" s="345">
        <f aca="true" t="shared" si="2" ref="C29:N29">SUM(C15:C28)</f>
        <v>14938</v>
      </c>
      <c r="D29" s="345">
        <f t="shared" si="2"/>
        <v>4594</v>
      </c>
      <c r="E29" s="345">
        <f t="shared" si="2"/>
        <v>16362</v>
      </c>
      <c r="F29" s="345">
        <f t="shared" si="2"/>
        <v>16101</v>
      </c>
      <c r="G29" s="345">
        <f t="shared" si="2"/>
        <v>5427</v>
      </c>
      <c r="H29" s="345">
        <f t="shared" si="2"/>
        <v>13907</v>
      </c>
      <c r="I29" s="345">
        <f t="shared" si="2"/>
        <v>6521</v>
      </c>
      <c r="J29" s="345">
        <f t="shared" si="2"/>
        <v>12894</v>
      </c>
      <c r="K29" s="345">
        <f t="shared" si="2"/>
        <v>14033</v>
      </c>
      <c r="L29" s="345">
        <f t="shared" si="2"/>
        <v>13113</v>
      </c>
      <c r="M29" s="345">
        <f t="shared" si="2"/>
        <v>13216</v>
      </c>
      <c r="N29" s="345">
        <f t="shared" si="2"/>
        <v>12321</v>
      </c>
      <c r="O29" s="346">
        <f>SUM(O14:O28)</f>
        <v>80027</v>
      </c>
      <c r="P29" s="154"/>
    </row>
    <row r="30" spans="1:15" ht="15.75">
      <c r="A30" s="347"/>
      <c r="B30" s="348" t="s">
        <v>418</v>
      </c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49"/>
    </row>
    <row r="31" spans="1:16" ht="15.75">
      <c r="A31" s="332" t="s">
        <v>312</v>
      </c>
      <c r="B31" s="336" t="s">
        <v>225</v>
      </c>
      <c r="C31" s="334">
        <f>1061+37</f>
        <v>1098</v>
      </c>
      <c r="D31" s="334">
        <f>1061</f>
        <v>1061</v>
      </c>
      <c r="E31" s="334">
        <f>1061</f>
        <v>1061</v>
      </c>
      <c r="F31" s="334">
        <f>1061</f>
        <v>1061</v>
      </c>
      <c r="G31" s="334">
        <f>1061</f>
        <v>1061</v>
      </c>
      <c r="H31" s="334">
        <f>1061</f>
        <v>1061</v>
      </c>
      <c r="I31" s="334">
        <f>1061</f>
        <v>1061</v>
      </c>
      <c r="J31" s="334">
        <f>1061</f>
        <v>1061</v>
      </c>
      <c r="K31" s="334">
        <f>1060</f>
        <v>1060</v>
      </c>
      <c r="L31" s="334">
        <f>1061</f>
        <v>1061</v>
      </c>
      <c r="M31" s="334">
        <f>1061</f>
        <v>1061</v>
      </c>
      <c r="N31" s="334">
        <f>1060</f>
        <v>1060</v>
      </c>
      <c r="O31" s="335">
        <f aca="true" t="shared" si="3" ref="O31:O47">SUM(C31:N31)</f>
        <v>12767</v>
      </c>
      <c r="P31" s="357"/>
    </row>
    <row r="32" spans="1:15" ht="31.5">
      <c r="A32" s="332" t="s">
        <v>314</v>
      </c>
      <c r="B32" s="355" t="s">
        <v>419</v>
      </c>
      <c r="C32" s="334">
        <f>296+11</f>
        <v>307</v>
      </c>
      <c r="D32" s="334">
        <f>296</f>
        <v>296</v>
      </c>
      <c r="E32" s="334">
        <f>296</f>
        <v>296</v>
      </c>
      <c r="F32" s="334">
        <f>296</f>
        <v>296</v>
      </c>
      <c r="G32" s="334">
        <f>296</f>
        <v>296</v>
      </c>
      <c r="H32" s="334">
        <f>296</f>
        <v>296</v>
      </c>
      <c r="I32" s="334">
        <f>295</f>
        <v>295</v>
      </c>
      <c r="J32" s="334">
        <f>296</f>
        <v>296</v>
      </c>
      <c r="K32" s="334">
        <f>296</f>
        <v>296</v>
      </c>
      <c r="L32" s="334">
        <f>296</f>
        <v>296</v>
      </c>
      <c r="M32" s="334">
        <f>295</f>
        <v>295</v>
      </c>
      <c r="N32" s="334">
        <f>296</f>
        <v>296</v>
      </c>
      <c r="O32" s="335">
        <f t="shared" si="3"/>
        <v>3561</v>
      </c>
    </row>
    <row r="33" spans="1:15" ht="15.75">
      <c r="A33" s="332" t="s">
        <v>316</v>
      </c>
      <c r="B33" s="336" t="s">
        <v>227</v>
      </c>
      <c r="C33" s="334">
        <f>1827+95</f>
        <v>1922</v>
      </c>
      <c r="D33" s="334">
        <f>1701+95</f>
        <v>1796</v>
      </c>
      <c r="E33" s="334">
        <f>1890+95</f>
        <v>1985</v>
      </c>
      <c r="F33" s="334">
        <f>1853+95</f>
        <v>1948</v>
      </c>
      <c r="G33" s="334">
        <f>1848+95+635</f>
        <v>2578</v>
      </c>
      <c r="H33" s="334">
        <f>1533+95</f>
        <v>1628</v>
      </c>
      <c r="I33" s="334">
        <f>1428+95</f>
        <v>1523</v>
      </c>
      <c r="J33" s="334">
        <f>1302+95</f>
        <v>1397</v>
      </c>
      <c r="K33" s="334">
        <f>1995+95</f>
        <v>2090</v>
      </c>
      <c r="L33" s="334">
        <f>1787+95</f>
        <v>1882</v>
      </c>
      <c r="M33" s="334">
        <f>1886+95</f>
        <v>1981</v>
      </c>
      <c r="N33" s="334">
        <f>2047+99</f>
        <v>2146</v>
      </c>
      <c r="O33" s="335">
        <f t="shared" si="3"/>
        <v>22876</v>
      </c>
    </row>
    <row r="34" spans="1:15" ht="15.75">
      <c r="A34" s="332" t="s">
        <v>321</v>
      </c>
      <c r="B34" s="336" t="s">
        <v>228</v>
      </c>
      <c r="C34" s="334">
        <f>219+4</f>
        <v>223</v>
      </c>
      <c r="D34" s="334">
        <f>219</f>
        <v>219</v>
      </c>
      <c r="E34" s="334">
        <f>219+1</f>
        <v>220</v>
      </c>
      <c r="F34" s="334">
        <f>219</f>
        <v>219</v>
      </c>
      <c r="G34" s="334">
        <f>219</f>
        <v>219</v>
      </c>
      <c r="H34" s="334">
        <f>219</f>
        <v>219</v>
      </c>
      <c r="I34" s="334">
        <f>219</f>
        <v>219</v>
      </c>
      <c r="J34" s="334">
        <f>219</f>
        <v>219</v>
      </c>
      <c r="K34" s="334">
        <f>219</f>
        <v>219</v>
      </c>
      <c r="L34" s="334">
        <f>219</f>
        <v>219</v>
      </c>
      <c r="M34" s="334">
        <f>219</f>
        <v>219</v>
      </c>
      <c r="N34" s="334">
        <f>219</f>
        <v>219</v>
      </c>
      <c r="O34" s="335">
        <f t="shared" si="3"/>
        <v>2633</v>
      </c>
    </row>
    <row r="35" spans="1:15" ht="15.75">
      <c r="A35" s="332" t="s">
        <v>323</v>
      </c>
      <c r="B35" s="336" t="s">
        <v>420</v>
      </c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5"/>
    </row>
    <row r="36" spans="1:15" ht="15.75">
      <c r="A36" s="332"/>
      <c r="B36" s="336" t="s">
        <v>421</v>
      </c>
      <c r="C36" s="334"/>
      <c r="D36" s="334"/>
      <c r="E36" s="334"/>
      <c r="F36" s="334">
        <v>112</v>
      </c>
      <c r="G36" s="334"/>
      <c r="H36" s="334"/>
      <c r="I36" s="334"/>
      <c r="J36" s="334"/>
      <c r="K36" s="334"/>
      <c r="L36" s="334"/>
      <c r="M36" s="334"/>
      <c r="N36" s="334"/>
      <c r="O36" s="335">
        <f t="shared" si="3"/>
        <v>112</v>
      </c>
    </row>
    <row r="37" spans="1:16" ht="15.75">
      <c r="A37" s="332"/>
      <c r="B37" s="336" t="s">
        <v>422</v>
      </c>
      <c r="C37" s="334">
        <v>50</v>
      </c>
      <c r="D37" s="334"/>
      <c r="E37" s="334"/>
      <c r="F37" s="334"/>
      <c r="G37" s="334">
        <v>200</v>
      </c>
      <c r="H37" s="334">
        <v>675</v>
      </c>
      <c r="I37" s="334"/>
      <c r="J37" s="334"/>
      <c r="K37" s="334"/>
      <c r="L37" s="334"/>
      <c r="M37" s="334"/>
      <c r="N37" s="334"/>
      <c r="O37" s="335">
        <f t="shared" si="3"/>
        <v>925</v>
      </c>
      <c r="P37" s="357"/>
    </row>
    <row r="38" spans="1:15" ht="15.75">
      <c r="A38" s="332" t="s">
        <v>325</v>
      </c>
      <c r="B38" s="336" t="s">
        <v>231</v>
      </c>
      <c r="C38" s="334">
        <f>58+8</f>
        <v>66</v>
      </c>
      <c r="D38" s="334"/>
      <c r="E38" s="334"/>
      <c r="F38" s="334">
        <v>165</v>
      </c>
      <c r="G38" s="334"/>
      <c r="H38" s="334"/>
      <c r="I38" s="334"/>
      <c r="J38" s="334"/>
      <c r="K38" s="334"/>
      <c r="L38" s="334"/>
      <c r="M38" s="334"/>
      <c r="N38" s="334"/>
      <c r="O38" s="335">
        <f t="shared" si="3"/>
        <v>231</v>
      </c>
    </row>
    <row r="39" spans="1:15" ht="15.75">
      <c r="A39" s="332" t="s">
        <v>333</v>
      </c>
      <c r="B39" s="336" t="s">
        <v>94</v>
      </c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5">
        <f t="shared" si="3"/>
        <v>0</v>
      </c>
    </row>
    <row r="40" spans="1:15" ht="20.25" customHeight="1">
      <c r="A40" s="332" t="s">
        <v>336</v>
      </c>
      <c r="B40" s="336" t="s">
        <v>326</v>
      </c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5">
        <f t="shared" si="3"/>
        <v>0</v>
      </c>
    </row>
    <row r="41" spans="1:15" ht="20.25" customHeight="1">
      <c r="A41" s="332"/>
      <c r="B41" s="336" t="s">
        <v>421</v>
      </c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5">
        <f t="shared" si="3"/>
        <v>0</v>
      </c>
    </row>
    <row r="42" spans="1:15" ht="15.75">
      <c r="A42" s="332"/>
      <c r="B42" s="336" t="s">
        <v>422</v>
      </c>
      <c r="C42" s="334">
        <v>10000</v>
      </c>
      <c r="D42" s="334"/>
      <c r="E42" s="334"/>
      <c r="F42" s="334">
        <v>10000</v>
      </c>
      <c r="G42" s="334"/>
      <c r="H42" s="334">
        <v>6215</v>
      </c>
      <c r="I42" s="334"/>
      <c r="J42" s="334">
        <v>600</v>
      </c>
      <c r="K42" s="334"/>
      <c r="L42" s="334"/>
      <c r="M42" s="334"/>
      <c r="N42" s="334"/>
      <c r="O42" s="335">
        <f t="shared" si="3"/>
        <v>26815</v>
      </c>
    </row>
    <row r="43" spans="1:15" ht="15.75">
      <c r="A43" s="332" t="s">
        <v>338</v>
      </c>
      <c r="B43" s="336" t="s">
        <v>224</v>
      </c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5">
        <f t="shared" si="3"/>
        <v>0</v>
      </c>
    </row>
    <row r="44" spans="1:15" ht="15.75">
      <c r="A44" s="332"/>
      <c r="B44" s="336" t="s">
        <v>423</v>
      </c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5">
        <f t="shared" si="3"/>
        <v>0</v>
      </c>
    </row>
    <row r="45" spans="1:15" ht="15.75">
      <c r="A45" s="332"/>
      <c r="B45" s="336" t="s">
        <v>424</v>
      </c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5">
        <f t="shared" si="3"/>
        <v>0</v>
      </c>
    </row>
    <row r="46" spans="1:16" ht="15.75">
      <c r="A46" s="332" t="s">
        <v>425</v>
      </c>
      <c r="B46" s="336" t="s">
        <v>426</v>
      </c>
      <c r="C46" s="334"/>
      <c r="D46" s="334"/>
      <c r="E46" s="334"/>
      <c r="F46" s="334"/>
      <c r="G46" s="334"/>
      <c r="H46" s="334"/>
      <c r="I46" s="334"/>
      <c r="J46" s="334">
        <v>360</v>
      </c>
      <c r="K46" s="334">
        <v>306</v>
      </c>
      <c r="L46" s="334">
        <v>260</v>
      </c>
      <c r="M46" s="334">
        <v>581</v>
      </c>
      <c r="N46" s="334">
        <v>600</v>
      </c>
      <c r="O46" s="335">
        <f t="shared" si="3"/>
        <v>2107</v>
      </c>
      <c r="P46" s="357"/>
    </row>
    <row r="47" spans="1:15" ht="16.5" thickBot="1">
      <c r="A47" s="342" t="s">
        <v>427</v>
      </c>
      <c r="B47" s="343" t="s">
        <v>428</v>
      </c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>
        <v>8000</v>
      </c>
      <c r="O47" s="335">
        <f t="shared" si="3"/>
        <v>8000</v>
      </c>
    </row>
    <row r="48" spans="1:19" s="22" customFormat="1" ht="24" customHeight="1" thickBot="1">
      <c r="A48" s="344"/>
      <c r="B48" s="344" t="s">
        <v>429</v>
      </c>
      <c r="C48" s="345">
        <f>SUM(C31:C47)</f>
        <v>13666</v>
      </c>
      <c r="D48" s="345">
        <f aca="true" t="shared" si="4" ref="D48:O48">SUM(D31:D47)</f>
        <v>3372</v>
      </c>
      <c r="E48" s="345">
        <f t="shared" si="4"/>
        <v>3562</v>
      </c>
      <c r="F48" s="345">
        <f t="shared" si="4"/>
        <v>13801</v>
      </c>
      <c r="G48" s="345">
        <f t="shared" si="4"/>
        <v>4354</v>
      </c>
      <c r="H48" s="345">
        <f t="shared" si="4"/>
        <v>10094</v>
      </c>
      <c r="I48" s="345">
        <f t="shared" si="4"/>
        <v>3098</v>
      </c>
      <c r="J48" s="345">
        <f t="shared" si="4"/>
        <v>3933</v>
      </c>
      <c r="K48" s="345">
        <f t="shared" si="4"/>
        <v>3971</v>
      </c>
      <c r="L48" s="345">
        <f t="shared" si="4"/>
        <v>3718</v>
      </c>
      <c r="M48" s="345">
        <f t="shared" si="4"/>
        <v>4137</v>
      </c>
      <c r="N48" s="345">
        <f t="shared" si="4"/>
        <v>12321</v>
      </c>
      <c r="O48" s="346">
        <f t="shared" si="4"/>
        <v>80027</v>
      </c>
      <c r="S48" s="350"/>
    </row>
    <row r="49" spans="1:15" ht="26.25" customHeight="1" thickBot="1">
      <c r="A49" s="351"/>
      <c r="B49" s="352" t="s">
        <v>430</v>
      </c>
      <c r="C49" s="353">
        <f>C29-C48</f>
        <v>1272</v>
      </c>
      <c r="D49" s="353">
        <f aca="true" t="shared" si="5" ref="D49:N49">D29-D48</f>
        <v>1222</v>
      </c>
      <c r="E49" s="353">
        <f t="shared" si="5"/>
        <v>12800</v>
      </c>
      <c r="F49" s="353">
        <f t="shared" si="5"/>
        <v>2300</v>
      </c>
      <c r="G49" s="353">
        <f t="shared" si="5"/>
        <v>1073</v>
      </c>
      <c r="H49" s="353">
        <f t="shared" si="5"/>
        <v>3813</v>
      </c>
      <c r="I49" s="353">
        <f t="shared" si="5"/>
        <v>3423</v>
      </c>
      <c r="J49" s="353">
        <f t="shared" si="5"/>
        <v>8961</v>
      </c>
      <c r="K49" s="353">
        <f t="shared" si="5"/>
        <v>10062</v>
      </c>
      <c r="L49" s="353">
        <f t="shared" si="5"/>
        <v>9395</v>
      </c>
      <c r="M49" s="353">
        <f t="shared" si="5"/>
        <v>9079</v>
      </c>
      <c r="N49" s="353">
        <f t="shared" si="5"/>
        <v>0</v>
      </c>
      <c r="O49" s="354"/>
    </row>
    <row r="51" spans="3:15" ht="15.75"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</row>
    <row r="52" ht="15.75">
      <c r="O52" s="356"/>
    </row>
    <row r="53" ht="15.75">
      <c r="O53" s="356"/>
    </row>
    <row r="54" ht="15.75">
      <c r="O54" s="356"/>
    </row>
    <row r="55" ht="15.75">
      <c r="O55" s="356"/>
    </row>
  </sheetData>
  <sheetProtection password="DB7F" sheet="1" selectLockedCells="1" selectUnlockedCells="1"/>
  <mergeCells count="5">
    <mergeCell ref="B8:O8"/>
    <mergeCell ref="B4:O4"/>
    <mergeCell ref="B5:O5"/>
    <mergeCell ref="B6:O6"/>
    <mergeCell ref="B7:O7"/>
  </mergeCells>
  <printOptions horizontalCentered="1"/>
  <pageMargins left="0" right="0" top="0" bottom="0" header="0.31496062992125984" footer="0.31496062992125984"/>
  <pageSetup fitToHeight="1" fitToWidth="1" horizontalDpi="300" verticalDpi="3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.75390625" style="32" customWidth="1"/>
    <col min="2" max="2" width="56.25390625" style="32" customWidth="1"/>
    <col min="3" max="3" width="17.875" style="32" customWidth="1"/>
    <col min="4" max="4" width="4.875" style="32" customWidth="1"/>
    <col min="5" max="16384" width="9.125" style="32" customWidth="1"/>
  </cols>
  <sheetData>
    <row r="1" spans="1:5" ht="15.75">
      <c r="A1" s="135" t="s">
        <v>541</v>
      </c>
      <c r="B1" s="135"/>
      <c r="C1" s="135"/>
      <c r="D1" s="135"/>
      <c r="E1" s="31"/>
    </row>
    <row r="2" spans="1:5" ht="15.75">
      <c r="A2" s="33"/>
      <c r="B2" s="33"/>
      <c r="C2" s="33"/>
      <c r="D2" s="34"/>
      <c r="E2" s="31"/>
    </row>
    <row r="3" spans="1:5" ht="12.75" customHeight="1">
      <c r="A3" s="34"/>
      <c r="B3" s="34"/>
      <c r="C3" s="34"/>
      <c r="D3" s="34"/>
      <c r="E3" s="31"/>
    </row>
    <row r="4" spans="1:5" ht="15.75">
      <c r="A4" s="540" t="s">
        <v>4</v>
      </c>
      <c r="B4" s="540"/>
      <c r="C4" s="540"/>
      <c r="D4" s="540"/>
      <c r="E4" s="31"/>
    </row>
    <row r="5" spans="1:5" ht="15.75">
      <c r="A5" s="540" t="s">
        <v>27</v>
      </c>
      <c r="B5" s="540"/>
      <c r="C5" s="540"/>
      <c r="D5" s="540"/>
      <c r="E5" s="31"/>
    </row>
    <row r="6" spans="1:5" ht="15.75">
      <c r="A6" s="540" t="s">
        <v>529</v>
      </c>
      <c r="B6" s="540"/>
      <c r="C6" s="540"/>
      <c r="D6" s="540"/>
      <c r="E6" s="31"/>
    </row>
    <row r="7" spans="1:5" ht="15.75">
      <c r="A7" s="33"/>
      <c r="B7" s="33"/>
      <c r="C7" s="33"/>
      <c r="D7" s="31"/>
      <c r="E7" s="31"/>
    </row>
    <row r="8" spans="1:5" ht="15.75">
      <c r="A8" s="33"/>
      <c r="B8" s="33"/>
      <c r="C8" s="33"/>
      <c r="D8" s="31"/>
      <c r="E8" s="31"/>
    </row>
    <row r="9" spans="1:5" ht="15.75">
      <c r="A9" s="33"/>
      <c r="B9" s="33"/>
      <c r="C9" s="33"/>
      <c r="D9" s="31"/>
      <c r="E9" s="31"/>
    </row>
    <row r="10" spans="1:5" ht="15.75">
      <c r="A10" s="33"/>
      <c r="B10" s="33"/>
      <c r="C10" s="33"/>
      <c r="D10" s="31"/>
      <c r="E10" s="31"/>
    </row>
    <row r="11" spans="1:5" ht="15.75">
      <c r="A11" s="33"/>
      <c r="B11" s="35" t="s">
        <v>13</v>
      </c>
      <c r="C11" s="33"/>
      <c r="D11" s="31"/>
      <c r="E11" s="31"/>
    </row>
    <row r="12" spans="1:5" ht="10.5" customHeight="1">
      <c r="A12" s="33"/>
      <c r="B12" s="35"/>
      <c r="C12" s="33"/>
      <c r="D12" s="31"/>
      <c r="E12" s="31"/>
    </row>
    <row r="13" spans="1:5" ht="12" customHeight="1">
      <c r="A13" s="33"/>
      <c r="B13" s="35"/>
      <c r="C13" s="36"/>
      <c r="D13" s="31"/>
      <c r="E13" s="31"/>
    </row>
    <row r="14" spans="1:3" s="40" customFormat="1" ht="15">
      <c r="A14" s="37"/>
      <c r="B14" s="38" t="s">
        <v>14</v>
      </c>
      <c r="C14" s="39"/>
    </row>
    <row r="15" spans="1:5" ht="19.5" customHeight="1">
      <c r="A15" s="41"/>
      <c r="B15" s="31" t="s">
        <v>15</v>
      </c>
      <c r="C15" s="42">
        <v>1845000</v>
      </c>
      <c r="D15" s="31" t="s">
        <v>1</v>
      </c>
      <c r="E15" s="31"/>
    </row>
    <row r="16" spans="1:5" ht="19.5" customHeight="1">
      <c r="A16" s="31"/>
      <c r="B16" s="34" t="s">
        <v>16</v>
      </c>
      <c r="C16" s="43">
        <f>SUM(C15)</f>
        <v>1845000</v>
      </c>
      <c r="D16" s="34" t="s">
        <v>1</v>
      </c>
      <c r="E16" s="31"/>
    </row>
    <row r="17" spans="1:5" ht="19.5" customHeight="1">
      <c r="A17" s="31"/>
      <c r="B17" s="34"/>
      <c r="C17" s="43"/>
      <c r="D17" s="34"/>
      <c r="E17" s="31"/>
    </row>
    <row r="18" spans="1:5" ht="19.5" customHeight="1">
      <c r="A18" s="31"/>
      <c r="B18" s="34"/>
      <c r="C18" s="43"/>
      <c r="D18" s="34"/>
      <c r="E18" s="31"/>
    </row>
    <row r="19" spans="1:5" ht="10.5" customHeight="1">
      <c r="A19" s="31"/>
      <c r="B19" s="34"/>
      <c r="C19" s="43"/>
      <c r="D19" s="34"/>
      <c r="E19" s="31"/>
    </row>
    <row r="20" spans="1:5" ht="15.75">
      <c r="A20" s="31"/>
      <c r="B20" s="44" t="s">
        <v>17</v>
      </c>
      <c r="C20" s="43"/>
      <c r="D20" s="31"/>
      <c r="E20" s="31"/>
    </row>
    <row r="21" spans="1:5" ht="18">
      <c r="A21" s="31"/>
      <c r="B21" s="31" t="s">
        <v>33</v>
      </c>
      <c r="C21" s="45">
        <v>12586231</v>
      </c>
      <c r="D21" s="31" t="s">
        <v>1</v>
      </c>
      <c r="E21" s="31"/>
    </row>
    <row r="22" spans="1:5" s="46" customFormat="1" ht="15.75">
      <c r="A22" s="34"/>
      <c r="B22" s="34" t="s">
        <v>18</v>
      </c>
      <c r="C22" s="43">
        <f>SUM(C21:C21)</f>
        <v>12586231</v>
      </c>
      <c r="D22" s="34" t="s">
        <v>1</v>
      </c>
      <c r="E22" s="34"/>
    </row>
    <row r="23" spans="1:5" ht="15.75">
      <c r="A23" s="31"/>
      <c r="B23" s="31"/>
      <c r="C23" s="31"/>
      <c r="D23" s="31"/>
      <c r="E23" s="31"/>
    </row>
    <row r="24" spans="1:5" ht="15.75">
      <c r="A24" s="31"/>
      <c r="B24" s="120"/>
      <c r="C24" s="31"/>
      <c r="D24" s="31"/>
      <c r="E24" s="31"/>
    </row>
    <row r="25" spans="1:5" ht="15.75">
      <c r="A25" s="31"/>
      <c r="B25" s="31"/>
      <c r="C25" s="31"/>
      <c r="D25" s="31"/>
      <c r="E25" s="31"/>
    </row>
    <row r="26" spans="1:5" ht="15.75">
      <c r="A26" s="31"/>
      <c r="B26" s="31"/>
      <c r="C26" s="31"/>
      <c r="D26" s="31"/>
      <c r="E26" s="31"/>
    </row>
    <row r="27" spans="1:5" ht="15.75">
      <c r="A27" s="31"/>
      <c r="B27" s="31"/>
      <c r="C27" s="31"/>
      <c r="D27" s="31"/>
      <c r="E27" s="31"/>
    </row>
    <row r="28" spans="1:5" ht="15.75">
      <c r="A28" s="31"/>
      <c r="B28" s="31"/>
      <c r="C28" s="31"/>
      <c r="D28" s="31"/>
      <c r="E28" s="31"/>
    </row>
    <row r="29" spans="1:5" ht="15.75">
      <c r="A29" s="31"/>
      <c r="B29" s="31"/>
      <c r="C29" s="31"/>
      <c r="D29" s="31"/>
      <c r="E29" s="31"/>
    </row>
    <row r="30" spans="1:5" ht="15.75">
      <c r="A30" s="31"/>
      <c r="B30" s="31"/>
      <c r="C30" s="31"/>
      <c r="D30" s="31"/>
      <c r="E30" s="31"/>
    </row>
    <row r="31" spans="1:5" ht="15.75">
      <c r="A31" s="31"/>
      <c r="B31" s="31"/>
      <c r="C31" s="31"/>
      <c r="D31" s="31"/>
      <c r="E31" s="31"/>
    </row>
    <row r="32" spans="1:5" ht="15.75">
      <c r="A32" s="31"/>
      <c r="B32" s="31"/>
      <c r="C32" s="31"/>
      <c r="D32" s="31"/>
      <c r="E32" s="31"/>
    </row>
  </sheetData>
  <sheetProtection password="DB7F" sheet="1" selectLockedCells="1" selectUnlockedCells="1"/>
  <mergeCells count="3">
    <mergeCell ref="A6:D6"/>
    <mergeCell ref="A4:D4"/>
    <mergeCell ref="A5:D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7" width="11.875" style="1" customWidth="1"/>
    <col min="8" max="8" width="12.375" style="1" customWidth="1"/>
    <col min="9" max="16384" width="9.125" style="1" customWidth="1"/>
  </cols>
  <sheetData>
    <row r="1" spans="1:8" ht="15.75">
      <c r="A1" s="135" t="s">
        <v>542</v>
      </c>
      <c r="C1" s="507"/>
      <c r="D1" s="507"/>
      <c r="E1" s="507"/>
      <c r="F1" s="507"/>
      <c r="G1" s="507"/>
      <c r="H1" s="507"/>
    </row>
    <row r="3" spans="1:8" ht="12.75">
      <c r="A3" s="448"/>
      <c r="B3" s="448"/>
      <c r="C3" s="448"/>
      <c r="D3" s="448"/>
      <c r="E3" s="448"/>
      <c r="F3" s="448"/>
      <c r="G3" s="448"/>
      <c r="H3" s="448"/>
    </row>
    <row r="4" spans="1:9" ht="14.25">
      <c r="A4" s="541"/>
      <c r="B4" s="541"/>
      <c r="C4" s="541"/>
      <c r="D4" s="541"/>
      <c r="E4" s="541"/>
      <c r="F4" s="541"/>
      <c r="G4" s="541"/>
      <c r="H4" s="541"/>
      <c r="I4" s="98"/>
    </row>
    <row r="5" spans="1:9" ht="14.25">
      <c r="A5" s="541" t="s">
        <v>355</v>
      </c>
      <c r="B5" s="541"/>
      <c r="C5" s="541"/>
      <c r="D5" s="541"/>
      <c r="E5" s="541"/>
      <c r="F5" s="541"/>
      <c r="G5" s="541"/>
      <c r="H5" s="541"/>
      <c r="I5" s="98"/>
    </row>
    <row r="6" spans="1:9" s="5" customFormat="1" ht="15.75">
      <c r="A6" s="459" t="s">
        <v>356</v>
      </c>
      <c r="B6" s="459"/>
      <c r="C6" s="459"/>
      <c r="D6" s="459"/>
      <c r="E6" s="459"/>
      <c r="F6" s="459"/>
      <c r="G6" s="459"/>
      <c r="H6" s="459"/>
      <c r="I6" s="87"/>
    </row>
    <row r="7" spans="1:9" s="5" customFormat="1" ht="15.75">
      <c r="A7" s="459" t="s">
        <v>279</v>
      </c>
      <c r="B7" s="459"/>
      <c r="C7" s="459"/>
      <c r="D7" s="459"/>
      <c r="E7" s="459"/>
      <c r="F7" s="459"/>
      <c r="G7" s="459"/>
      <c r="H7" s="459"/>
      <c r="I7" s="87"/>
    </row>
    <row r="8" spans="1:8" s="5" customFormat="1" ht="13.5" thickBot="1">
      <c r="A8" s="99"/>
      <c r="B8" s="99"/>
      <c r="C8" s="99"/>
      <c r="D8" s="99"/>
      <c r="E8" s="99"/>
      <c r="F8" s="99"/>
      <c r="H8" s="100" t="s">
        <v>5</v>
      </c>
    </row>
    <row r="9" spans="1:8" s="103" customFormat="1" ht="22.5" customHeight="1" thickTop="1">
      <c r="A9" s="101" t="s">
        <v>54</v>
      </c>
      <c r="B9" s="102"/>
      <c r="C9" s="542" t="s">
        <v>76</v>
      </c>
      <c r="D9" s="542" t="s">
        <v>77</v>
      </c>
      <c r="E9" s="542" t="s">
        <v>78</v>
      </c>
      <c r="F9" s="542" t="s">
        <v>79</v>
      </c>
      <c r="G9" s="542" t="s">
        <v>80</v>
      </c>
      <c r="H9" s="553" t="s">
        <v>81</v>
      </c>
    </row>
    <row r="10" spans="1:8" s="103" customFormat="1" ht="12.75">
      <c r="A10" s="104"/>
      <c r="B10" s="105" t="s">
        <v>82</v>
      </c>
      <c r="C10" s="543"/>
      <c r="D10" s="543"/>
      <c r="E10" s="543"/>
      <c r="F10" s="543"/>
      <c r="G10" s="543"/>
      <c r="H10" s="554"/>
    </row>
    <row r="11" spans="1:8" s="103" customFormat="1" ht="13.5" thickBot="1">
      <c r="A11" s="106" t="s">
        <v>55</v>
      </c>
      <c r="B11" s="107"/>
      <c r="C11" s="544"/>
      <c r="D11" s="544"/>
      <c r="E11" s="544"/>
      <c r="F11" s="544"/>
      <c r="G11" s="544"/>
      <c r="H11" s="555"/>
    </row>
    <row r="12" spans="1:8" s="103" customFormat="1" ht="12.75">
      <c r="A12" s="545" t="s">
        <v>56</v>
      </c>
      <c r="B12" s="547" t="s">
        <v>83</v>
      </c>
      <c r="C12" s="549">
        <v>1887</v>
      </c>
      <c r="D12" s="549">
        <v>1887</v>
      </c>
      <c r="E12" s="549">
        <v>1887</v>
      </c>
      <c r="F12" s="549">
        <v>1887</v>
      </c>
      <c r="G12" s="549">
        <v>1887</v>
      </c>
      <c r="H12" s="551">
        <f>SUM(C12:G17)</f>
        <v>9435</v>
      </c>
    </row>
    <row r="13" spans="1:8" s="103" customFormat="1" ht="15" customHeight="1">
      <c r="A13" s="546"/>
      <c r="B13" s="548"/>
      <c r="C13" s="550"/>
      <c r="D13" s="550"/>
      <c r="E13" s="550"/>
      <c r="F13" s="550"/>
      <c r="G13" s="550"/>
      <c r="H13" s="552"/>
    </row>
    <row r="14" spans="1:8" s="103" customFormat="1" ht="15" customHeight="1">
      <c r="A14" s="546"/>
      <c r="B14" s="108" t="s">
        <v>84</v>
      </c>
      <c r="C14" s="550"/>
      <c r="D14" s="550"/>
      <c r="E14" s="550"/>
      <c r="F14" s="550"/>
      <c r="G14" s="550"/>
      <c r="H14" s="552"/>
    </row>
    <row r="15" spans="1:8" s="103" customFormat="1" ht="25.5">
      <c r="A15" s="546"/>
      <c r="B15" s="108" t="s">
        <v>357</v>
      </c>
      <c r="C15" s="550"/>
      <c r="D15" s="550"/>
      <c r="E15" s="550"/>
      <c r="F15" s="550"/>
      <c r="G15" s="550"/>
      <c r="H15" s="552"/>
    </row>
    <row r="16" spans="1:8" s="103" customFormat="1" ht="12.75">
      <c r="A16" s="546"/>
      <c r="B16" s="109" t="s">
        <v>85</v>
      </c>
      <c r="C16" s="550"/>
      <c r="D16" s="550"/>
      <c r="E16" s="550"/>
      <c r="F16" s="550"/>
      <c r="G16" s="550"/>
      <c r="H16" s="552"/>
    </row>
    <row r="17" spans="1:8" s="103" customFormat="1" ht="13.5" thickBot="1">
      <c r="A17" s="546"/>
      <c r="B17" s="110" t="s">
        <v>86</v>
      </c>
      <c r="C17" s="550"/>
      <c r="D17" s="550"/>
      <c r="E17" s="550"/>
      <c r="F17" s="550"/>
      <c r="G17" s="550"/>
      <c r="H17" s="552"/>
    </row>
    <row r="18" spans="1:9" s="116" customFormat="1" ht="40.5" customHeight="1" thickBot="1" thickTop="1">
      <c r="A18" s="111"/>
      <c r="B18" s="112" t="s">
        <v>87</v>
      </c>
      <c r="C18" s="113">
        <f aca="true" t="shared" si="0" ref="C18:H18">SUM(C12:C17)</f>
        <v>1887</v>
      </c>
      <c r="D18" s="113">
        <f t="shared" si="0"/>
        <v>1887</v>
      </c>
      <c r="E18" s="113">
        <f t="shared" si="0"/>
        <v>1887</v>
      </c>
      <c r="F18" s="113">
        <f t="shared" si="0"/>
        <v>1887</v>
      </c>
      <c r="G18" s="113">
        <f t="shared" si="0"/>
        <v>1887</v>
      </c>
      <c r="H18" s="114">
        <f t="shared" si="0"/>
        <v>9435</v>
      </c>
      <c r="I18" s="115"/>
    </row>
    <row r="19" spans="1:7" s="116" customFormat="1" ht="27" customHeight="1">
      <c r="A19" s="117"/>
      <c r="B19" s="118"/>
      <c r="C19" s="119"/>
      <c r="D19" s="119"/>
      <c r="E19" s="119"/>
      <c r="F19" s="119"/>
      <c r="G19" s="119"/>
    </row>
  </sheetData>
  <sheetProtection password="DB7F" sheet="1" selectLockedCells="1" selectUnlockedCells="1"/>
  <mergeCells count="20">
    <mergeCell ref="C1:H1"/>
    <mergeCell ref="G12:G17"/>
    <mergeCell ref="H12:H17"/>
    <mergeCell ref="H9:H11"/>
    <mergeCell ref="D12:D17"/>
    <mergeCell ref="E12:E17"/>
    <mergeCell ref="E9:E11"/>
    <mergeCell ref="F12:F17"/>
    <mergeCell ref="A3:H3"/>
    <mergeCell ref="A4:H4"/>
    <mergeCell ref="A12:A17"/>
    <mergeCell ref="B12:B13"/>
    <mergeCell ref="C12:C17"/>
    <mergeCell ref="A6:H6"/>
    <mergeCell ref="A7:H7"/>
    <mergeCell ref="A5:H5"/>
    <mergeCell ref="C9:C11"/>
    <mergeCell ref="D9:D11"/>
    <mergeCell ref="G9:G11"/>
    <mergeCell ref="F9:F1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5.875" style="70" customWidth="1"/>
    <col min="2" max="2" width="37.375" style="70" customWidth="1"/>
    <col min="3" max="3" width="9.625" style="70" customWidth="1"/>
    <col min="4" max="12" width="15.75390625" style="70" customWidth="1"/>
    <col min="13" max="13" width="13.625" style="70" bestFit="1" customWidth="1"/>
    <col min="14" max="16384" width="9.125" style="70" customWidth="1"/>
  </cols>
  <sheetData>
    <row r="2" spans="1:12" ht="15.75">
      <c r="A2" s="362" t="s">
        <v>543</v>
      </c>
      <c r="K2" s="599"/>
      <c r="L2" s="599"/>
    </row>
    <row r="3" spans="1:12" ht="15.75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</row>
    <row r="4" spans="2:12" ht="15.75"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spans="1:12" ht="15.75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</row>
    <row r="6" spans="1:12" ht="15.75">
      <c r="A6" s="447" t="s">
        <v>53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</row>
    <row r="7" spans="1:12" ht="15.75">
      <c r="A7" s="447" t="s">
        <v>447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</row>
    <row r="8" spans="1:12" ht="15.75">
      <c r="A8" s="447" t="s">
        <v>457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</row>
    <row r="9" spans="1:12" ht="15.75">
      <c r="A9" s="358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</row>
    <row r="10" spans="1:12" ht="15.75">
      <c r="A10" s="358"/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</row>
    <row r="11" ht="16.5" thickBot="1">
      <c r="L11" s="363" t="s">
        <v>5</v>
      </c>
    </row>
    <row r="12" spans="1:12" ht="32.25" customHeight="1" thickTop="1">
      <c r="A12" s="591" t="s">
        <v>448</v>
      </c>
      <c r="B12" s="594" t="s">
        <v>449</v>
      </c>
      <c r="C12" s="594" t="s">
        <v>450</v>
      </c>
      <c r="D12" s="605" t="s">
        <v>451</v>
      </c>
      <c r="E12" s="606"/>
      <c r="F12" s="605" t="s">
        <v>452</v>
      </c>
      <c r="G12" s="606"/>
      <c r="H12" s="605" t="s">
        <v>81</v>
      </c>
      <c r="I12" s="606"/>
      <c r="J12" s="600" t="s">
        <v>453</v>
      </c>
      <c r="K12" s="601"/>
      <c r="L12" s="602"/>
    </row>
    <row r="13" spans="1:12" ht="16.5" thickBot="1">
      <c r="A13" s="592"/>
      <c r="B13" s="592"/>
      <c r="C13" s="592"/>
      <c r="D13" s="607"/>
      <c r="E13" s="608"/>
      <c r="F13" s="607"/>
      <c r="G13" s="608"/>
      <c r="H13" s="607"/>
      <c r="I13" s="608"/>
      <c r="J13" s="603"/>
      <c r="K13" s="604"/>
      <c r="L13" s="598"/>
    </row>
    <row r="14" spans="1:12" ht="15.75">
      <c r="A14" s="592"/>
      <c r="B14" s="592"/>
      <c r="C14" s="592"/>
      <c r="D14" s="580" t="s">
        <v>458</v>
      </c>
      <c r="E14" s="580" t="s">
        <v>459</v>
      </c>
      <c r="F14" s="580" t="s">
        <v>458</v>
      </c>
      <c r="G14" s="580" t="s">
        <v>459</v>
      </c>
      <c r="H14" s="580" t="s">
        <v>458</v>
      </c>
      <c r="I14" s="580" t="s">
        <v>459</v>
      </c>
      <c r="J14" s="580" t="s">
        <v>454</v>
      </c>
      <c r="K14" s="595" t="s">
        <v>452</v>
      </c>
      <c r="L14" s="597" t="s">
        <v>455</v>
      </c>
    </row>
    <row r="15" spans="1:12" ht="16.5" thickBot="1">
      <c r="A15" s="593"/>
      <c r="B15" s="593"/>
      <c r="C15" s="593"/>
      <c r="D15" s="581"/>
      <c r="E15" s="581"/>
      <c r="F15" s="581"/>
      <c r="G15" s="581"/>
      <c r="H15" s="581"/>
      <c r="I15" s="581"/>
      <c r="J15" s="581"/>
      <c r="K15" s="596"/>
      <c r="L15" s="598"/>
    </row>
    <row r="16" spans="1:13" ht="26.25" customHeight="1">
      <c r="A16" s="583" t="s">
        <v>56</v>
      </c>
      <c r="B16" s="585" t="s">
        <v>463</v>
      </c>
      <c r="C16" s="588"/>
      <c r="D16" s="574">
        <f>12559-9743</f>
        <v>2816</v>
      </c>
      <c r="E16" s="574"/>
      <c r="F16" s="574"/>
      <c r="G16" s="574">
        <v>9743</v>
      </c>
      <c r="H16" s="574">
        <f>D16+F16</f>
        <v>2816</v>
      </c>
      <c r="I16" s="574">
        <f>E16+G16</f>
        <v>9743</v>
      </c>
      <c r="J16" s="577">
        <f>D16+E16</f>
        <v>2816</v>
      </c>
      <c r="K16" s="559">
        <f>F16+G16</f>
        <v>9743</v>
      </c>
      <c r="L16" s="562">
        <f>H16+I16</f>
        <v>12559</v>
      </c>
      <c r="M16" s="357"/>
    </row>
    <row r="17" spans="1:12" ht="26.25" customHeight="1">
      <c r="A17" s="566"/>
      <c r="B17" s="586"/>
      <c r="C17" s="589"/>
      <c r="D17" s="575"/>
      <c r="E17" s="575"/>
      <c r="F17" s="575"/>
      <c r="G17" s="575"/>
      <c r="H17" s="575"/>
      <c r="I17" s="575"/>
      <c r="J17" s="578"/>
      <c r="K17" s="560"/>
      <c r="L17" s="563"/>
    </row>
    <row r="18" spans="1:12" s="364" customFormat="1" ht="26.25" customHeight="1" thickBot="1">
      <c r="A18" s="584"/>
      <c r="B18" s="587"/>
      <c r="C18" s="590"/>
      <c r="D18" s="582"/>
      <c r="E18" s="582"/>
      <c r="F18" s="576"/>
      <c r="G18" s="576"/>
      <c r="H18" s="576"/>
      <c r="I18" s="576"/>
      <c r="J18" s="579"/>
      <c r="K18" s="561"/>
      <c r="L18" s="564"/>
    </row>
    <row r="19" spans="1:12" ht="26.25" customHeight="1" thickTop="1">
      <c r="A19" s="565"/>
      <c r="B19" s="568" t="s">
        <v>456</v>
      </c>
      <c r="C19" s="571"/>
      <c r="D19" s="556">
        <f>D16</f>
        <v>2816</v>
      </c>
      <c r="E19" s="556">
        <f aca="true" t="shared" si="0" ref="E19:L19">E16</f>
        <v>0</v>
      </c>
      <c r="F19" s="556">
        <f t="shared" si="0"/>
        <v>0</v>
      </c>
      <c r="G19" s="556">
        <f t="shared" si="0"/>
        <v>9743</v>
      </c>
      <c r="H19" s="556">
        <f t="shared" si="0"/>
        <v>2816</v>
      </c>
      <c r="I19" s="556">
        <f t="shared" si="0"/>
        <v>9743</v>
      </c>
      <c r="J19" s="556">
        <f t="shared" si="0"/>
        <v>2816</v>
      </c>
      <c r="K19" s="556">
        <f t="shared" si="0"/>
        <v>9743</v>
      </c>
      <c r="L19" s="556">
        <f t="shared" si="0"/>
        <v>12559</v>
      </c>
    </row>
    <row r="20" spans="1:12" ht="26.25" customHeight="1">
      <c r="A20" s="566"/>
      <c r="B20" s="569"/>
      <c r="C20" s="572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2" s="364" customFormat="1" ht="26.25" customHeight="1" thickBot="1">
      <c r="A21" s="567"/>
      <c r="B21" s="570"/>
      <c r="C21" s="573"/>
      <c r="D21" s="558"/>
      <c r="E21" s="558"/>
      <c r="F21" s="558"/>
      <c r="G21" s="558"/>
      <c r="H21" s="558"/>
      <c r="I21" s="558"/>
      <c r="J21" s="558"/>
      <c r="K21" s="558"/>
      <c r="L21" s="558"/>
    </row>
    <row r="22" spans="1:12" ht="26.25" customHeight="1" thickTop="1">
      <c r="A22" s="365"/>
      <c r="B22" s="365"/>
      <c r="C22" s="365"/>
      <c r="D22" s="366"/>
      <c r="E22" s="366"/>
      <c r="F22" s="367"/>
      <c r="G22" s="367"/>
      <c r="H22" s="367"/>
      <c r="I22" s="367"/>
      <c r="J22" s="366"/>
      <c r="K22" s="367"/>
      <c r="L22" s="366"/>
    </row>
    <row r="23" spans="1:12" ht="26.25" customHeight="1">
      <c r="A23" s="365"/>
      <c r="B23" s="365"/>
      <c r="C23" s="365"/>
      <c r="D23" s="367"/>
      <c r="E23" s="367"/>
      <c r="F23" s="367"/>
      <c r="G23" s="367"/>
      <c r="H23" s="367"/>
      <c r="I23" s="367"/>
      <c r="J23" s="367"/>
      <c r="K23" s="367"/>
      <c r="L23" s="367"/>
    </row>
    <row r="24" spans="1:12" ht="26.25" customHeight="1">
      <c r="A24" s="365"/>
      <c r="B24" s="365"/>
      <c r="C24" s="365"/>
      <c r="D24" s="366"/>
      <c r="E24" s="366"/>
      <c r="F24" s="366"/>
      <c r="G24" s="366"/>
      <c r="H24" s="367"/>
      <c r="I24" s="367"/>
      <c r="J24" s="366"/>
      <c r="K24" s="366"/>
      <c r="L24" s="366"/>
    </row>
    <row r="25" spans="1:12" ht="26.25" customHeight="1">
      <c r="A25" s="365"/>
      <c r="B25" s="365"/>
      <c r="C25" s="365"/>
      <c r="D25" s="366"/>
      <c r="E25" s="366"/>
      <c r="F25" s="367"/>
      <c r="G25" s="367"/>
      <c r="H25" s="366"/>
      <c r="I25" s="366"/>
      <c r="J25" s="366"/>
      <c r="K25" s="366"/>
      <c r="L25" s="366"/>
    </row>
    <row r="26" spans="1:12" ht="26.25" customHeight="1">
      <c r="A26" s="365"/>
      <c r="B26" s="365"/>
      <c r="C26" s="365"/>
      <c r="D26" s="366"/>
      <c r="E26" s="366"/>
      <c r="F26" s="366"/>
      <c r="G26" s="366"/>
      <c r="H26" s="366"/>
      <c r="I26" s="366"/>
      <c r="J26" s="366"/>
      <c r="K26" s="366"/>
      <c r="L26" s="366"/>
    </row>
    <row r="30" spans="6:7" ht="15.75">
      <c r="F30" s="357"/>
      <c r="G30" s="357"/>
    </row>
  </sheetData>
  <sheetProtection password="DB7F" sheet="1" selectLockedCells="1" selectUnlockedCells="1"/>
  <mergeCells count="45">
    <mergeCell ref="F12:G13"/>
    <mergeCell ref="H12:I13"/>
    <mergeCell ref="G14:G15"/>
    <mergeCell ref="H14:H15"/>
    <mergeCell ref="I14:I15"/>
    <mergeCell ref="K2:L2"/>
    <mergeCell ref="A3:L3"/>
    <mergeCell ref="A6:L6"/>
    <mergeCell ref="A7:L7"/>
    <mergeCell ref="A8:L8"/>
    <mergeCell ref="A12:A15"/>
    <mergeCell ref="B12:B15"/>
    <mergeCell ref="K14:K15"/>
    <mergeCell ref="L14:L15"/>
    <mergeCell ref="J12:L13"/>
    <mergeCell ref="D14:D15"/>
    <mergeCell ref="E14:E15"/>
    <mergeCell ref="C12:C15"/>
    <mergeCell ref="D12:E13"/>
    <mergeCell ref="F14:F15"/>
    <mergeCell ref="A16:A18"/>
    <mergeCell ref="B16:B18"/>
    <mergeCell ref="C16:C18"/>
    <mergeCell ref="D16:D18"/>
    <mergeCell ref="J16:J18"/>
    <mergeCell ref="I19:I21"/>
    <mergeCell ref="J19:J21"/>
    <mergeCell ref="J14:J15"/>
    <mergeCell ref="H19:H21"/>
    <mergeCell ref="H16:H18"/>
    <mergeCell ref="I16:I18"/>
    <mergeCell ref="E19:E21"/>
    <mergeCell ref="E16:E18"/>
    <mergeCell ref="F16:F18"/>
    <mergeCell ref="G16:G18"/>
    <mergeCell ref="K19:K21"/>
    <mergeCell ref="K16:K18"/>
    <mergeCell ref="L16:L18"/>
    <mergeCell ref="A19:A21"/>
    <mergeCell ref="B19:B21"/>
    <mergeCell ref="C19:C21"/>
    <mergeCell ref="D19:D21"/>
    <mergeCell ref="L19:L21"/>
    <mergeCell ref="F19:F21"/>
    <mergeCell ref="G19:G21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1:13" ht="12.75" customHeight="1">
      <c r="K1" s="599"/>
      <c r="L1" s="599"/>
      <c r="M1" s="599"/>
    </row>
    <row r="2" spans="1:13" ht="12.75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</row>
    <row r="3" spans="1:13" ht="15.75">
      <c r="A3" s="191" t="s">
        <v>544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</row>
    <row r="4" spans="1:13" ht="15.75">
      <c r="A4" s="191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</row>
    <row r="5" spans="1:13" s="70" customFormat="1" ht="15.75">
      <c r="A5" s="447" t="s">
        <v>53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</row>
    <row r="6" spans="1:13" s="70" customFormat="1" ht="15.75">
      <c r="A6" s="447" t="s">
        <v>464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</row>
    <row r="7" spans="1:13" s="70" customFormat="1" ht="15.75">
      <c r="A7" s="447" t="s">
        <v>187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</row>
    <row r="8" spans="1:13" ht="12" customHeight="1">
      <c r="A8" s="369"/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</row>
    <row r="9" spans="1:13" s="70" customFormat="1" ht="15.75">
      <c r="A9" s="370" t="s">
        <v>465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</row>
    <row r="10" spans="1:13" ht="12" customHeight="1">
      <c r="A10" s="369"/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</row>
    <row r="11" spans="1:13" ht="15.75">
      <c r="A11" s="371" t="s">
        <v>466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3" ht="12" customHeight="1" thickBot="1">
      <c r="A12" s="369"/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</row>
    <row r="13" spans="1:13" ht="16.5" thickBot="1">
      <c r="A13" s="626" t="s">
        <v>467</v>
      </c>
      <c r="B13" s="632"/>
      <c r="C13" s="632"/>
      <c r="D13" s="674" t="s">
        <v>468</v>
      </c>
      <c r="E13" s="675"/>
      <c r="F13" s="676"/>
      <c r="G13" s="674" t="s">
        <v>469</v>
      </c>
      <c r="H13" s="675"/>
      <c r="I13" s="676"/>
      <c r="J13" s="674" t="s">
        <v>470</v>
      </c>
      <c r="K13" s="675"/>
      <c r="L13" s="676"/>
      <c r="M13" s="627" t="s">
        <v>471</v>
      </c>
    </row>
    <row r="14" spans="1:13" ht="15.75">
      <c r="A14" s="628"/>
      <c r="B14" s="633"/>
      <c r="C14" s="633"/>
      <c r="D14" s="372" t="s">
        <v>472</v>
      </c>
      <c r="E14" s="373" t="s">
        <v>473</v>
      </c>
      <c r="F14" s="374" t="s">
        <v>474</v>
      </c>
      <c r="G14" s="373" t="s">
        <v>475</v>
      </c>
      <c r="H14" s="373" t="s">
        <v>473</v>
      </c>
      <c r="I14" s="374" t="s">
        <v>476</v>
      </c>
      <c r="J14" s="373" t="s">
        <v>475</v>
      </c>
      <c r="K14" s="374" t="s">
        <v>473</v>
      </c>
      <c r="L14" s="373" t="s">
        <v>476</v>
      </c>
      <c r="M14" s="629"/>
    </row>
    <row r="15" spans="1:13" ht="16.5" thickBot="1">
      <c r="A15" s="628"/>
      <c r="B15" s="633"/>
      <c r="C15" s="633"/>
      <c r="D15" s="375" t="s">
        <v>477</v>
      </c>
      <c r="E15" s="376" t="s">
        <v>478</v>
      </c>
      <c r="F15" s="377" t="s">
        <v>6</v>
      </c>
      <c r="G15" s="378" t="s">
        <v>477</v>
      </c>
      <c r="H15" s="376" t="s">
        <v>478</v>
      </c>
      <c r="I15" s="377" t="s">
        <v>6</v>
      </c>
      <c r="J15" s="378" t="s">
        <v>477</v>
      </c>
      <c r="K15" s="377" t="s">
        <v>478</v>
      </c>
      <c r="L15" s="376" t="s">
        <v>6</v>
      </c>
      <c r="M15" s="631"/>
    </row>
    <row r="16" spans="1:13" ht="7.5" customHeight="1">
      <c r="A16" s="679" t="s">
        <v>479</v>
      </c>
      <c r="B16" s="680"/>
      <c r="C16" s="681"/>
      <c r="D16" s="665"/>
      <c r="E16" s="653"/>
      <c r="F16" s="668"/>
      <c r="G16" s="688" t="s">
        <v>480</v>
      </c>
      <c r="H16" s="691">
        <v>9500</v>
      </c>
      <c r="I16" s="677">
        <v>2196</v>
      </c>
      <c r="J16" s="653"/>
      <c r="K16" s="653"/>
      <c r="L16" s="653"/>
      <c r="M16" s="655">
        <v>2196</v>
      </c>
    </row>
    <row r="17" spans="1:13" ht="7.5" customHeight="1">
      <c r="A17" s="682"/>
      <c r="B17" s="683"/>
      <c r="C17" s="684"/>
      <c r="D17" s="666"/>
      <c r="E17" s="618"/>
      <c r="F17" s="635"/>
      <c r="G17" s="689"/>
      <c r="H17" s="692"/>
      <c r="I17" s="618"/>
      <c r="J17" s="618"/>
      <c r="K17" s="618"/>
      <c r="L17" s="618"/>
      <c r="M17" s="618"/>
    </row>
    <row r="18" spans="1:13" ht="15.75" customHeight="1" thickBot="1">
      <c r="A18" s="685"/>
      <c r="B18" s="686"/>
      <c r="C18" s="687"/>
      <c r="D18" s="667"/>
      <c r="E18" s="654"/>
      <c r="F18" s="669"/>
      <c r="G18" s="690"/>
      <c r="H18" s="693"/>
      <c r="I18" s="678"/>
      <c r="J18" s="654"/>
      <c r="K18" s="654"/>
      <c r="L18" s="654"/>
      <c r="M18" s="654"/>
    </row>
    <row r="19" spans="1:13" s="161" customFormat="1" ht="12.75" customHeight="1">
      <c r="A19" s="621" t="s">
        <v>2</v>
      </c>
      <c r="B19" s="647"/>
      <c r="C19" s="622"/>
      <c r="D19" s="649"/>
      <c r="E19" s="649"/>
      <c r="F19" s="671">
        <f>SUM(F16)</f>
        <v>0</v>
      </c>
      <c r="G19" s="649"/>
      <c r="H19" s="649"/>
      <c r="I19" s="649">
        <v>2196</v>
      </c>
      <c r="J19" s="649"/>
      <c r="K19" s="649"/>
      <c r="L19" s="649"/>
      <c r="M19" s="651">
        <f>M16</f>
        <v>2196</v>
      </c>
    </row>
    <row r="20" spans="1:13" s="161" customFormat="1" ht="13.5" customHeight="1" thickBot="1">
      <c r="A20" s="623"/>
      <c r="B20" s="648"/>
      <c r="C20" s="624"/>
      <c r="D20" s="650"/>
      <c r="E20" s="650"/>
      <c r="F20" s="672"/>
      <c r="G20" s="650"/>
      <c r="H20" s="650"/>
      <c r="I20" s="650"/>
      <c r="J20" s="650"/>
      <c r="K20" s="650"/>
      <c r="L20" s="650"/>
      <c r="M20" s="650"/>
    </row>
    <row r="21" spans="1:13" ht="12" customHeight="1">
      <c r="A21" s="369"/>
      <c r="B21" s="369"/>
      <c r="C21" s="369"/>
      <c r="D21" s="369"/>
      <c r="E21" s="369"/>
      <c r="F21" s="379"/>
      <c r="G21" s="369"/>
      <c r="H21" s="369"/>
      <c r="I21" s="369"/>
      <c r="J21" s="369"/>
      <c r="K21" s="369"/>
      <c r="L21" s="369"/>
      <c r="M21" s="369"/>
    </row>
    <row r="22" spans="1:6" s="371" customFormat="1" ht="12" customHeight="1">
      <c r="A22" s="371" t="s">
        <v>481</v>
      </c>
      <c r="F22" s="380"/>
    </row>
    <row r="23" spans="1:13" ht="13.5" customHeight="1">
      <c r="A23" s="381" t="s">
        <v>482</v>
      </c>
      <c r="B23" s="381"/>
      <c r="C23" s="381"/>
      <c r="D23" s="381"/>
      <c r="E23" s="381"/>
      <c r="F23" s="382"/>
      <c r="G23" s="383" t="s">
        <v>6</v>
      </c>
      <c r="H23" s="369"/>
      <c r="I23" s="369"/>
      <c r="J23" s="369"/>
      <c r="K23" s="369"/>
      <c r="L23" s="369"/>
      <c r="M23" s="369"/>
    </row>
    <row r="24" spans="1:13" ht="13.5" customHeight="1">
      <c r="A24" s="381" t="s">
        <v>483</v>
      </c>
      <c r="B24" s="381"/>
      <c r="C24" s="381"/>
      <c r="D24" s="381"/>
      <c r="E24" s="381"/>
      <c r="F24" s="382">
        <v>72</v>
      </c>
      <c r="G24" s="383" t="s">
        <v>6</v>
      </c>
      <c r="H24" s="369"/>
      <c r="I24" s="369"/>
      <c r="J24" s="369"/>
      <c r="K24" s="369"/>
      <c r="L24" s="369"/>
      <c r="M24" s="369"/>
    </row>
    <row r="25" spans="1:13" ht="13.5" customHeight="1">
      <c r="A25" s="381" t="s">
        <v>484</v>
      </c>
      <c r="B25" s="381"/>
      <c r="C25" s="381"/>
      <c r="D25" s="381"/>
      <c r="E25" s="381"/>
      <c r="F25" s="384">
        <v>41</v>
      </c>
      <c r="G25" s="385" t="s">
        <v>6</v>
      </c>
      <c r="H25" s="369"/>
      <c r="I25" s="369"/>
      <c r="J25" s="369"/>
      <c r="K25" s="369"/>
      <c r="L25" s="369"/>
      <c r="M25" s="369"/>
    </row>
    <row r="26" spans="1:13" ht="13.5" customHeight="1">
      <c r="A26" s="381" t="s">
        <v>485</v>
      </c>
      <c r="B26" s="381"/>
      <c r="C26" s="381"/>
      <c r="D26" s="381"/>
      <c r="E26" s="381"/>
      <c r="F26" s="386">
        <f>SUM(F23:F25)</f>
        <v>113</v>
      </c>
      <c r="G26" s="387" t="s">
        <v>6</v>
      </c>
      <c r="H26" s="369"/>
      <c r="I26" s="369"/>
      <c r="J26" s="369"/>
      <c r="K26" s="369"/>
      <c r="L26" s="369"/>
      <c r="M26" s="369"/>
    </row>
    <row r="27" spans="1:13" ht="13.5" customHeight="1">
      <c r="A27" s="381"/>
      <c r="B27" s="381"/>
      <c r="C27" s="381"/>
      <c r="D27" s="381"/>
      <c r="E27" s="381"/>
      <c r="F27" s="386"/>
      <c r="G27" s="387"/>
      <c r="H27" s="369"/>
      <c r="I27" s="369"/>
      <c r="J27" s="369"/>
      <c r="K27" s="369"/>
      <c r="L27" s="369"/>
      <c r="M27" s="369"/>
    </row>
    <row r="28" spans="1:13" ht="15.75">
      <c r="A28" s="371" t="s">
        <v>486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13" ht="13.5" customHeight="1">
      <c r="A29" s="381"/>
      <c r="B29" s="381"/>
      <c r="C29" s="381"/>
      <c r="D29" s="381"/>
      <c r="E29" s="381"/>
      <c r="F29" s="386"/>
      <c r="G29" s="387"/>
      <c r="H29" s="369"/>
      <c r="I29" s="369"/>
      <c r="J29" s="369"/>
      <c r="K29" s="369"/>
      <c r="L29" s="369"/>
      <c r="M29" s="369"/>
    </row>
    <row r="30" spans="1:13" ht="13.5" customHeight="1" thickBot="1">
      <c r="A30" s="381"/>
      <c r="B30" s="381"/>
      <c r="C30" s="381"/>
      <c r="D30" s="381"/>
      <c r="E30" s="381"/>
      <c r="F30" s="386"/>
      <c r="G30" s="387"/>
      <c r="H30" s="369"/>
      <c r="I30" s="369"/>
      <c r="J30" s="369"/>
      <c r="K30" s="369"/>
      <c r="L30" s="369"/>
      <c r="M30" s="369"/>
    </row>
    <row r="31" spans="1:13" ht="16.5" thickBot="1">
      <c r="A31" s="626" t="s">
        <v>467</v>
      </c>
      <c r="B31" s="632"/>
      <c r="C31" s="632"/>
      <c r="D31" s="674" t="s">
        <v>468</v>
      </c>
      <c r="E31" s="675"/>
      <c r="F31" s="676"/>
      <c r="G31" s="674" t="s">
        <v>469</v>
      </c>
      <c r="H31" s="675"/>
      <c r="I31" s="676"/>
      <c r="J31" s="674" t="s">
        <v>470</v>
      </c>
      <c r="K31" s="675"/>
      <c r="L31" s="676"/>
      <c r="M31" s="627" t="s">
        <v>471</v>
      </c>
    </row>
    <row r="32" spans="1:13" ht="15.75">
      <c r="A32" s="628"/>
      <c r="B32" s="633"/>
      <c r="C32" s="633"/>
      <c r="D32" s="372" t="s">
        <v>472</v>
      </c>
      <c r="E32" s="373" t="s">
        <v>473</v>
      </c>
      <c r="F32" s="374" t="s">
        <v>474</v>
      </c>
      <c r="G32" s="373" t="s">
        <v>475</v>
      </c>
      <c r="H32" s="373" t="s">
        <v>473</v>
      </c>
      <c r="I32" s="374" t="s">
        <v>476</v>
      </c>
      <c r="J32" s="373" t="s">
        <v>475</v>
      </c>
      <c r="K32" s="374" t="s">
        <v>473</v>
      </c>
      <c r="L32" s="373" t="s">
        <v>476</v>
      </c>
      <c r="M32" s="629"/>
    </row>
    <row r="33" spans="1:13" ht="16.5" thickBot="1">
      <c r="A33" s="628"/>
      <c r="B33" s="633"/>
      <c r="C33" s="633"/>
      <c r="D33" s="375" t="s">
        <v>477</v>
      </c>
      <c r="E33" s="376" t="s">
        <v>478</v>
      </c>
      <c r="F33" s="377" t="s">
        <v>6</v>
      </c>
      <c r="G33" s="378" t="s">
        <v>477</v>
      </c>
      <c r="H33" s="376" t="s">
        <v>478</v>
      </c>
      <c r="I33" s="377" t="s">
        <v>6</v>
      </c>
      <c r="J33" s="378" t="s">
        <v>477</v>
      </c>
      <c r="K33" s="377" t="s">
        <v>478</v>
      </c>
      <c r="L33" s="376" t="s">
        <v>6</v>
      </c>
      <c r="M33" s="631"/>
    </row>
    <row r="34" spans="1:13" ht="7.5" customHeight="1">
      <c r="A34" s="656" t="s">
        <v>487</v>
      </c>
      <c r="B34" s="657"/>
      <c r="C34" s="658"/>
      <c r="D34" s="665" t="s">
        <v>488</v>
      </c>
      <c r="E34" s="653"/>
      <c r="F34" s="668">
        <v>6</v>
      </c>
      <c r="G34" s="673"/>
      <c r="H34" s="673"/>
      <c r="I34" s="673"/>
      <c r="J34" s="653"/>
      <c r="K34" s="653"/>
      <c r="L34" s="653"/>
      <c r="M34" s="655">
        <f>L34+I34+F34</f>
        <v>6</v>
      </c>
    </row>
    <row r="35" spans="1:13" ht="7.5" customHeight="1">
      <c r="A35" s="659"/>
      <c r="B35" s="660"/>
      <c r="C35" s="661"/>
      <c r="D35" s="666"/>
      <c r="E35" s="618"/>
      <c r="F35" s="635"/>
      <c r="G35" s="673"/>
      <c r="H35" s="673"/>
      <c r="I35" s="673"/>
      <c r="J35" s="618"/>
      <c r="K35" s="618"/>
      <c r="L35" s="618"/>
      <c r="M35" s="618"/>
    </row>
    <row r="36" spans="1:13" ht="7.5" customHeight="1">
      <c r="A36" s="662"/>
      <c r="B36" s="663"/>
      <c r="C36" s="664"/>
      <c r="D36" s="667"/>
      <c r="E36" s="654"/>
      <c r="F36" s="669"/>
      <c r="G36" s="673"/>
      <c r="H36" s="673"/>
      <c r="I36" s="673"/>
      <c r="J36" s="654"/>
      <c r="K36" s="654"/>
      <c r="L36" s="654"/>
      <c r="M36" s="654"/>
    </row>
    <row r="37" spans="1:13" ht="7.5" customHeight="1">
      <c r="A37" s="656" t="s">
        <v>489</v>
      </c>
      <c r="B37" s="657"/>
      <c r="C37" s="658"/>
      <c r="D37" s="665"/>
      <c r="E37" s="653"/>
      <c r="F37" s="668"/>
      <c r="G37" s="670" t="s">
        <v>490</v>
      </c>
      <c r="H37" s="673">
        <v>50</v>
      </c>
      <c r="I37" s="652">
        <v>146</v>
      </c>
      <c r="J37" s="653"/>
      <c r="K37" s="653"/>
      <c r="L37" s="653"/>
      <c r="M37" s="655">
        <f>L37+I37+F37</f>
        <v>146</v>
      </c>
    </row>
    <row r="38" spans="1:13" ht="7.5" customHeight="1">
      <c r="A38" s="659"/>
      <c r="B38" s="660"/>
      <c r="C38" s="661"/>
      <c r="D38" s="666"/>
      <c r="E38" s="618"/>
      <c r="F38" s="635"/>
      <c r="G38" s="670"/>
      <c r="H38" s="673"/>
      <c r="I38" s="652"/>
      <c r="J38" s="618"/>
      <c r="K38" s="618"/>
      <c r="L38" s="618"/>
      <c r="M38" s="618"/>
    </row>
    <row r="39" spans="1:13" ht="7.5" customHeight="1" thickBot="1">
      <c r="A39" s="662"/>
      <c r="B39" s="663"/>
      <c r="C39" s="664"/>
      <c r="D39" s="667"/>
      <c r="E39" s="654"/>
      <c r="F39" s="669"/>
      <c r="G39" s="670"/>
      <c r="H39" s="673"/>
      <c r="I39" s="652"/>
      <c r="J39" s="654"/>
      <c r="K39" s="654"/>
      <c r="L39" s="654"/>
      <c r="M39" s="654"/>
    </row>
    <row r="40" spans="1:13" s="161" customFormat="1" ht="12.75" customHeight="1">
      <c r="A40" s="621" t="s">
        <v>2</v>
      </c>
      <c r="B40" s="647"/>
      <c r="C40" s="622"/>
      <c r="D40" s="649"/>
      <c r="E40" s="649"/>
      <c r="F40" s="671">
        <f>SUM(F34:F39)</f>
        <v>6</v>
      </c>
      <c r="G40" s="649"/>
      <c r="H40" s="649"/>
      <c r="I40" s="651">
        <f>SUM(I37:I39)</f>
        <v>146</v>
      </c>
      <c r="J40" s="649"/>
      <c r="K40" s="649"/>
      <c r="L40" s="649"/>
      <c r="M40" s="651">
        <f>SUM(M34:M39)</f>
        <v>152</v>
      </c>
    </row>
    <row r="41" spans="1:13" s="161" customFormat="1" ht="13.5" customHeight="1" thickBot="1">
      <c r="A41" s="623"/>
      <c r="B41" s="648"/>
      <c r="C41" s="624"/>
      <c r="D41" s="650"/>
      <c r="E41" s="650"/>
      <c r="F41" s="672"/>
      <c r="G41" s="650"/>
      <c r="H41" s="650"/>
      <c r="I41" s="650"/>
      <c r="J41" s="650"/>
      <c r="K41" s="650"/>
      <c r="L41" s="650"/>
      <c r="M41" s="650"/>
    </row>
    <row r="42" spans="1:13" ht="13.5" customHeight="1">
      <c r="A42" s="381"/>
      <c r="B42" s="381"/>
      <c r="C42" s="381"/>
      <c r="D42" s="381"/>
      <c r="E42" s="381"/>
      <c r="F42" s="386"/>
      <c r="G42" s="387"/>
      <c r="H42" s="369"/>
      <c r="I42" s="369"/>
      <c r="J42" s="369"/>
      <c r="K42" s="369"/>
      <c r="L42" s="369"/>
      <c r="M42" s="369"/>
    </row>
    <row r="43" spans="1:13" ht="13.5" customHeight="1">
      <c r="A43" s="381"/>
      <c r="B43" s="381"/>
      <c r="C43" s="381"/>
      <c r="D43" s="381"/>
      <c r="E43" s="381"/>
      <c r="F43" s="386"/>
      <c r="G43" s="387"/>
      <c r="H43" s="369"/>
      <c r="I43" s="369"/>
      <c r="J43" s="369"/>
      <c r="K43" s="369"/>
      <c r="L43" s="369"/>
      <c r="M43" s="369"/>
    </row>
    <row r="44" spans="1:13" ht="13.5" customHeight="1">
      <c r="A44" s="381"/>
      <c r="B44" s="381"/>
      <c r="C44" s="381"/>
      <c r="D44" s="381"/>
      <c r="E44" s="381"/>
      <c r="F44" s="386"/>
      <c r="G44" s="387"/>
      <c r="H44" s="369"/>
      <c r="I44" s="369"/>
      <c r="J44" s="369"/>
      <c r="K44" s="369"/>
      <c r="L44" s="369"/>
      <c r="M44" s="369"/>
    </row>
    <row r="45" spans="1:13" ht="13.5" customHeight="1">
      <c r="A45" s="381"/>
      <c r="B45" s="381"/>
      <c r="C45" s="381"/>
      <c r="D45" s="381"/>
      <c r="E45" s="381"/>
      <c r="F45" s="386"/>
      <c r="G45" s="387"/>
      <c r="H45" s="369"/>
      <c r="I45" s="369"/>
      <c r="J45" s="369"/>
      <c r="K45" s="369"/>
      <c r="L45" s="369"/>
      <c r="M45" s="369"/>
    </row>
    <row r="46" spans="1:13" ht="13.5" customHeight="1">
      <c r="A46" s="381"/>
      <c r="B46" s="381"/>
      <c r="C46" s="381"/>
      <c r="D46" s="381"/>
      <c r="E46" s="381"/>
      <c r="F46" s="386"/>
      <c r="G46" s="387"/>
      <c r="H46" s="369"/>
      <c r="I46" s="369"/>
      <c r="J46" s="369"/>
      <c r="K46" s="369"/>
      <c r="L46" s="369"/>
      <c r="M46" s="369"/>
    </row>
    <row r="47" spans="1:13" ht="13.5" customHeight="1">
      <c r="A47" s="381"/>
      <c r="B47" s="381"/>
      <c r="C47" s="381"/>
      <c r="D47" s="381"/>
      <c r="E47" s="381"/>
      <c r="F47" s="386"/>
      <c r="G47" s="387"/>
      <c r="H47" s="369"/>
      <c r="I47" s="369"/>
      <c r="J47" s="369"/>
      <c r="K47" s="369"/>
      <c r="L47" s="369"/>
      <c r="M47" s="369"/>
    </row>
    <row r="48" spans="1:13" ht="13.5" customHeight="1">
      <c r="A48" s="381"/>
      <c r="B48" s="381"/>
      <c r="C48" s="381"/>
      <c r="D48" s="381"/>
      <c r="E48" s="381"/>
      <c r="F48" s="386"/>
      <c r="G48" s="387"/>
      <c r="H48" s="369"/>
      <c r="I48" s="369"/>
      <c r="J48" s="369"/>
      <c r="K48" s="369"/>
      <c r="L48" s="369"/>
      <c r="M48" s="369"/>
    </row>
    <row r="49" spans="1:13" ht="13.5" customHeight="1">
      <c r="A49" s="381"/>
      <c r="B49" s="381"/>
      <c r="C49" s="381"/>
      <c r="D49" s="381"/>
      <c r="E49" s="381"/>
      <c r="F49" s="386"/>
      <c r="G49" s="387"/>
      <c r="H49" s="369"/>
      <c r="I49" s="369"/>
      <c r="J49" s="369"/>
      <c r="K49" s="369"/>
      <c r="L49" s="369"/>
      <c r="M49" s="369"/>
    </row>
    <row r="50" spans="1:13" ht="13.5" customHeight="1">
      <c r="A50" s="381"/>
      <c r="B50" s="381"/>
      <c r="C50" s="381"/>
      <c r="D50" s="381"/>
      <c r="E50" s="381"/>
      <c r="F50" s="386"/>
      <c r="G50" s="387"/>
      <c r="H50" s="369"/>
      <c r="I50" s="369"/>
      <c r="J50" s="369"/>
      <c r="K50" s="369"/>
      <c r="L50" s="369"/>
      <c r="M50" s="369"/>
    </row>
    <row r="51" spans="1:13" ht="13.5" customHeight="1">
      <c r="A51" s="381"/>
      <c r="B51" s="381"/>
      <c r="C51" s="381"/>
      <c r="D51" s="381"/>
      <c r="E51" s="381"/>
      <c r="F51" s="386"/>
      <c r="G51" s="387"/>
      <c r="H51" s="369"/>
      <c r="I51" s="369"/>
      <c r="J51" s="369"/>
      <c r="K51" s="369"/>
      <c r="L51" s="369"/>
      <c r="M51" s="369"/>
    </row>
    <row r="52" spans="1:13" ht="13.5" customHeight="1">
      <c r="A52" s="381"/>
      <c r="B52" s="381"/>
      <c r="C52" s="381"/>
      <c r="D52" s="381"/>
      <c r="E52" s="381"/>
      <c r="F52" s="386"/>
      <c r="G52" s="387"/>
      <c r="H52" s="369"/>
      <c r="I52" s="369"/>
      <c r="J52" s="369"/>
      <c r="K52" s="369"/>
      <c r="L52" s="369"/>
      <c r="M52" s="369"/>
    </row>
    <row r="53" spans="1:13" ht="13.5" customHeight="1">
      <c r="A53" s="381"/>
      <c r="B53" s="381"/>
      <c r="C53" s="381"/>
      <c r="D53" s="381"/>
      <c r="E53" s="381"/>
      <c r="F53" s="386"/>
      <c r="G53" s="387"/>
      <c r="H53" s="369"/>
      <c r="I53" s="369"/>
      <c r="J53" s="369"/>
      <c r="K53" s="369"/>
      <c r="L53" s="369"/>
      <c r="M53" s="369"/>
    </row>
    <row r="54" spans="1:13" ht="15.75">
      <c r="A54" s="7" t="s">
        <v>491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1:13" ht="12" customHeight="1">
      <c r="A55" s="369"/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</row>
    <row r="56" spans="1:13" ht="15.75">
      <c r="A56" s="7" t="s">
        <v>492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</row>
    <row r="57" spans="1:13" ht="12" customHeight="1" thickBot="1">
      <c r="A57" s="369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</row>
    <row r="58" spans="1:11" ht="12.75" customHeight="1">
      <c r="A58" s="626" t="s">
        <v>467</v>
      </c>
      <c r="B58" s="632"/>
      <c r="C58" s="632"/>
      <c r="D58" s="626" t="s">
        <v>493</v>
      </c>
      <c r="E58" s="627"/>
      <c r="F58" s="626" t="s">
        <v>494</v>
      </c>
      <c r="G58" s="627"/>
      <c r="H58" s="626" t="s">
        <v>495</v>
      </c>
      <c r="I58" s="627"/>
      <c r="J58" s="626" t="s">
        <v>496</v>
      </c>
      <c r="K58" s="627"/>
    </row>
    <row r="59" spans="1:11" ht="12.75" customHeight="1">
      <c r="A59" s="628"/>
      <c r="B59" s="633"/>
      <c r="C59" s="633"/>
      <c r="D59" s="628"/>
      <c r="E59" s="629"/>
      <c r="F59" s="628"/>
      <c r="G59" s="629"/>
      <c r="H59" s="628"/>
      <c r="I59" s="629"/>
      <c r="J59" s="628"/>
      <c r="K59" s="629"/>
    </row>
    <row r="60" spans="1:11" ht="13.5" customHeight="1" thickBot="1">
      <c r="A60" s="630"/>
      <c r="B60" s="634"/>
      <c r="C60" s="634"/>
      <c r="D60" s="630"/>
      <c r="E60" s="631"/>
      <c r="F60" s="630"/>
      <c r="G60" s="631"/>
      <c r="H60" s="630"/>
      <c r="I60" s="631"/>
      <c r="J60" s="630"/>
      <c r="K60" s="631"/>
    </row>
    <row r="61" spans="1:12" s="70" customFormat="1" ht="25.5" customHeight="1" thickBot="1">
      <c r="A61" s="618" t="s">
        <v>497</v>
      </c>
      <c r="B61" s="618"/>
      <c r="C61" s="618"/>
      <c r="D61" s="618" t="s">
        <v>498</v>
      </c>
      <c r="E61" s="618"/>
      <c r="F61" s="619" t="s">
        <v>498</v>
      </c>
      <c r="G61" s="620"/>
      <c r="H61" s="619" t="s">
        <v>498</v>
      </c>
      <c r="I61" s="620"/>
      <c r="J61" s="618" t="s">
        <v>498</v>
      </c>
      <c r="K61" s="618"/>
      <c r="L61" s="388"/>
    </row>
    <row r="62" spans="1:13" s="161" customFormat="1" ht="12.75" customHeight="1">
      <c r="A62" s="621" t="s">
        <v>2</v>
      </c>
      <c r="B62" s="647"/>
      <c r="C62" s="622"/>
      <c r="D62" s="621"/>
      <c r="E62" s="622"/>
      <c r="F62" s="621"/>
      <c r="G62" s="622"/>
      <c r="H62" s="621"/>
      <c r="I62" s="622"/>
      <c r="J62" s="621" t="s">
        <v>498</v>
      </c>
      <c r="K62" s="622"/>
      <c r="L62" s="646"/>
      <c r="M62" s="646"/>
    </row>
    <row r="63" spans="1:13" s="161" customFormat="1" ht="13.5" customHeight="1" thickBot="1">
      <c r="A63" s="623"/>
      <c r="B63" s="648"/>
      <c r="C63" s="624"/>
      <c r="D63" s="623"/>
      <c r="E63" s="624"/>
      <c r="F63" s="623"/>
      <c r="G63" s="624"/>
      <c r="H63" s="623"/>
      <c r="I63" s="624"/>
      <c r="J63" s="623"/>
      <c r="K63" s="624"/>
      <c r="L63" s="646"/>
      <c r="M63" s="646"/>
    </row>
    <row r="65" spans="1:13" ht="15.75">
      <c r="A65" s="7" t="s">
        <v>499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ht="13.5" thickBot="1"/>
    <row r="67" spans="1:11" ht="12.75" customHeight="1">
      <c r="A67" s="626" t="s">
        <v>467</v>
      </c>
      <c r="B67" s="632"/>
      <c r="C67" s="632"/>
      <c r="D67" s="626" t="s">
        <v>493</v>
      </c>
      <c r="E67" s="627"/>
      <c r="F67" s="626" t="s">
        <v>500</v>
      </c>
      <c r="G67" s="627"/>
      <c r="H67" s="626" t="s">
        <v>495</v>
      </c>
      <c r="I67" s="627"/>
      <c r="J67" s="626" t="s">
        <v>496</v>
      </c>
      <c r="K67" s="627"/>
    </row>
    <row r="68" spans="1:11" ht="12.75" customHeight="1">
      <c r="A68" s="628"/>
      <c r="B68" s="633"/>
      <c r="C68" s="633"/>
      <c r="D68" s="628"/>
      <c r="E68" s="629"/>
      <c r="F68" s="628"/>
      <c r="G68" s="629"/>
      <c r="H68" s="628"/>
      <c r="I68" s="629"/>
      <c r="J68" s="628"/>
      <c r="K68" s="629"/>
    </row>
    <row r="69" spans="1:11" ht="13.5" customHeight="1" thickBot="1">
      <c r="A69" s="630"/>
      <c r="B69" s="634"/>
      <c r="C69" s="634"/>
      <c r="D69" s="630"/>
      <c r="E69" s="631"/>
      <c r="F69" s="630"/>
      <c r="G69" s="631"/>
      <c r="H69" s="630"/>
      <c r="I69" s="631"/>
      <c r="J69" s="630"/>
      <c r="K69" s="631"/>
    </row>
    <row r="70" spans="1:12" s="70" customFormat="1" ht="25.5" customHeight="1" thickBot="1">
      <c r="A70" s="618" t="s">
        <v>501</v>
      </c>
      <c r="B70" s="618"/>
      <c r="C70" s="618"/>
      <c r="D70" s="618" t="s">
        <v>502</v>
      </c>
      <c r="E70" s="618"/>
      <c r="F70" s="644" t="s">
        <v>498</v>
      </c>
      <c r="G70" s="645"/>
      <c r="H70" s="644"/>
      <c r="I70" s="645"/>
      <c r="J70" s="635"/>
      <c r="K70" s="635"/>
      <c r="L70" s="388"/>
    </row>
    <row r="71" spans="1:13" ht="12.75" customHeight="1">
      <c r="A71" s="609" t="s">
        <v>2</v>
      </c>
      <c r="B71" s="610"/>
      <c r="C71" s="611"/>
      <c r="D71" s="615"/>
      <c r="E71" s="616"/>
      <c r="F71" s="636">
        <f>SUM(F70)</f>
        <v>0</v>
      </c>
      <c r="G71" s="637"/>
      <c r="H71" s="640">
        <f>SUM(H70)</f>
        <v>0</v>
      </c>
      <c r="I71" s="641"/>
      <c r="J71" s="640">
        <f>SUM(J70)</f>
        <v>0</v>
      </c>
      <c r="K71" s="641"/>
      <c r="L71" s="625"/>
      <c r="M71" s="625"/>
    </row>
    <row r="72" spans="1:13" ht="13.5" customHeight="1" thickBot="1">
      <c r="A72" s="612"/>
      <c r="B72" s="613"/>
      <c r="C72" s="614"/>
      <c r="D72" s="617"/>
      <c r="E72" s="608"/>
      <c r="F72" s="638"/>
      <c r="G72" s="639"/>
      <c r="H72" s="642"/>
      <c r="I72" s="643"/>
      <c r="J72" s="642"/>
      <c r="K72" s="643"/>
      <c r="L72" s="625"/>
      <c r="M72" s="625"/>
    </row>
    <row r="74" spans="1:13" ht="15.75">
      <c r="A74" s="7" t="s">
        <v>503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ht="13.5" thickBot="1"/>
    <row r="76" spans="1:11" ht="12.75" customHeight="1">
      <c r="A76" s="626" t="s">
        <v>467</v>
      </c>
      <c r="B76" s="632"/>
      <c r="C76" s="632"/>
      <c r="D76" s="626" t="s">
        <v>493</v>
      </c>
      <c r="E76" s="627"/>
      <c r="F76" s="626" t="s">
        <v>494</v>
      </c>
      <c r="G76" s="627"/>
      <c r="H76" s="626" t="s">
        <v>495</v>
      </c>
      <c r="I76" s="627"/>
      <c r="J76" s="626" t="s">
        <v>496</v>
      </c>
      <c r="K76" s="627"/>
    </row>
    <row r="77" spans="1:11" ht="12.75" customHeight="1">
      <c r="A77" s="628"/>
      <c r="B77" s="633"/>
      <c r="C77" s="633"/>
      <c r="D77" s="628"/>
      <c r="E77" s="629"/>
      <c r="F77" s="628"/>
      <c r="G77" s="629"/>
      <c r="H77" s="628"/>
      <c r="I77" s="629"/>
      <c r="J77" s="628"/>
      <c r="K77" s="629"/>
    </row>
    <row r="78" spans="1:11" ht="13.5" customHeight="1" thickBot="1">
      <c r="A78" s="630"/>
      <c r="B78" s="634"/>
      <c r="C78" s="634"/>
      <c r="D78" s="630"/>
      <c r="E78" s="631"/>
      <c r="F78" s="630"/>
      <c r="G78" s="631"/>
      <c r="H78" s="630"/>
      <c r="I78" s="631"/>
      <c r="J78" s="630"/>
      <c r="K78" s="631"/>
    </row>
    <row r="79" spans="1:12" s="70" customFormat="1" ht="25.5" customHeight="1" thickBot="1">
      <c r="A79" s="618" t="s">
        <v>501</v>
      </c>
      <c r="B79" s="618"/>
      <c r="C79" s="618"/>
      <c r="D79" s="618" t="s">
        <v>504</v>
      </c>
      <c r="E79" s="618"/>
      <c r="F79" s="619" t="s">
        <v>498</v>
      </c>
      <c r="G79" s="620"/>
      <c r="H79" s="619"/>
      <c r="I79" s="620"/>
      <c r="J79" s="618"/>
      <c r="K79" s="618"/>
      <c r="L79" s="388"/>
    </row>
    <row r="80" spans="1:13" ht="12.75" customHeight="1">
      <c r="A80" s="609" t="s">
        <v>2</v>
      </c>
      <c r="B80" s="610"/>
      <c r="C80" s="611"/>
      <c r="D80" s="615"/>
      <c r="E80" s="616"/>
      <c r="F80" s="615"/>
      <c r="G80" s="616"/>
      <c r="H80" s="621">
        <f>SUM(H79)</f>
        <v>0</v>
      </c>
      <c r="I80" s="622"/>
      <c r="J80" s="621">
        <f>SUM(J79)</f>
        <v>0</v>
      </c>
      <c r="K80" s="622"/>
      <c r="L80" s="625"/>
      <c r="M80" s="625"/>
    </row>
    <row r="81" spans="1:13" ht="13.5" customHeight="1" thickBot="1">
      <c r="A81" s="612"/>
      <c r="B81" s="613"/>
      <c r="C81" s="614"/>
      <c r="D81" s="617"/>
      <c r="E81" s="608"/>
      <c r="F81" s="617"/>
      <c r="G81" s="608"/>
      <c r="H81" s="623"/>
      <c r="I81" s="624"/>
      <c r="J81" s="623"/>
      <c r="K81" s="624"/>
      <c r="L81" s="625"/>
      <c r="M81" s="625"/>
    </row>
    <row r="83" spans="1:13" ht="15.75">
      <c r="A83" s="7" t="s">
        <v>505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</row>
    <row r="84" ht="13.5" thickBot="1"/>
    <row r="85" spans="1:11" ht="12.75" customHeight="1">
      <c r="A85" s="626" t="s">
        <v>467</v>
      </c>
      <c r="B85" s="632"/>
      <c r="C85" s="632"/>
      <c r="D85" s="626" t="s">
        <v>493</v>
      </c>
      <c r="E85" s="627"/>
      <c r="F85" s="626" t="s">
        <v>494</v>
      </c>
      <c r="G85" s="627"/>
      <c r="H85" s="626" t="s">
        <v>495</v>
      </c>
      <c r="I85" s="627"/>
      <c r="J85" s="626" t="s">
        <v>496</v>
      </c>
      <c r="K85" s="627"/>
    </row>
    <row r="86" spans="1:11" ht="12.75" customHeight="1">
      <c r="A86" s="628"/>
      <c r="B86" s="633"/>
      <c r="C86" s="633"/>
      <c r="D86" s="628"/>
      <c r="E86" s="629"/>
      <c r="F86" s="628"/>
      <c r="G86" s="629"/>
      <c r="H86" s="628"/>
      <c r="I86" s="629"/>
      <c r="J86" s="628"/>
      <c r="K86" s="629"/>
    </row>
    <row r="87" spans="1:11" ht="13.5" customHeight="1" thickBot="1">
      <c r="A87" s="630"/>
      <c r="B87" s="634"/>
      <c r="C87" s="634"/>
      <c r="D87" s="630"/>
      <c r="E87" s="631"/>
      <c r="F87" s="630"/>
      <c r="G87" s="631"/>
      <c r="H87" s="630"/>
      <c r="I87" s="631"/>
      <c r="J87" s="630"/>
      <c r="K87" s="631"/>
    </row>
    <row r="88" spans="1:12" s="70" customFormat="1" ht="25.5" customHeight="1" thickBot="1">
      <c r="A88" s="618" t="s">
        <v>501</v>
      </c>
      <c r="B88" s="618"/>
      <c r="C88" s="618"/>
      <c r="D88" s="618"/>
      <c r="E88" s="618"/>
      <c r="F88" s="619" t="s">
        <v>498</v>
      </c>
      <c r="G88" s="620"/>
      <c r="H88" s="619"/>
      <c r="I88" s="620"/>
      <c r="J88" s="618"/>
      <c r="K88" s="618"/>
      <c r="L88" s="388"/>
    </row>
    <row r="89" spans="1:13" ht="12.75" customHeight="1">
      <c r="A89" s="609" t="s">
        <v>2</v>
      </c>
      <c r="B89" s="610"/>
      <c r="C89" s="611"/>
      <c r="D89" s="615"/>
      <c r="E89" s="616"/>
      <c r="F89" s="615"/>
      <c r="G89" s="616"/>
      <c r="H89" s="621">
        <f>SUM(H88)</f>
        <v>0</v>
      </c>
      <c r="I89" s="622"/>
      <c r="J89" s="621">
        <f>SUM(J88)</f>
        <v>0</v>
      </c>
      <c r="K89" s="622"/>
      <c r="L89" s="625"/>
      <c r="M89" s="625"/>
    </row>
    <row r="90" spans="1:13" ht="13.5" customHeight="1" thickBot="1">
      <c r="A90" s="612"/>
      <c r="B90" s="613"/>
      <c r="C90" s="614"/>
      <c r="D90" s="617"/>
      <c r="E90" s="608"/>
      <c r="F90" s="617"/>
      <c r="G90" s="608"/>
      <c r="H90" s="623"/>
      <c r="I90" s="624"/>
      <c r="J90" s="623"/>
      <c r="K90" s="624"/>
      <c r="L90" s="625"/>
      <c r="M90" s="625"/>
    </row>
  </sheetData>
  <sheetProtection password="DB7F" sheet="1" selectLockedCells="1" selectUnlockedCells="1"/>
  <mergeCells count="138">
    <mergeCell ref="A7:M7"/>
    <mergeCell ref="A13:C15"/>
    <mergeCell ref="D13:F13"/>
    <mergeCell ref="G13:I13"/>
    <mergeCell ref="K1:M1"/>
    <mergeCell ref="A2:M2"/>
    <mergeCell ref="A5:M5"/>
    <mergeCell ref="A6:M6"/>
    <mergeCell ref="J13:L13"/>
    <mergeCell ref="M13:M15"/>
    <mergeCell ref="A16:C18"/>
    <mergeCell ref="D16:D18"/>
    <mergeCell ref="E16:E18"/>
    <mergeCell ref="F16:F18"/>
    <mergeCell ref="G16:G18"/>
    <mergeCell ref="H16:H18"/>
    <mergeCell ref="A19:C20"/>
    <mergeCell ref="D19:D20"/>
    <mergeCell ref="E19:E20"/>
    <mergeCell ref="F19:F20"/>
    <mergeCell ref="M19:M20"/>
    <mergeCell ref="I16:I18"/>
    <mergeCell ref="J16:J18"/>
    <mergeCell ref="K16:K18"/>
    <mergeCell ref="L16:L18"/>
    <mergeCell ref="M16:M18"/>
    <mergeCell ref="I19:I20"/>
    <mergeCell ref="J19:J20"/>
    <mergeCell ref="K19:K20"/>
    <mergeCell ref="L19:L20"/>
    <mergeCell ref="E34:E36"/>
    <mergeCell ref="F34:F36"/>
    <mergeCell ref="G34:G36"/>
    <mergeCell ref="H19:H20"/>
    <mergeCell ref="G19:G20"/>
    <mergeCell ref="K34:K36"/>
    <mergeCell ref="L34:L36"/>
    <mergeCell ref="M34:M36"/>
    <mergeCell ref="A31:C33"/>
    <mergeCell ref="D31:F31"/>
    <mergeCell ref="G31:I31"/>
    <mergeCell ref="J31:L31"/>
    <mergeCell ref="M31:M33"/>
    <mergeCell ref="A34:C36"/>
    <mergeCell ref="D34:D36"/>
    <mergeCell ref="H37:H39"/>
    <mergeCell ref="H34:H36"/>
    <mergeCell ref="I34:I36"/>
    <mergeCell ref="J34:J36"/>
    <mergeCell ref="G40:G41"/>
    <mergeCell ref="A37:C39"/>
    <mergeCell ref="D37:D39"/>
    <mergeCell ref="E37:E39"/>
    <mergeCell ref="F37:F39"/>
    <mergeCell ref="G37:G39"/>
    <mergeCell ref="A40:C41"/>
    <mergeCell ref="D40:D41"/>
    <mergeCell ref="E40:E41"/>
    <mergeCell ref="F40:F41"/>
    <mergeCell ref="L40:L41"/>
    <mergeCell ref="M40:M41"/>
    <mergeCell ref="I37:I39"/>
    <mergeCell ref="J37:J39"/>
    <mergeCell ref="K37:K39"/>
    <mergeCell ref="L37:L39"/>
    <mergeCell ref="M37:M39"/>
    <mergeCell ref="H61:I61"/>
    <mergeCell ref="J61:K61"/>
    <mergeCell ref="H40:H41"/>
    <mergeCell ref="I40:I41"/>
    <mergeCell ref="J40:J41"/>
    <mergeCell ref="K40:K41"/>
    <mergeCell ref="J62:K63"/>
    <mergeCell ref="L62:L63"/>
    <mergeCell ref="A58:C60"/>
    <mergeCell ref="D58:E60"/>
    <mergeCell ref="F58:G60"/>
    <mergeCell ref="H58:I60"/>
    <mergeCell ref="J58:K60"/>
    <mergeCell ref="A61:C61"/>
    <mergeCell ref="D61:E61"/>
    <mergeCell ref="F61:G61"/>
    <mergeCell ref="M62:M63"/>
    <mergeCell ref="A67:C69"/>
    <mergeCell ref="D67:E69"/>
    <mergeCell ref="F67:G69"/>
    <mergeCell ref="H67:I69"/>
    <mergeCell ref="J67:K69"/>
    <mergeCell ref="A62:C63"/>
    <mergeCell ref="D62:E63"/>
    <mergeCell ref="F62:G63"/>
    <mergeCell ref="H62:I63"/>
    <mergeCell ref="J70:K70"/>
    <mergeCell ref="A71:C72"/>
    <mergeCell ref="D71:E72"/>
    <mergeCell ref="F71:G72"/>
    <mergeCell ref="H71:I72"/>
    <mergeCell ref="J71:K72"/>
    <mergeCell ref="A70:C70"/>
    <mergeCell ref="D70:E70"/>
    <mergeCell ref="F70:G70"/>
    <mergeCell ref="H70:I70"/>
    <mergeCell ref="L71:L72"/>
    <mergeCell ref="M71:M72"/>
    <mergeCell ref="A76:C78"/>
    <mergeCell ref="D76:E78"/>
    <mergeCell ref="F76:G78"/>
    <mergeCell ref="H76:I78"/>
    <mergeCell ref="J76:K78"/>
    <mergeCell ref="J79:K79"/>
    <mergeCell ref="A80:C81"/>
    <mergeCell ref="D80:E81"/>
    <mergeCell ref="F80:G81"/>
    <mergeCell ref="H80:I81"/>
    <mergeCell ref="J80:K81"/>
    <mergeCell ref="A79:C79"/>
    <mergeCell ref="D79:E79"/>
    <mergeCell ref="F79:G79"/>
    <mergeCell ref="H79:I79"/>
    <mergeCell ref="A85:C87"/>
    <mergeCell ref="D85:E87"/>
    <mergeCell ref="F85:G87"/>
    <mergeCell ref="H85:I87"/>
    <mergeCell ref="M80:M81"/>
    <mergeCell ref="J85:K87"/>
    <mergeCell ref="L89:L90"/>
    <mergeCell ref="M89:M90"/>
    <mergeCell ref="J88:K88"/>
    <mergeCell ref="H88:I88"/>
    <mergeCell ref="H89:I90"/>
    <mergeCell ref="J89:K90"/>
    <mergeCell ref="L80:L81"/>
    <mergeCell ref="A89:C90"/>
    <mergeCell ref="D89:E90"/>
    <mergeCell ref="F89:G90"/>
    <mergeCell ref="A88:C88"/>
    <mergeCell ref="D88:E88"/>
    <mergeCell ref="F88:G88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31" customWidth="1"/>
    <col min="2" max="2" width="65.75390625" style="31" customWidth="1"/>
    <col min="3" max="5" width="15.75390625" style="31" bestFit="1" customWidth="1"/>
    <col min="6" max="6" width="18.00390625" style="31" bestFit="1" customWidth="1"/>
    <col min="7" max="7" width="11.375" style="70" bestFit="1" customWidth="1"/>
    <col min="8" max="16384" width="9.125" style="70" customWidth="1"/>
  </cols>
  <sheetData>
    <row r="1" spans="1:6" ht="15.75">
      <c r="A1" s="191" t="s">
        <v>545</v>
      </c>
      <c r="C1" s="694"/>
      <c r="D1" s="694"/>
      <c r="E1" s="694"/>
      <c r="F1" s="694"/>
    </row>
    <row r="2" spans="1:6" ht="15.75">
      <c r="A2" s="33"/>
      <c r="B2" s="33"/>
      <c r="C2" s="33"/>
      <c r="D2" s="33"/>
      <c r="E2" s="33"/>
      <c r="F2" s="33"/>
    </row>
    <row r="3" spans="1:6" ht="15.75">
      <c r="A3" s="540" t="s">
        <v>506</v>
      </c>
      <c r="B3" s="540"/>
      <c r="C3" s="540"/>
      <c r="D3" s="540"/>
      <c r="E3" s="540"/>
      <c r="F3" s="540"/>
    </row>
    <row r="4" spans="1:6" ht="15.75">
      <c r="A4" s="540" t="s">
        <v>507</v>
      </c>
      <c r="B4" s="540"/>
      <c r="C4" s="540"/>
      <c r="D4" s="540"/>
      <c r="E4" s="540"/>
      <c r="F4" s="540"/>
    </row>
    <row r="5" spans="1:6" ht="15.75">
      <c r="A5" s="540" t="s">
        <v>516</v>
      </c>
      <c r="B5" s="540"/>
      <c r="C5" s="540"/>
      <c r="D5" s="540"/>
      <c r="E5" s="540"/>
      <c r="F5" s="540"/>
    </row>
    <row r="6" spans="1:6" ht="16.5" thickBot="1">
      <c r="A6" s="33"/>
      <c r="B6" s="33"/>
      <c r="C6" s="70"/>
      <c r="D6" s="390"/>
      <c r="E6" s="70"/>
      <c r="F6" s="390" t="s">
        <v>5</v>
      </c>
    </row>
    <row r="7" spans="1:6" ht="15.75">
      <c r="A7" s="391" t="s">
        <v>54</v>
      </c>
      <c r="B7" s="695" t="s">
        <v>508</v>
      </c>
      <c r="C7" s="698" t="s">
        <v>509</v>
      </c>
      <c r="D7" s="699"/>
      <c r="E7" s="699"/>
      <c r="F7" s="695" t="s">
        <v>378</v>
      </c>
    </row>
    <row r="8" spans="1:6" ht="16.5" thickBot="1">
      <c r="A8" s="392"/>
      <c r="B8" s="696"/>
      <c r="C8" s="700"/>
      <c r="D8" s="701"/>
      <c r="E8" s="701"/>
      <c r="F8" s="696"/>
    </row>
    <row r="9" spans="1:6" ht="16.5" thickBot="1">
      <c r="A9" s="392"/>
      <c r="B9" s="696"/>
      <c r="C9" s="393" t="s">
        <v>460</v>
      </c>
      <c r="D9" s="393" t="s">
        <v>461</v>
      </c>
      <c r="E9" s="393" t="s">
        <v>462</v>
      </c>
      <c r="F9" s="696"/>
    </row>
    <row r="10" spans="1:6" ht="16.5" thickBot="1">
      <c r="A10" s="394" t="s">
        <v>55</v>
      </c>
      <c r="B10" s="697"/>
      <c r="C10" s="702" t="s">
        <v>510</v>
      </c>
      <c r="D10" s="703"/>
      <c r="E10" s="703"/>
      <c r="F10" s="697"/>
    </row>
    <row r="11" spans="1:6" ht="15.75">
      <c r="A11" s="389" t="s">
        <v>56</v>
      </c>
      <c r="B11" s="419" t="s">
        <v>517</v>
      </c>
      <c r="C11" s="395">
        <v>7733</v>
      </c>
      <c r="D11" s="395">
        <v>7733</v>
      </c>
      <c r="E11" s="395">
        <v>7733</v>
      </c>
      <c r="F11" s="395">
        <f>SUM(C11:E11)</f>
        <v>23199</v>
      </c>
    </row>
    <row r="12" spans="1:6" ht="31.5">
      <c r="A12" s="389" t="s">
        <v>32</v>
      </c>
      <c r="B12" s="420" t="s">
        <v>518</v>
      </c>
      <c r="C12" s="396"/>
      <c r="D12" s="396"/>
      <c r="E12" s="396"/>
      <c r="F12" s="395">
        <f>SUM(C12:E12)</f>
        <v>0</v>
      </c>
    </row>
    <row r="13" spans="1:2" s="366" customFormat="1" ht="15.75">
      <c r="A13" s="389" t="s">
        <v>57</v>
      </c>
      <c r="B13" s="419" t="s">
        <v>519</v>
      </c>
    </row>
    <row r="14" spans="1:6" s="366" customFormat="1" ht="31.5">
      <c r="A14" s="389" t="s">
        <v>128</v>
      </c>
      <c r="B14" s="420" t="s">
        <v>520</v>
      </c>
      <c r="C14" s="397"/>
      <c r="D14" s="397"/>
      <c r="E14" s="397"/>
      <c r="F14" s="395">
        <f>SUM(C14:E14)</f>
        <v>0</v>
      </c>
    </row>
    <row r="15" spans="1:6" s="366" customFormat="1" ht="15.75">
      <c r="A15" s="389" t="s">
        <v>130</v>
      </c>
      <c r="B15" s="419" t="s">
        <v>511</v>
      </c>
      <c r="C15" s="397">
        <v>75</v>
      </c>
      <c r="D15" s="397">
        <v>75</v>
      </c>
      <c r="E15" s="397">
        <v>75</v>
      </c>
      <c r="F15" s="395">
        <f>SUM(C15:E15)</f>
        <v>225</v>
      </c>
    </row>
    <row r="16" spans="1:6" s="366" customFormat="1" ht="15.75">
      <c r="A16" s="389" t="s">
        <v>136</v>
      </c>
      <c r="B16" s="419" t="s">
        <v>521</v>
      </c>
      <c r="C16" s="398"/>
      <c r="D16" s="398"/>
      <c r="E16" s="398"/>
      <c r="F16" s="398"/>
    </row>
    <row r="17" spans="1:6" s="402" customFormat="1" ht="15.75">
      <c r="A17" s="399" t="s">
        <v>300</v>
      </c>
      <c r="B17" s="400" t="s">
        <v>512</v>
      </c>
      <c r="C17" s="401">
        <f>SUM(C11:C16)</f>
        <v>7808</v>
      </c>
      <c r="D17" s="401">
        <f>SUM(D11:D16)</f>
        <v>7808</v>
      </c>
      <c r="E17" s="401">
        <f>SUM(E11:E16)</f>
        <v>7808</v>
      </c>
      <c r="F17" s="401">
        <f>SUM(F11:F16)</f>
        <v>23424</v>
      </c>
    </row>
    <row r="18" spans="1:6" s="407" customFormat="1" ht="18.75">
      <c r="A18" s="403" t="s">
        <v>304</v>
      </c>
      <c r="B18" s="404" t="s">
        <v>513</v>
      </c>
      <c r="C18" s="405">
        <f>C17*0.5</f>
        <v>3904</v>
      </c>
      <c r="D18" s="405">
        <f>D17*0.5</f>
        <v>3904</v>
      </c>
      <c r="E18" s="405">
        <f>E17*0.5</f>
        <v>3904</v>
      </c>
      <c r="F18" s="406">
        <f>SUM(C18:E18)</f>
        <v>11712</v>
      </c>
    </row>
    <row r="19" spans="1:6" s="366" customFormat="1" ht="31.5">
      <c r="A19" s="408" t="s">
        <v>312</v>
      </c>
      <c r="B19" s="420" t="s">
        <v>522</v>
      </c>
      <c r="C19" s="397"/>
      <c r="D19" s="397"/>
      <c r="E19" s="397"/>
      <c r="F19" s="397">
        <f>SUM(C19:E19)</f>
        <v>0</v>
      </c>
    </row>
    <row r="20" spans="1:6" s="366" customFormat="1" ht="31.5">
      <c r="A20" s="408" t="s">
        <v>314</v>
      </c>
      <c r="B20" s="420" t="s">
        <v>523</v>
      </c>
      <c r="C20" s="397"/>
      <c r="D20" s="397"/>
      <c r="E20" s="397"/>
      <c r="F20" s="397">
        <f>SUM(C20:E20)</f>
        <v>0</v>
      </c>
    </row>
    <row r="21" spans="1:6" s="366" customFormat="1" ht="15.75">
      <c r="A21" s="408" t="s">
        <v>316</v>
      </c>
      <c r="B21" s="419" t="s">
        <v>524</v>
      </c>
      <c r="C21" s="397"/>
      <c r="D21" s="397"/>
      <c r="E21" s="397"/>
      <c r="F21" s="397"/>
    </row>
    <row r="22" spans="1:6" s="366" customFormat="1" ht="31.5">
      <c r="A22" s="408" t="s">
        <v>321</v>
      </c>
      <c r="B22" s="409" t="s">
        <v>525</v>
      </c>
      <c r="C22" s="397"/>
      <c r="D22" s="397"/>
      <c r="E22" s="397"/>
      <c r="F22" s="397"/>
    </row>
    <row r="23" spans="1:6" s="366" customFormat="1" ht="47.25">
      <c r="A23" s="408" t="s">
        <v>323</v>
      </c>
      <c r="B23" s="409" t="s">
        <v>526</v>
      </c>
      <c r="C23" s="397"/>
      <c r="D23" s="397"/>
      <c r="E23" s="397"/>
      <c r="F23" s="397"/>
    </row>
    <row r="24" spans="1:6" s="366" customFormat="1" ht="31.5">
      <c r="A24" s="408" t="s">
        <v>325</v>
      </c>
      <c r="B24" s="409" t="s">
        <v>527</v>
      </c>
      <c r="C24" s="397"/>
      <c r="D24" s="397"/>
      <c r="E24" s="397"/>
      <c r="F24" s="397"/>
    </row>
    <row r="25" spans="1:6" s="366" customFormat="1" ht="31.5">
      <c r="A25" s="408" t="s">
        <v>333</v>
      </c>
      <c r="B25" s="409" t="s">
        <v>528</v>
      </c>
      <c r="C25" s="410"/>
      <c r="D25" s="410"/>
      <c r="E25" s="410"/>
      <c r="F25" s="410"/>
    </row>
    <row r="26" spans="1:6" s="402" customFormat="1" ht="15.75">
      <c r="A26" s="399" t="s">
        <v>336</v>
      </c>
      <c r="B26" s="411" t="s">
        <v>514</v>
      </c>
      <c r="C26" s="412">
        <f>SUM(C19:C24)</f>
        <v>0</v>
      </c>
      <c r="D26" s="412">
        <f>SUM(D19:D24)</f>
        <v>0</v>
      </c>
      <c r="E26" s="412">
        <f>SUM(E19:E24)</f>
        <v>0</v>
      </c>
      <c r="F26" s="412">
        <f>SUM(F19:F24)</f>
        <v>0</v>
      </c>
    </row>
    <row r="27" spans="1:6" s="415" customFormat="1" ht="37.5">
      <c r="A27" s="403" t="s">
        <v>338</v>
      </c>
      <c r="B27" s="413" t="s">
        <v>515</v>
      </c>
      <c r="C27" s="414">
        <f>C18-C26</f>
        <v>3904</v>
      </c>
      <c r="D27" s="414">
        <f>D18-D26</f>
        <v>3904</v>
      </c>
      <c r="E27" s="414">
        <f>E18-E26</f>
        <v>3904</v>
      </c>
      <c r="F27" s="414">
        <f>SUM(C27:E27)</f>
        <v>11712</v>
      </c>
    </row>
    <row r="28" spans="1:6" s="366" customFormat="1" ht="15.75">
      <c r="A28" s="416"/>
      <c r="B28" s="417"/>
      <c r="C28" s="397"/>
      <c r="D28" s="397"/>
      <c r="E28" s="397"/>
      <c r="F28" s="397"/>
    </row>
    <row r="29" spans="1:7" s="366" customFormat="1" ht="15.75">
      <c r="A29" s="416"/>
      <c r="B29" s="417"/>
      <c r="C29" s="397"/>
      <c r="D29" s="397"/>
      <c r="E29" s="397"/>
      <c r="F29" s="397"/>
      <c r="G29" s="397"/>
    </row>
    <row r="30" spans="1:6" s="366" customFormat="1" ht="15.75">
      <c r="A30" s="417"/>
      <c r="B30" s="417"/>
      <c r="C30" s="397"/>
      <c r="D30" s="397"/>
      <c r="E30" s="397"/>
      <c r="F30" s="397"/>
    </row>
    <row r="31" spans="1:6" s="366" customFormat="1" ht="15.75">
      <c r="A31" s="417"/>
      <c r="B31" s="417"/>
      <c r="C31" s="397"/>
      <c r="D31" s="397"/>
      <c r="E31" s="397"/>
      <c r="F31" s="397"/>
    </row>
    <row r="32" spans="1:6" s="366" customFormat="1" ht="15.75">
      <c r="A32" s="417"/>
      <c r="B32" s="417"/>
      <c r="C32" s="397"/>
      <c r="D32" s="397"/>
      <c r="E32" s="397"/>
      <c r="F32" s="397"/>
    </row>
    <row r="33" spans="1:6" s="366" customFormat="1" ht="15.75">
      <c r="A33" s="417"/>
      <c r="B33" s="418"/>
      <c r="C33" s="397"/>
      <c r="D33" s="397"/>
      <c r="E33" s="397"/>
      <c r="F33" s="397"/>
    </row>
    <row r="34" spans="1:6" s="366" customFormat="1" ht="15.75">
      <c r="A34" s="417"/>
      <c r="B34" s="417"/>
      <c r="C34" s="397"/>
      <c r="D34" s="397"/>
      <c r="E34" s="397"/>
      <c r="F34" s="397"/>
    </row>
    <row r="35" spans="1:6" s="366" customFormat="1" ht="15.75">
      <c r="A35" s="417"/>
      <c r="B35" s="417"/>
      <c r="C35" s="397"/>
      <c r="D35" s="397"/>
      <c r="E35" s="397"/>
      <c r="F35" s="397"/>
    </row>
  </sheetData>
  <sheetProtection password="DB7F" sheet="1" selectLockedCells="1" selectUnlockedCells="1"/>
  <mergeCells count="8">
    <mergeCell ref="C1:F1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64.625" style="4" customWidth="1"/>
    <col min="2" max="2" width="13.375" style="77" customWidth="1"/>
    <col min="3" max="3" width="4.875" style="4" customWidth="1"/>
    <col min="4" max="4" width="14.25390625" style="77" bestFit="1" customWidth="1"/>
    <col min="5" max="5" width="5.25390625" style="4" customWidth="1"/>
    <col min="6" max="6" width="9.125" style="4" customWidth="1"/>
    <col min="7" max="7" width="14.25390625" style="4" bestFit="1" customWidth="1"/>
    <col min="8" max="16384" width="9.125" style="4" customWidth="1"/>
  </cols>
  <sheetData>
    <row r="1" spans="1:5" ht="15">
      <c r="A1" s="445" t="s">
        <v>530</v>
      </c>
      <c r="B1" s="445"/>
      <c r="C1" s="445"/>
      <c r="D1" s="445"/>
      <c r="E1" s="445"/>
    </row>
    <row r="2" spans="1:5" ht="15">
      <c r="A2" s="127"/>
      <c r="B2" s="127"/>
      <c r="C2" s="127"/>
      <c r="D2" s="127"/>
      <c r="E2" s="127"/>
    </row>
    <row r="3" spans="1:5" s="70" customFormat="1" ht="15.75">
      <c r="A3" s="448"/>
      <c r="B3" s="448"/>
      <c r="C3" s="448"/>
      <c r="D3" s="448"/>
      <c r="E3" s="448"/>
    </row>
    <row r="4" spans="1:5" s="70" customFormat="1" ht="15.75">
      <c r="A4" s="447" t="s">
        <v>53</v>
      </c>
      <c r="B4" s="447"/>
      <c r="C4" s="447"/>
      <c r="D4" s="447"/>
      <c r="E4" s="447"/>
    </row>
    <row r="5" spans="1:5" ht="15.75">
      <c r="A5" s="447" t="s">
        <v>197</v>
      </c>
      <c r="B5" s="447"/>
      <c r="C5" s="447"/>
      <c r="D5" s="447"/>
      <c r="E5" s="447"/>
    </row>
    <row r="6" spans="1:5" ht="12.75" customHeight="1">
      <c r="A6" s="446" t="s">
        <v>277</v>
      </c>
      <c r="B6" s="446"/>
      <c r="C6" s="446"/>
      <c r="D6" s="446"/>
      <c r="E6" s="446"/>
    </row>
    <row r="7" spans="1:5" s="1" customFormat="1" ht="15">
      <c r="A7" s="4"/>
      <c r="B7" s="77"/>
      <c r="C7" s="4"/>
      <c r="D7" s="67"/>
      <c r="E7" s="4"/>
    </row>
    <row r="8" spans="1:4" s="1" customFormat="1" ht="18.75">
      <c r="A8" s="160" t="s">
        <v>198</v>
      </c>
      <c r="B8" s="78"/>
      <c r="D8" s="161"/>
    </row>
    <row r="9" spans="1:5" ht="15.75">
      <c r="A9" s="7" t="s">
        <v>199</v>
      </c>
      <c r="B9" s="78"/>
      <c r="C9" s="1"/>
      <c r="D9" s="162">
        <f>B10+B11</f>
        <v>25812</v>
      </c>
      <c r="E9" s="1" t="s">
        <v>6</v>
      </c>
    </row>
    <row r="10" spans="1:7" ht="15.75">
      <c r="A10" s="163" t="s">
        <v>200</v>
      </c>
      <c r="B10" s="77">
        <f>'2.mell - bevétel'!H62</f>
        <v>25766</v>
      </c>
      <c r="C10" s="4" t="s">
        <v>6</v>
      </c>
      <c r="D10" s="67"/>
      <c r="G10" s="121"/>
    </row>
    <row r="11" spans="1:5" s="1" customFormat="1" ht="15.75" customHeight="1">
      <c r="A11" s="163" t="s">
        <v>201</v>
      </c>
      <c r="B11" s="77">
        <f>'2.mell - bevétel'!H67</f>
        <v>46</v>
      </c>
      <c r="C11" s="4" t="s">
        <v>6</v>
      </c>
      <c r="D11" s="67"/>
      <c r="E11" s="4"/>
    </row>
    <row r="12" spans="1:4" s="1" customFormat="1" ht="15.75">
      <c r="A12" s="7"/>
      <c r="B12" s="78"/>
      <c r="D12" s="162"/>
    </row>
    <row r="13" spans="1:5" s="1" customFormat="1" ht="15.75">
      <c r="A13" s="7" t="s">
        <v>202</v>
      </c>
      <c r="B13" s="78"/>
      <c r="D13" s="162">
        <f>'2.mell - bevétel'!H81</f>
        <v>9743</v>
      </c>
      <c r="E13" s="1" t="s">
        <v>6</v>
      </c>
    </row>
    <row r="14" spans="1:4" s="1" customFormat="1" ht="15.75">
      <c r="A14" s="7"/>
      <c r="B14" s="78"/>
      <c r="D14" s="162"/>
    </row>
    <row r="15" spans="1:5" s="1" customFormat="1" ht="15.75">
      <c r="A15" s="7" t="s">
        <v>149</v>
      </c>
      <c r="B15" s="78"/>
      <c r="D15" s="162">
        <f>'2.mell - bevétel'!H103</f>
        <v>7813</v>
      </c>
      <c r="E15" s="1" t="s">
        <v>6</v>
      </c>
    </row>
    <row r="16" spans="1:7" s="1" customFormat="1" ht="15.75">
      <c r="A16" s="7"/>
      <c r="B16" s="78"/>
      <c r="D16" s="162"/>
      <c r="G16" s="122"/>
    </row>
    <row r="17" spans="1:5" s="1" customFormat="1" ht="15.75">
      <c r="A17" s="7" t="s">
        <v>70</v>
      </c>
      <c r="B17" s="78"/>
      <c r="D17" s="162">
        <f>'2.mell - bevétel'!H127</f>
        <v>9237</v>
      </c>
      <c r="E17" s="1" t="s">
        <v>6</v>
      </c>
    </row>
    <row r="18" spans="1:4" s="1" customFormat="1" ht="15.75">
      <c r="A18" s="10"/>
      <c r="B18" s="79"/>
      <c r="D18" s="162"/>
    </row>
    <row r="19" spans="1:5" s="1" customFormat="1" ht="15.75">
      <c r="A19" s="7" t="s">
        <v>203</v>
      </c>
      <c r="B19" s="78"/>
      <c r="D19" s="162">
        <v>0</v>
      </c>
      <c r="E19" s="1" t="s">
        <v>6</v>
      </c>
    </row>
    <row r="20" spans="1:4" s="1" customFormat="1" ht="15.75">
      <c r="A20" s="10"/>
      <c r="B20" s="78"/>
      <c r="D20" s="162"/>
    </row>
    <row r="21" spans="1:5" s="1" customFormat="1" ht="15.75">
      <c r="A21" s="7" t="s">
        <v>204</v>
      </c>
      <c r="D21" s="162">
        <f>B22+B23</f>
        <v>0</v>
      </c>
      <c r="E21" s="1" t="s">
        <v>6</v>
      </c>
    </row>
    <row r="22" spans="1:7" s="6" customFormat="1" ht="32.25">
      <c r="A22" s="163" t="s">
        <v>205</v>
      </c>
      <c r="B22" s="79">
        <v>0</v>
      </c>
      <c r="C22" s="1" t="s">
        <v>6</v>
      </c>
      <c r="D22" s="162"/>
      <c r="E22" s="1"/>
      <c r="F22" s="1"/>
      <c r="G22" s="123"/>
    </row>
    <row r="23" spans="1:7" ht="18.75">
      <c r="A23" s="70" t="s">
        <v>206</v>
      </c>
      <c r="B23" s="78">
        <v>0</v>
      </c>
      <c r="C23" s="1" t="s">
        <v>6</v>
      </c>
      <c r="D23" s="162"/>
      <c r="E23" s="1"/>
      <c r="F23" s="6"/>
      <c r="G23" s="124"/>
    </row>
    <row r="24" spans="1:7" s="1" customFormat="1" ht="18.75">
      <c r="A24" s="89"/>
      <c r="B24" s="77"/>
      <c r="C24" s="4"/>
      <c r="D24" s="164"/>
      <c r="E24" s="6"/>
      <c r="G24" s="125"/>
    </row>
    <row r="25" spans="1:5" s="1" customFormat="1" ht="15.75">
      <c r="A25" s="7" t="s">
        <v>177</v>
      </c>
      <c r="B25" s="78"/>
      <c r="D25" s="162">
        <f>B26+B27</f>
        <v>26307</v>
      </c>
      <c r="E25" s="1" t="s">
        <v>6</v>
      </c>
    </row>
    <row r="26" spans="1:4" s="1" customFormat="1" ht="31.5">
      <c r="A26" s="163" t="s">
        <v>207</v>
      </c>
      <c r="B26" s="78">
        <f>'2.mell - bevétel'!H134</f>
        <v>26307</v>
      </c>
      <c r="C26" s="1" t="s">
        <v>6</v>
      </c>
      <c r="D26" s="162"/>
    </row>
    <row r="27" spans="1:4" s="1" customFormat="1" ht="15.75">
      <c r="A27" s="70" t="s">
        <v>208</v>
      </c>
      <c r="B27" s="78">
        <v>0</v>
      </c>
      <c r="C27" s="1" t="s">
        <v>6</v>
      </c>
      <c r="D27" s="162"/>
    </row>
    <row r="28" spans="1:4" s="1" customFormat="1" ht="15.75">
      <c r="A28" s="89"/>
      <c r="D28" s="161"/>
    </row>
    <row r="29" spans="1:5" s="1" customFormat="1" ht="15.75">
      <c r="A29" s="7" t="s">
        <v>58</v>
      </c>
      <c r="D29" s="165">
        <f>SUM(D9:D28)</f>
        <v>78912</v>
      </c>
      <c r="E29" s="1" t="s">
        <v>6</v>
      </c>
    </row>
    <row r="30" spans="1:4" s="1" customFormat="1" ht="15.75">
      <c r="A30" s="70"/>
      <c r="D30" s="161"/>
    </row>
    <row r="31" spans="1:4" s="1" customFormat="1" ht="18.75">
      <c r="A31" s="160" t="s">
        <v>209</v>
      </c>
      <c r="D31" s="161"/>
    </row>
    <row r="32" spans="1:5" s="1" customFormat="1" ht="15.75">
      <c r="A32" s="11" t="s">
        <v>20</v>
      </c>
      <c r="B32" s="78"/>
      <c r="D32" s="162">
        <f>B34+B35+B36+B37+B38</f>
        <v>52981</v>
      </c>
      <c r="E32" s="1" t="s">
        <v>6</v>
      </c>
    </row>
    <row r="33" spans="1:4" s="1" customFormat="1" ht="15.75">
      <c r="A33" s="10" t="s">
        <v>19</v>
      </c>
      <c r="B33" s="78"/>
      <c r="D33" s="162"/>
    </row>
    <row r="34" spans="1:4" s="1" customFormat="1" ht="15.75">
      <c r="A34" s="70" t="s">
        <v>210</v>
      </c>
      <c r="B34" s="78">
        <f>'4.mell. - kiadás'!D42</f>
        <v>12767</v>
      </c>
      <c r="C34" s="1" t="s">
        <v>6</v>
      </c>
      <c r="D34" s="162"/>
    </row>
    <row r="35" spans="1:4" s="1" customFormat="1" ht="15.75">
      <c r="A35" s="70" t="s">
        <v>211</v>
      </c>
      <c r="B35" s="78">
        <f>'4.mell. - kiadás'!E42</f>
        <v>3561</v>
      </c>
      <c r="C35" s="1" t="s">
        <v>6</v>
      </c>
      <c r="D35" s="162"/>
    </row>
    <row r="36" spans="1:4" s="1" customFormat="1" ht="15.75">
      <c r="A36" s="70" t="s">
        <v>212</v>
      </c>
      <c r="B36" s="78">
        <f>'4.mell. - kiadás'!F42</f>
        <v>22876</v>
      </c>
      <c r="C36" s="1" t="s">
        <v>6</v>
      </c>
      <c r="D36" s="162"/>
    </row>
    <row r="37" spans="1:4" s="1" customFormat="1" ht="15.75">
      <c r="A37" s="166" t="s">
        <v>213</v>
      </c>
      <c r="B37" s="78">
        <f>'4.mell. - kiadás'!G42</f>
        <v>2633</v>
      </c>
      <c r="C37" s="1" t="s">
        <v>6</v>
      </c>
      <c r="D37" s="162"/>
    </row>
    <row r="38" spans="1:4" s="1" customFormat="1" ht="15.75">
      <c r="A38" s="70" t="s">
        <v>100</v>
      </c>
      <c r="B38" s="78">
        <f>'4.mell. - kiadás'!H42</f>
        <v>11144</v>
      </c>
      <c r="C38" s="1" t="s">
        <v>6</v>
      </c>
      <c r="D38" s="162"/>
    </row>
    <row r="39" spans="1:4" s="1" customFormat="1" ht="15.75">
      <c r="A39" s="70"/>
      <c r="B39" s="79"/>
      <c r="D39" s="162"/>
    </row>
    <row r="40" spans="1:5" s="1" customFormat="1" ht="15.75">
      <c r="A40" s="11" t="s">
        <v>21</v>
      </c>
      <c r="B40" s="78"/>
      <c r="D40" s="167">
        <f>B42+B43+B44</f>
        <v>27046</v>
      </c>
      <c r="E40" s="1" t="s">
        <v>6</v>
      </c>
    </row>
    <row r="41" spans="1:4" s="1" customFormat="1" ht="15.75">
      <c r="A41" s="10" t="s">
        <v>19</v>
      </c>
      <c r="B41" s="78"/>
      <c r="D41" s="162"/>
    </row>
    <row r="42" spans="1:4" s="1" customFormat="1" ht="15.75">
      <c r="A42" s="70" t="s">
        <v>214</v>
      </c>
      <c r="B42" s="79">
        <f>'4.mell. - kiadás'!J42</f>
        <v>231</v>
      </c>
      <c r="C42" s="1" t="s">
        <v>6</v>
      </c>
      <c r="D42" s="162"/>
    </row>
    <row r="43" spans="1:4" s="1" customFormat="1" ht="15.75">
      <c r="A43" s="70" t="s">
        <v>215</v>
      </c>
      <c r="B43" s="79"/>
      <c r="C43" s="1" t="s">
        <v>6</v>
      </c>
      <c r="D43" s="162"/>
    </row>
    <row r="44" spans="1:6" ht="15.75">
      <c r="A44" s="70" t="s">
        <v>101</v>
      </c>
      <c r="B44" s="79">
        <f>'4.mell. - kiadás'!L42</f>
        <v>26815</v>
      </c>
      <c r="C44" s="1" t="s">
        <v>6</v>
      </c>
      <c r="D44" s="162"/>
      <c r="E44" s="1"/>
      <c r="F44" s="1"/>
    </row>
    <row r="45" spans="1:4" s="1" customFormat="1" ht="15.75">
      <c r="A45" s="70"/>
      <c r="B45" s="79"/>
      <c r="D45" s="162"/>
    </row>
    <row r="46" spans="1:5" s="1" customFormat="1" ht="15.75">
      <c r="A46" s="70" t="s">
        <v>216</v>
      </c>
      <c r="B46" s="79"/>
      <c r="D46" s="162"/>
      <c r="E46" s="1" t="s">
        <v>6</v>
      </c>
    </row>
    <row r="47" spans="1:4" s="1" customFormat="1" ht="15.75">
      <c r="A47" s="70" t="s">
        <v>217</v>
      </c>
      <c r="B47" s="78"/>
      <c r="C47" s="1" t="s">
        <v>6</v>
      </c>
      <c r="D47" s="162"/>
    </row>
    <row r="48" spans="1:6" s="6" customFormat="1" ht="18.75">
      <c r="A48" s="70" t="s">
        <v>218</v>
      </c>
      <c r="B48" s="78"/>
      <c r="C48" s="1" t="s">
        <v>6</v>
      </c>
      <c r="D48" s="162"/>
      <c r="E48" s="1"/>
      <c r="F48" s="4"/>
    </row>
    <row r="49" spans="1:6" ht="15.75">
      <c r="A49" s="70"/>
      <c r="B49" s="79"/>
      <c r="C49" s="1"/>
      <c r="D49" s="162"/>
      <c r="E49" s="1"/>
      <c r="F49" s="1"/>
    </row>
    <row r="50" spans="1:6" ht="15.75">
      <c r="A50" s="7" t="s">
        <v>61</v>
      </c>
      <c r="B50" s="79"/>
      <c r="C50" s="1"/>
      <c r="D50" s="67">
        <f>SUM(D32:D49)</f>
        <v>80027</v>
      </c>
      <c r="E50" s="4" t="s">
        <v>6</v>
      </c>
      <c r="F50" s="1"/>
    </row>
    <row r="51" spans="1:6" ht="15.75">
      <c r="A51" s="70"/>
      <c r="B51" s="78"/>
      <c r="C51" s="1"/>
      <c r="D51" s="167"/>
      <c r="E51" s="1"/>
      <c r="F51" s="1"/>
    </row>
    <row r="52" spans="1:6" ht="18.75">
      <c r="A52" s="7" t="s">
        <v>62</v>
      </c>
      <c r="B52" s="78"/>
      <c r="C52" s="1"/>
      <c r="D52" s="67">
        <f>D29-D50</f>
        <v>-1115</v>
      </c>
      <c r="E52" s="4" t="s">
        <v>6</v>
      </c>
      <c r="F52" s="6"/>
    </row>
    <row r="53" spans="1:4" ht="15.75">
      <c r="A53" s="70"/>
      <c r="B53" s="78"/>
      <c r="C53" s="1"/>
      <c r="D53" s="67"/>
    </row>
    <row r="54" spans="1:5" ht="48">
      <c r="A54" s="168" t="s">
        <v>286</v>
      </c>
      <c r="B54" s="80"/>
      <c r="C54" s="6"/>
      <c r="D54" s="67">
        <v>1115</v>
      </c>
      <c r="E54" s="4" t="s">
        <v>6</v>
      </c>
    </row>
    <row r="55" spans="1:6" s="1" customFormat="1" ht="15.75">
      <c r="A55" s="70"/>
      <c r="B55" s="77"/>
      <c r="C55" s="4"/>
      <c r="D55" s="67"/>
      <c r="E55" s="4"/>
      <c r="F55" s="4"/>
    </row>
    <row r="56" spans="1:5" ht="15.75">
      <c r="A56" s="7" t="s">
        <v>99</v>
      </c>
      <c r="D56" s="67">
        <f>D52+D54</f>
        <v>0</v>
      </c>
      <c r="E56" s="4" t="s">
        <v>6</v>
      </c>
    </row>
    <row r="57" spans="1:4" s="1" customFormat="1" ht="10.5" customHeight="1">
      <c r="A57" s="5"/>
      <c r="B57" s="78"/>
      <c r="D57" s="29"/>
    </row>
    <row r="58" spans="1:5" ht="15.75">
      <c r="A58" s="5"/>
      <c r="B58" s="78"/>
      <c r="C58" s="1"/>
      <c r="D58" s="29"/>
      <c r="E58" s="7"/>
    </row>
    <row r="59" spans="1:5" ht="15.75">
      <c r="A59" s="7"/>
      <c r="D59" s="30"/>
      <c r="E59" s="7"/>
    </row>
  </sheetData>
  <sheetProtection password="DB7F" sheet="1" selectLockedCells="1" selectUnlockedCells="1"/>
  <mergeCells count="5">
    <mergeCell ref="A1:E1"/>
    <mergeCell ref="A6:E6"/>
    <mergeCell ref="A4:E4"/>
    <mergeCell ref="A3:E3"/>
    <mergeCell ref="A5:E5"/>
  </mergeCells>
  <printOptions horizontalCentered="1"/>
  <pageMargins left="0.1968503937007874" right="0.1968503937007874" top="0" bottom="0" header="0.5118110236220472" footer="0.5118110236220472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4.25390625" style="88" customWidth="1"/>
    <col min="2" max="5" width="3.125" style="85" customWidth="1"/>
    <col min="6" max="6" width="52.125" style="10" customWidth="1"/>
    <col min="7" max="7" width="11.25390625" style="10" customWidth="1"/>
    <col min="8" max="8" width="11.625" style="10" customWidth="1"/>
    <col min="9" max="9" width="9.375" style="10" customWidth="1"/>
    <col min="10" max="16384" width="9.125" style="10" customWidth="1"/>
  </cols>
  <sheetData>
    <row r="1" spans="1:9" ht="15.75">
      <c r="A1" s="278" t="s">
        <v>531</v>
      </c>
      <c r="B1" s="278"/>
      <c r="C1" s="278"/>
      <c r="D1" s="278"/>
      <c r="E1" s="278"/>
      <c r="F1" s="126"/>
      <c r="G1" s="126"/>
      <c r="H1" s="126"/>
      <c r="I1" s="126"/>
    </row>
    <row r="2" spans="5:9" ht="15.75">
      <c r="E2" s="127"/>
      <c r="F2" s="127"/>
      <c r="G2" s="127"/>
      <c r="H2" s="127"/>
      <c r="I2" s="127"/>
    </row>
    <row r="3" spans="1:9" ht="15.75">
      <c r="A3" s="459"/>
      <c r="B3" s="459"/>
      <c r="C3" s="459"/>
      <c r="D3" s="459"/>
      <c r="E3" s="459"/>
      <c r="F3" s="459"/>
      <c r="G3" s="459"/>
      <c r="H3" s="459"/>
      <c r="I3" s="459"/>
    </row>
    <row r="4" spans="1:9" s="11" customFormat="1" ht="15.75">
      <c r="A4" s="459" t="s">
        <v>4</v>
      </c>
      <c r="B4" s="459"/>
      <c r="C4" s="459"/>
      <c r="D4" s="459"/>
      <c r="E4" s="459"/>
      <c r="F4" s="459"/>
      <c r="G4" s="459"/>
      <c r="H4" s="459"/>
      <c r="I4" s="459"/>
    </row>
    <row r="5" spans="1:9" s="11" customFormat="1" ht="15.75">
      <c r="A5" s="459" t="s">
        <v>50</v>
      </c>
      <c r="B5" s="459"/>
      <c r="C5" s="459"/>
      <c r="D5" s="459"/>
      <c r="E5" s="459"/>
      <c r="F5" s="459"/>
      <c r="G5" s="459"/>
      <c r="H5" s="459"/>
      <c r="I5" s="459"/>
    </row>
    <row r="6" spans="1:9" ht="15.75">
      <c r="A6" s="459" t="s">
        <v>187</v>
      </c>
      <c r="B6" s="459"/>
      <c r="C6" s="459"/>
      <c r="D6" s="459"/>
      <c r="E6" s="459"/>
      <c r="F6" s="459"/>
      <c r="G6" s="459"/>
      <c r="H6" s="459"/>
      <c r="I6" s="459"/>
    </row>
    <row r="7" ht="15.75" hidden="1"/>
    <row r="8" spans="8:9" ht="16.5" thickBot="1">
      <c r="H8" s="90"/>
      <c r="I8" s="91" t="s">
        <v>5</v>
      </c>
    </row>
    <row r="9" spans="1:9" ht="15.75">
      <c r="A9" s="450" t="s">
        <v>24</v>
      </c>
      <c r="B9" s="451"/>
      <c r="C9" s="451"/>
      <c r="D9" s="451"/>
      <c r="E9" s="451"/>
      <c r="F9" s="452"/>
      <c r="G9" s="92" t="s">
        <v>22</v>
      </c>
      <c r="H9" s="92" t="s">
        <v>22</v>
      </c>
      <c r="I9" s="92" t="s">
        <v>23</v>
      </c>
    </row>
    <row r="10" spans="1:9" ht="15.75">
      <c r="A10" s="453"/>
      <c r="B10" s="454"/>
      <c r="C10" s="454"/>
      <c r="D10" s="454"/>
      <c r="E10" s="454"/>
      <c r="F10" s="455"/>
      <c r="G10" s="93" t="s">
        <v>11</v>
      </c>
      <c r="H10" s="94" t="s">
        <v>11</v>
      </c>
      <c r="I10" s="93"/>
    </row>
    <row r="11" spans="1:9" ht="16.5" thickBot="1">
      <c r="A11" s="456"/>
      <c r="B11" s="457"/>
      <c r="C11" s="457"/>
      <c r="D11" s="457"/>
      <c r="E11" s="457"/>
      <c r="F11" s="458"/>
      <c r="G11" s="95" t="s">
        <v>88</v>
      </c>
      <c r="H11" s="95" t="s">
        <v>187</v>
      </c>
      <c r="I11" s="95" t="s">
        <v>25</v>
      </c>
    </row>
    <row r="12" spans="1:9" ht="15.75">
      <c r="A12" s="22" t="s">
        <v>64</v>
      </c>
      <c r="B12" s="449" t="s">
        <v>109</v>
      </c>
      <c r="C12" s="449"/>
      <c r="D12" s="449"/>
      <c r="E12" s="449"/>
      <c r="F12" s="449"/>
      <c r="G12" s="129"/>
      <c r="H12" s="130"/>
      <c r="I12" s="129"/>
    </row>
    <row r="13" spans="1:9" ht="15.75">
      <c r="A13" s="22"/>
      <c r="B13" s="22" t="s">
        <v>64</v>
      </c>
      <c r="C13" s="22" t="s">
        <v>110</v>
      </c>
      <c r="D13" s="22"/>
      <c r="E13" s="22"/>
      <c r="F13" s="22"/>
      <c r="G13" s="62"/>
      <c r="H13" s="62"/>
      <c r="I13" s="22"/>
    </row>
    <row r="14" spans="1:9" ht="33" customHeight="1">
      <c r="A14" s="22"/>
      <c r="B14" s="22"/>
      <c r="C14" s="22" t="s">
        <v>56</v>
      </c>
      <c r="D14" s="449" t="s">
        <v>111</v>
      </c>
      <c r="E14" s="449"/>
      <c r="F14" s="449"/>
      <c r="G14" s="130"/>
      <c r="H14" s="130"/>
      <c r="I14" s="129"/>
    </row>
    <row r="15" spans="1:9" ht="33.75" customHeight="1">
      <c r="A15" s="22"/>
      <c r="B15" s="22"/>
      <c r="C15" s="22"/>
      <c r="D15" s="22" t="s">
        <v>56</v>
      </c>
      <c r="E15" s="449" t="s">
        <v>112</v>
      </c>
      <c r="F15" s="449"/>
      <c r="G15" s="130"/>
      <c r="H15" s="130"/>
      <c r="I15" s="129"/>
    </row>
    <row r="16" spans="1:9" ht="15.75">
      <c r="A16" s="25"/>
      <c r="B16" s="25"/>
      <c r="C16" s="25"/>
      <c r="D16" s="25"/>
      <c r="E16" s="25" t="s">
        <v>71</v>
      </c>
      <c r="F16" s="25" t="s">
        <v>65</v>
      </c>
      <c r="G16" s="61"/>
      <c r="H16" s="61"/>
      <c r="I16" s="131"/>
    </row>
    <row r="17" spans="1:9" ht="15.75">
      <c r="A17" s="25"/>
      <c r="B17" s="25"/>
      <c r="C17" s="25"/>
      <c r="D17" s="25"/>
      <c r="E17" s="25"/>
      <c r="F17" s="25" t="s">
        <v>113</v>
      </c>
      <c r="G17" s="61"/>
      <c r="I17" s="131"/>
    </row>
    <row r="18" spans="1:9" ht="31.5">
      <c r="A18" s="25"/>
      <c r="B18" s="25"/>
      <c r="C18" s="25"/>
      <c r="D18" s="25"/>
      <c r="E18" s="25" t="s">
        <v>72</v>
      </c>
      <c r="F18" s="132" t="s">
        <v>66</v>
      </c>
      <c r="G18" s="133"/>
      <c r="I18" s="131"/>
    </row>
    <row r="19" spans="1:9" ht="31.5">
      <c r="A19" s="25"/>
      <c r="B19" s="25"/>
      <c r="C19" s="25"/>
      <c r="D19" s="25"/>
      <c r="E19" s="25" t="s">
        <v>114</v>
      </c>
      <c r="F19" s="132" t="s">
        <v>115</v>
      </c>
      <c r="G19" s="61">
        <v>2540</v>
      </c>
      <c r="H19" s="10">
        <v>2553</v>
      </c>
      <c r="I19" s="131">
        <f>H19/G19*100</f>
        <v>100.51181102362206</v>
      </c>
    </row>
    <row r="20" spans="1:9" ht="15.75">
      <c r="A20" s="25"/>
      <c r="B20" s="25"/>
      <c r="C20" s="25"/>
      <c r="D20" s="25"/>
      <c r="E20" s="25"/>
      <c r="F20" s="25" t="s">
        <v>113</v>
      </c>
      <c r="G20" s="61"/>
      <c r="I20" s="131"/>
    </row>
    <row r="21" spans="1:9" ht="15.75">
      <c r="A21" s="25"/>
      <c r="B21" s="25"/>
      <c r="C21" s="25"/>
      <c r="D21" s="25"/>
      <c r="E21" s="25" t="s">
        <v>116</v>
      </c>
      <c r="F21" s="132" t="s">
        <v>117</v>
      </c>
      <c r="G21" s="61">
        <v>3002</v>
      </c>
      <c r="H21" s="10">
        <v>3392</v>
      </c>
      <c r="I21" s="131">
        <f aca="true" t="shared" si="0" ref="I21:I28">H21/G21*100</f>
        <v>112.99133910726182</v>
      </c>
    </row>
    <row r="22" spans="1:9" ht="15.75">
      <c r="A22" s="25"/>
      <c r="B22" s="25"/>
      <c r="C22" s="25"/>
      <c r="D22" s="25"/>
      <c r="E22" s="25"/>
      <c r="F22" s="25" t="s">
        <v>113</v>
      </c>
      <c r="G22" s="61"/>
      <c r="I22" s="131"/>
    </row>
    <row r="23" spans="1:9" ht="33" customHeight="1">
      <c r="A23" s="25"/>
      <c r="B23" s="25"/>
      <c r="C23" s="25"/>
      <c r="D23" s="25"/>
      <c r="E23" s="25" t="s">
        <v>118</v>
      </c>
      <c r="F23" s="132" t="s">
        <v>119</v>
      </c>
      <c r="G23" s="61">
        <v>372</v>
      </c>
      <c r="H23" s="10">
        <v>100</v>
      </c>
      <c r="I23" s="131">
        <f t="shared" si="0"/>
        <v>26.881720430107524</v>
      </c>
    </row>
    <row r="24" spans="1:9" ht="15.75">
      <c r="A24" s="25"/>
      <c r="B24" s="25"/>
      <c r="C24" s="25"/>
      <c r="D24" s="25"/>
      <c r="E24" s="25"/>
      <c r="F24" s="25" t="s">
        <v>113</v>
      </c>
      <c r="G24" s="61"/>
      <c r="I24" s="131"/>
    </row>
    <row r="25" spans="1:9" ht="15.75">
      <c r="A25" s="25"/>
      <c r="B25" s="25"/>
      <c r="C25" s="25"/>
      <c r="D25" s="25"/>
      <c r="E25" s="25" t="s">
        <v>120</v>
      </c>
      <c r="F25" s="132" t="s">
        <v>121</v>
      </c>
      <c r="G25" s="61">
        <v>7507</v>
      </c>
      <c r="H25" s="10">
        <v>7507</v>
      </c>
      <c r="I25" s="131">
        <f t="shared" si="0"/>
        <v>100</v>
      </c>
    </row>
    <row r="26" spans="1:9" s="71" customFormat="1" ht="15.75">
      <c r="A26" s="25"/>
      <c r="B26" s="25"/>
      <c r="C26" s="25"/>
      <c r="D26" s="25"/>
      <c r="E26" s="25"/>
      <c r="F26" s="25" t="s">
        <v>113</v>
      </c>
      <c r="G26" s="61"/>
      <c r="I26" s="131"/>
    </row>
    <row r="27" spans="1:9" ht="15.75">
      <c r="A27" s="25"/>
      <c r="B27" s="25"/>
      <c r="C27" s="25"/>
      <c r="D27" s="25" t="s">
        <v>73</v>
      </c>
      <c r="E27" s="25" t="s">
        <v>122</v>
      </c>
      <c r="F27" s="25"/>
      <c r="G27" s="61">
        <v>4000</v>
      </c>
      <c r="H27" s="10">
        <v>4000</v>
      </c>
      <c r="I27" s="131">
        <f t="shared" si="0"/>
        <v>100</v>
      </c>
    </row>
    <row r="28" spans="1:9" ht="15.75">
      <c r="A28" s="25"/>
      <c r="B28" s="25"/>
      <c r="C28" s="25"/>
      <c r="D28" s="25"/>
      <c r="E28" s="25"/>
      <c r="F28" s="25" t="s">
        <v>113</v>
      </c>
      <c r="G28" s="61">
        <v>-69</v>
      </c>
      <c r="H28" s="10">
        <v>-239</v>
      </c>
      <c r="I28" s="131">
        <f t="shared" si="0"/>
        <v>346.3768115942029</v>
      </c>
    </row>
    <row r="29" spans="1:9" ht="15.75">
      <c r="A29" s="25"/>
      <c r="B29" s="25"/>
      <c r="C29" s="25"/>
      <c r="D29" s="25" t="s">
        <v>74</v>
      </c>
      <c r="E29" s="25" t="s">
        <v>189</v>
      </c>
      <c r="F29" s="25"/>
      <c r="G29" s="61"/>
      <c r="H29" s="10">
        <v>20</v>
      </c>
      <c r="I29" s="131"/>
    </row>
    <row r="30" spans="1:9" ht="15.75">
      <c r="A30" s="25"/>
      <c r="B30" s="25"/>
      <c r="C30" s="25"/>
      <c r="D30" s="25" t="s">
        <v>190</v>
      </c>
      <c r="E30" s="25" t="s">
        <v>138</v>
      </c>
      <c r="F30" s="25"/>
      <c r="G30" s="61"/>
      <c r="H30" s="10">
        <v>682</v>
      </c>
      <c r="I30" s="131"/>
    </row>
    <row r="31" spans="1:9" ht="15.75">
      <c r="A31" s="25"/>
      <c r="B31" s="25"/>
      <c r="C31" s="25" t="s">
        <v>32</v>
      </c>
      <c r="D31" s="470" t="s">
        <v>124</v>
      </c>
      <c r="E31" s="470"/>
      <c r="F31" s="470"/>
      <c r="G31" s="61">
        <v>5</v>
      </c>
      <c r="H31" s="10">
        <v>6</v>
      </c>
      <c r="I31" s="131">
        <f>H31/G31*100</f>
        <v>120</v>
      </c>
    </row>
    <row r="32" spans="1:9" ht="15.75">
      <c r="A32" s="25"/>
      <c r="B32" s="25"/>
      <c r="C32" s="25" t="s">
        <v>136</v>
      </c>
      <c r="D32" s="25" t="s">
        <v>191</v>
      </c>
      <c r="E32" s="25"/>
      <c r="F32" s="25"/>
      <c r="G32" s="61"/>
      <c r="H32" s="10">
        <v>48</v>
      </c>
      <c r="I32" s="131"/>
    </row>
    <row r="33" spans="1:9" s="71" customFormat="1" ht="15.75">
      <c r="A33" s="25"/>
      <c r="B33" s="25"/>
      <c r="C33" s="25"/>
      <c r="D33" s="25" t="s">
        <v>32</v>
      </c>
      <c r="E33" s="25" t="s">
        <v>123</v>
      </c>
      <c r="F33" s="25"/>
      <c r="G33" s="61">
        <v>842</v>
      </c>
      <c r="I33" s="131"/>
    </row>
    <row r="34" spans="1:9" ht="15.75">
      <c r="A34" s="25"/>
      <c r="B34" s="25"/>
      <c r="C34" s="25"/>
      <c r="D34" s="25"/>
      <c r="E34" s="25"/>
      <c r="F34" s="25" t="s">
        <v>113</v>
      </c>
      <c r="G34" s="61">
        <v>-421</v>
      </c>
      <c r="I34" s="131"/>
    </row>
    <row r="35" spans="1:9" ht="15.75">
      <c r="A35" s="25"/>
      <c r="B35" s="25"/>
      <c r="C35" s="25"/>
      <c r="D35" s="25"/>
      <c r="E35" s="25"/>
      <c r="F35" s="25"/>
      <c r="G35" s="61"/>
      <c r="I35" s="131"/>
    </row>
    <row r="36" spans="1:9" ht="31.5" customHeight="1">
      <c r="A36" s="135"/>
      <c r="B36" s="135"/>
      <c r="C36" s="136"/>
      <c r="D36" s="460" t="s">
        <v>125</v>
      </c>
      <c r="E36" s="460"/>
      <c r="F36" s="460"/>
      <c r="G36" s="137">
        <f>SUM(G16:G35)</f>
        <v>17778</v>
      </c>
      <c r="H36" s="137">
        <f>SUM(H16:H35)</f>
        <v>18069</v>
      </c>
      <c r="I36" s="159">
        <f>H36/G36*100</f>
        <v>101.63685453931825</v>
      </c>
    </row>
    <row r="37" spans="1:9" s="71" customFormat="1" ht="15.75">
      <c r="A37" s="22"/>
      <c r="B37" s="22"/>
      <c r="C37" s="22"/>
      <c r="D37" s="128"/>
      <c r="E37" s="128"/>
      <c r="F37" s="128"/>
      <c r="G37" s="130"/>
      <c r="I37" s="131"/>
    </row>
    <row r="38" spans="1:9" ht="15.75">
      <c r="A38" s="25"/>
      <c r="B38" s="25"/>
      <c r="C38" s="22" t="s">
        <v>57</v>
      </c>
      <c r="D38" s="449" t="s">
        <v>126</v>
      </c>
      <c r="E38" s="449"/>
      <c r="F38" s="449"/>
      <c r="G38" s="130"/>
      <c r="I38" s="131"/>
    </row>
    <row r="39" spans="1:9" ht="15.75">
      <c r="A39" s="25"/>
      <c r="B39" s="25"/>
      <c r="C39" s="25"/>
      <c r="D39" s="25" t="s">
        <v>56</v>
      </c>
      <c r="E39" s="25" t="s">
        <v>192</v>
      </c>
      <c r="F39" s="25"/>
      <c r="G39" s="61">
        <v>782</v>
      </c>
      <c r="H39" s="10">
        <v>327</v>
      </c>
      <c r="I39" s="131">
        <f>H39/G39*100</f>
        <v>41.81585677749361</v>
      </c>
    </row>
    <row r="40" spans="1:9" ht="30.75" customHeight="1">
      <c r="A40" s="25"/>
      <c r="B40" s="25"/>
      <c r="C40" s="25"/>
      <c r="D40" s="25" t="s">
        <v>32</v>
      </c>
      <c r="E40" s="470" t="s">
        <v>193</v>
      </c>
      <c r="F40" s="470"/>
      <c r="G40" s="61"/>
      <c r="H40" s="10">
        <v>1990</v>
      </c>
      <c r="I40" s="131"/>
    </row>
    <row r="41" spans="1:9" ht="15.75">
      <c r="A41" s="25"/>
      <c r="B41" s="25"/>
      <c r="C41" s="25"/>
      <c r="D41" s="25" t="s">
        <v>57</v>
      </c>
      <c r="E41" s="25" t="s">
        <v>127</v>
      </c>
      <c r="F41" s="25"/>
      <c r="G41" s="61">
        <f>280+830</f>
        <v>1110</v>
      </c>
      <c r="H41" s="10">
        <v>1052</v>
      </c>
      <c r="I41" s="131">
        <f>H41/G41*100</f>
        <v>94.77477477477477</v>
      </c>
    </row>
    <row r="42" spans="1:9" ht="15.75">
      <c r="A42" s="25"/>
      <c r="B42" s="25"/>
      <c r="C42" s="25"/>
      <c r="D42" s="25" t="s">
        <v>128</v>
      </c>
      <c r="E42" s="25" t="s">
        <v>129</v>
      </c>
      <c r="F42" s="25"/>
      <c r="G42" s="61">
        <v>709</v>
      </c>
      <c r="I42" s="131"/>
    </row>
    <row r="43" spans="1:9" ht="15.75">
      <c r="A43" s="25"/>
      <c r="B43" s="25"/>
      <c r="C43" s="25"/>
      <c r="D43" s="25" t="s">
        <v>130</v>
      </c>
      <c r="E43" s="25" t="s">
        <v>131</v>
      </c>
      <c r="F43" s="25"/>
      <c r="G43" s="61">
        <v>2605</v>
      </c>
      <c r="H43" s="10">
        <v>3128</v>
      </c>
      <c r="I43" s="131">
        <f>H43/G43*100</f>
        <v>120.07677543186182</v>
      </c>
    </row>
    <row r="44" spans="1:9" ht="15.75">
      <c r="A44" s="25"/>
      <c r="B44" s="25"/>
      <c r="C44" s="25"/>
      <c r="D44" s="25"/>
      <c r="E44" s="25"/>
      <c r="F44" s="25"/>
      <c r="G44" s="61"/>
      <c r="I44" s="131"/>
    </row>
    <row r="45" spans="1:9" ht="33.75" customHeight="1" thickBot="1">
      <c r="A45" s="135"/>
      <c r="B45" s="135"/>
      <c r="C45" s="460" t="s">
        <v>132</v>
      </c>
      <c r="D45" s="460"/>
      <c r="E45" s="460"/>
      <c r="F45" s="460"/>
      <c r="G45" s="138">
        <f>SUM(G39:G44)</f>
        <v>5206</v>
      </c>
      <c r="H45" s="138">
        <f>SUM(H39:H44)</f>
        <v>6497</v>
      </c>
      <c r="I45" s="159">
        <f>H45/G45*100</f>
        <v>124.79830964271994</v>
      </c>
    </row>
    <row r="46" spans="1:9" ht="15.75">
      <c r="A46" s="461" t="s">
        <v>24</v>
      </c>
      <c r="B46" s="462"/>
      <c r="C46" s="462"/>
      <c r="D46" s="462"/>
      <c r="E46" s="462"/>
      <c r="F46" s="463"/>
      <c r="G46" s="92" t="s">
        <v>22</v>
      </c>
      <c r="H46" s="92" t="s">
        <v>22</v>
      </c>
      <c r="I46" s="92" t="s">
        <v>23</v>
      </c>
    </row>
    <row r="47" spans="1:9" ht="15.75">
      <c r="A47" s="464"/>
      <c r="B47" s="465"/>
      <c r="C47" s="465"/>
      <c r="D47" s="465"/>
      <c r="E47" s="465"/>
      <c r="F47" s="466"/>
      <c r="G47" s="93" t="s">
        <v>11</v>
      </c>
      <c r="H47" s="94" t="s">
        <v>11</v>
      </c>
      <c r="I47" s="93"/>
    </row>
    <row r="48" spans="1:9" ht="16.5" thickBot="1">
      <c r="A48" s="467"/>
      <c r="B48" s="468"/>
      <c r="C48" s="468"/>
      <c r="D48" s="468"/>
      <c r="E48" s="468"/>
      <c r="F48" s="469"/>
      <c r="G48" s="95" t="s">
        <v>88</v>
      </c>
      <c r="H48" s="95" t="s">
        <v>187</v>
      </c>
      <c r="I48" s="95" t="s">
        <v>25</v>
      </c>
    </row>
    <row r="49" spans="1:9" ht="12" customHeight="1">
      <c r="A49" s="25"/>
      <c r="B49" s="25"/>
      <c r="C49" s="25"/>
      <c r="D49" s="25"/>
      <c r="E49" s="25"/>
      <c r="F49" s="25"/>
      <c r="G49" s="61"/>
      <c r="H49" s="61"/>
      <c r="I49" s="131"/>
    </row>
    <row r="50" spans="1:9" ht="31.5" customHeight="1">
      <c r="A50" s="25"/>
      <c r="B50" s="25"/>
      <c r="C50" s="22" t="s">
        <v>128</v>
      </c>
      <c r="D50" s="449" t="s">
        <v>133</v>
      </c>
      <c r="E50" s="449"/>
      <c r="F50" s="449"/>
      <c r="G50" s="130"/>
      <c r="H50" s="130"/>
      <c r="I50" s="129"/>
    </row>
    <row r="51" spans="1:9" ht="15.75">
      <c r="A51" s="25"/>
      <c r="B51" s="25"/>
      <c r="C51" s="25"/>
      <c r="D51" s="25" t="s">
        <v>56</v>
      </c>
      <c r="E51" s="470" t="s">
        <v>69</v>
      </c>
      <c r="F51" s="470"/>
      <c r="G51" s="133"/>
      <c r="H51" s="133"/>
      <c r="I51" s="132"/>
    </row>
    <row r="52" spans="1:9" ht="31.5">
      <c r="A52" s="25"/>
      <c r="B52" s="25"/>
      <c r="C52" s="25"/>
      <c r="D52" s="25"/>
      <c r="E52" s="25" t="s">
        <v>74</v>
      </c>
      <c r="F52" s="132" t="s">
        <v>134</v>
      </c>
      <c r="G52" s="61">
        <v>808</v>
      </c>
      <c r="H52" s="133">
        <v>1200</v>
      </c>
      <c r="I52" s="131">
        <f>H52/G52*100</f>
        <v>148.5148514851485</v>
      </c>
    </row>
    <row r="53" spans="1:9" ht="12" customHeight="1">
      <c r="A53" s="25"/>
      <c r="B53" s="25"/>
      <c r="C53" s="25"/>
      <c r="D53" s="25"/>
      <c r="E53" s="25"/>
      <c r="F53" s="25"/>
      <c r="G53" s="61"/>
      <c r="H53" s="61"/>
      <c r="I53" s="131"/>
    </row>
    <row r="54" spans="1:9" ht="15.75">
      <c r="A54" s="135"/>
      <c r="B54" s="135"/>
      <c r="C54" s="471" t="s">
        <v>135</v>
      </c>
      <c r="D54" s="471"/>
      <c r="E54" s="471"/>
      <c r="F54" s="471"/>
      <c r="G54" s="138">
        <f>SUM(G52:G53)</f>
        <v>808</v>
      </c>
      <c r="H54" s="138">
        <f>SUM(H52:H53)</f>
        <v>1200</v>
      </c>
      <c r="I54" s="159">
        <f>H54/G54*100</f>
        <v>148.5148514851485</v>
      </c>
    </row>
    <row r="55" spans="1:9" ht="12" customHeight="1">
      <c r="A55" s="25"/>
      <c r="B55" s="25"/>
      <c r="C55" s="25"/>
      <c r="D55" s="25"/>
      <c r="E55" s="25"/>
      <c r="F55" s="25"/>
      <c r="G55" s="61"/>
      <c r="H55" s="61"/>
      <c r="I55" s="131"/>
    </row>
    <row r="56" spans="1:9" ht="15.75">
      <c r="A56" s="141"/>
      <c r="B56" s="141"/>
      <c r="C56" s="145" t="s">
        <v>136</v>
      </c>
      <c r="D56" s="22" t="s">
        <v>137</v>
      </c>
      <c r="E56" s="141"/>
      <c r="F56" s="141"/>
      <c r="G56" s="146"/>
      <c r="H56" s="146"/>
      <c r="I56" s="131"/>
    </row>
    <row r="57" spans="1:9" ht="15.75">
      <c r="A57" s="141"/>
      <c r="B57" s="141"/>
      <c r="C57" s="141"/>
      <c r="D57" s="141" t="s">
        <v>56</v>
      </c>
      <c r="E57" s="441" t="s">
        <v>138</v>
      </c>
      <c r="F57" s="441"/>
      <c r="G57" s="146">
        <v>280</v>
      </c>
      <c r="H57" s="146"/>
      <c r="I57" s="131"/>
    </row>
    <row r="58" spans="1:9" ht="15.75">
      <c r="A58" s="141"/>
      <c r="B58" s="141"/>
      <c r="C58" s="10"/>
      <c r="D58" s="141" t="s">
        <v>32</v>
      </c>
      <c r="E58" s="147" t="s">
        <v>139</v>
      </c>
      <c r="F58" s="141"/>
      <c r="G58" s="146">
        <v>21</v>
      </c>
      <c r="H58" s="146"/>
      <c r="I58" s="131"/>
    </row>
    <row r="59" spans="1:9" ht="12" customHeight="1">
      <c r="A59" s="25"/>
      <c r="B59" s="25"/>
      <c r="C59" s="25"/>
      <c r="D59" s="25"/>
      <c r="E59" s="25"/>
      <c r="F59" s="25"/>
      <c r="G59" s="61"/>
      <c r="H59" s="61"/>
      <c r="I59" s="131"/>
    </row>
    <row r="60" spans="1:9" ht="15.75">
      <c r="A60" s="25"/>
      <c r="B60" s="25"/>
      <c r="C60" s="135" t="s">
        <v>188</v>
      </c>
      <c r="D60" s="25"/>
      <c r="E60" s="25"/>
      <c r="F60" s="25"/>
      <c r="G60" s="138">
        <f>SUM(G57:G59)</f>
        <v>301</v>
      </c>
      <c r="H60" s="138"/>
      <c r="I60" s="131"/>
    </row>
    <row r="61" spans="1:9" ht="12" customHeight="1">
      <c r="A61" s="25"/>
      <c r="B61" s="25"/>
      <c r="C61" s="22"/>
      <c r="D61" s="25"/>
      <c r="E61" s="25"/>
      <c r="F61" s="25"/>
      <c r="G61" s="61"/>
      <c r="H61" s="61"/>
      <c r="I61" s="131"/>
    </row>
    <row r="62" spans="1:9" ht="15.75">
      <c r="A62" s="141"/>
      <c r="B62" s="449" t="s">
        <v>140</v>
      </c>
      <c r="C62" s="449"/>
      <c r="D62" s="449"/>
      <c r="E62" s="449"/>
      <c r="F62" s="449"/>
      <c r="G62" s="148">
        <f>G36+G45+G54+G60</f>
        <v>24093</v>
      </c>
      <c r="H62" s="148">
        <f>H36+H45+H54+H60</f>
        <v>25766</v>
      </c>
      <c r="I62" s="149">
        <f>H62/G62*100</f>
        <v>106.94392562154982</v>
      </c>
    </row>
    <row r="63" spans="1:9" ht="12" customHeight="1">
      <c r="A63" s="25"/>
      <c r="B63" s="25"/>
      <c r="C63" s="25"/>
      <c r="D63" s="25"/>
      <c r="E63" s="25"/>
      <c r="F63" s="25"/>
      <c r="G63" s="61"/>
      <c r="H63" s="61"/>
      <c r="I63" s="131"/>
    </row>
    <row r="64" spans="1:9" ht="15.75">
      <c r="A64" s="141"/>
      <c r="B64" s="22" t="s">
        <v>67</v>
      </c>
      <c r="C64" s="449" t="s">
        <v>141</v>
      </c>
      <c r="D64" s="449"/>
      <c r="E64" s="449"/>
      <c r="F64" s="449"/>
      <c r="G64" s="129"/>
      <c r="H64" s="130"/>
      <c r="I64" s="131"/>
    </row>
    <row r="65" spans="1:9" ht="31.5" customHeight="1">
      <c r="A65" s="141"/>
      <c r="B65" s="141"/>
      <c r="C65" s="10" t="s">
        <v>56</v>
      </c>
      <c r="D65" s="442" t="s">
        <v>107</v>
      </c>
      <c r="E65" s="442"/>
      <c r="F65" s="442"/>
      <c r="G65" s="146">
        <v>7433</v>
      </c>
      <c r="H65" s="146"/>
      <c r="I65" s="131"/>
    </row>
    <row r="66" spans="1:9" ht="15.75">
      <c r="A66" s="25"/>
      <c r="B66" s="25"/>
      <c r="C66" s="25" t="s">
        <v>32</v>
      </c>
      <c r="D66" s="25" t="s">
        <v>142</v>
      </c>
      <c r="E66" s="25"/>
      <c r="F66" s="25"/>
      <c r="G66" s="146">
        <v>437</v>
      </c>
      <c r="H66" s="61"/>
      <c r="I66" s="131"/>
    </row>
    <row r="67" spans="1:9" ht="30" customHeight="1">
      <c r="A67" s="25"/>
      <c r="B67" s="25"/>
      <c r="C67" s="25" t="s">
        <v>57</v>
      </c>
      <c r="D67" s="442" t="s">
        <v>442</v>
      </c>
      <c r="E67" s="442"/>
      <c r="F67" s="442"/>
      <c r="G67" s="146"/>
      <c r="H67" s="61">
        <v>46</v>
      </c>
      <c r="I67" s="131"/>
    </row>
    <row r="68" spans="1:9" ht="12" customHeight="1">
      <c r="A68" s="25"/>
      <c r="B68" s="25"/>
      <c r="C68" s="25"/>
      <c r="D68" s="25"/>
      <c r="E68" s="25"/>
      <c r="F68" s="25"/>
      <c r="G68" s="61"/>
      <c r="H68" s="61"/>
      <c r="I68" s="131"/>
    </row>
    <row r="69" spans="1:9" ht="15.75" customHeight="1">
      <c r="A69" s="141"/>
      <c r="B69" s="449" t="s">
        <v>143</v>
      </c>
      <c r="C69" s="449"/>
      <c r="D69" s="449"/>
      <c r="E69" s="449"/>
      <c r="F69" s="449"/>
      <c r="G69" s="148">
        <f>SUM(G65:G68)</f>
        <v>7870</v>
      </c>
      <c r="H69" s="148">
        <f>SUM(H65:H68)</f>
        <v>46</v>
      </c>
      <c r="I69" s="149"/>
    </row>
    <row r="70" spans="1:9" ht="12" customHeight="1">
      <c r="A70" s="25"/>
      <c r="B70" s="25"/>
      <c r="C70" s="25"/>
      <c r="D70" s="25"/>
      <c r="E70" s="25"/>
      <c r="F70" s="25"/>
      <c r="G70" s="61"/>
      <c r="H70" s="61"/>
      <c r="I70" s="131"/>
    </row>
    <row r="71" spans="1:9" ht="36" customHeight="1">
      <c r="A71" s="449" t="s">
        <v>144</v>
      </c>
      <c r="B71" s="449"/>
      <c r="C71" s="449"/>
      <c r="D71" s="449"/>
      <c r="E71" s="449"/>
      <c r="F71" s="449"/>
      <c r="G71" s="150">
        <f>G69+G62</f>
        <v>31963</v>
      </c>
      <c r="H71" s="150">
        <f>H69+H62</f>
        <v>25812</v>
      </c>
      <c r="I71" s="131">
        <f>H71/G71*100</f>
        <v>80.75587397928855</v>
      </c>
    </row>
    <row r="72" spans="1:9" ht="12" customHeight="1">
      <c r="A72" s="25"/>
      <c r="B72" s="25"/>
      <c r="C72" s="25"/>
      <c r="D72" s="25"/>
      <c r="E72" s="25"/>
      <c r="F72" s="25"/>
      <c r="G72" s="61"/>
      <c r="H72" s="61"/>
      <c r="I72" s="131"/>
    </row>
    <row r="73" spans="1:9" s="97" customFormat="1" ht="15.75" customHeight="1">
      <c r="A73" s="22" t="s">
        <v>67</v>
      </c>
      <c r="B73" s="449" t="s">
        <v>145</v>
      </c>
      <c r="C73" s="449"/>
      <c r="D73" s="449"/>
      <c r="E73" s="449"/>
      <c r="F73" s="449"/>
      <c r="G73" s="129"/>
      <c r="H73" s="130"/>
      <c r="I73" s="131"/>
    </row>
    <row r="74" spans="1:9" ht="12" customHeight="1">
      <c r="A74" s="25"/>
      <c r="B74" s="25"/>
      <c r="C74" s="25"/>
      <c r="D74" s="25"/>
      <c r="E74" s="25"/>
      <c r="F74" s="25"/>
      <c r="G74" s="61"/>
      <c r="H74" s="61"/>
      <c r="I74" s="131"/>
    </row>
    <row r="75" spans="1:9" s="97" customFormat="1" ht="27.75" customHeight="1">
      <c r="A75" s="25"/>
      <c r="B75" s="22" t="s">
        <v>56</v>
      </c>
      <c r="C75" s="449" t="s">
        <v>146</v>
      </c>
      <c r="D75" s="449"/>
      <c r="E75" s="449"/>
      <c r="F75" s="449"/>
      <c r="G75" s="129"/>
      <c r="H75" s="130"/>
      <c r="I75" s="131"/>
    </row>
    <row r="76" spans="3:9" ht="35.25" customHeight="1">
      <c r="C76" s="85" t="s">
        <v>56</v>
      </c>
      <c r="D76" s="442" t="s">
        <v>106</v>
      </c>
      <c r="E76" s="442"/>
      <c r="F76" s="442"/>
      <c r="G76" s="151">
        <v>4390</v>
      </c>
      <c r="H76" s="151"/>
      <c r="I76" s="13"/>
    </row>
    <row r="77" spans="3:9" ht="35.25" customHeight="1">
      <c r="C77" s="85" t="s">
        <v>32</v>
      </c>
      <c r="D77" s="442" t="s">
        <v>194</v>
      </c>
      <c r="E77" s="442"/>
      <c r="F77" s="442"/>
      <c r="G77" s="151"/>
      <c r="H77" s="151">
        <v>9743</v>
      </c>
      <c r="I77" s="13"/>
    </row>
    <row r="78" spans="1:9" ht="12" customHeight="1">
      <c r="A78" s="25"/>
      <c r="B78" s="25"/>
      <c r="C78" s="25"/>
      <c r="D78" s="25"/>
      <c r="E78" s="25"/>
      <c r="F78" s="25"/>
      <c r="G78" s="61"/>
      <c r="H78" s="61"/>
      <c r="I78" s="131"/>
    </row>
    <row r="79" spans="1:9" ht="15.75">
      <c r="A79" s="141"/>
      <c r="B79" s="449" t="s">
        <v>147</v>
      </c>
      <c r="C79" s="449"/>
      <c r="D79" s="449"/>
      <c r="E79" s="449"/>
      <c r="F79" s="449"/>
      <c r="G79" s="152">
        <f>SUM(G76:G78)</f>
        <v>4390</v>
      </c>
      <c r="H79" s="152">
        <f>SUM(H76:H78)</f>
        <v>9743</v>
      </c>
      <c r="I79" s="131">
        <f>H79/G79*100</f>
        <v>221.9362186788155</v>
      </c>
    </row>
    <row r="80" spans="1:9" ht="12" customHeight="1">
      <c r="A80" s="25"/>
      <c r="B80" s="25"/>
      <c r="C80" s="25"/>
      <c r="D80" s="25"/>
      <c r="E80" s="25"/>
      <c r="F80" s="25"/>
      <c r="G80" s="61"/>
      <c r="H80" s="61"/>
      <c r="I80" s="131"/>
    </row>
    <row r="81" spans="1:9" ht="34.5" customHeight="1">
      <c r="A81" s="449" t="s">
        <v>148</v>
      </c>
      <c r="B81" s="449"/>
      <c r="C81" s="449"/>
      <c r="D81" s="449"/>
      <c r="E81" s="449"/>
      <c r="F81" s="449"/>
      <c r="G81" s="148">
        <f>G79</f>
        <v>4390</v>
      </c>
      <c r="H81" s="148">
        <f>H79</f>
        <v>9743</v>
      </c>
      <c r="I81" s="149">
        <f>H81/G81*100</f>
        <v>221.9362186788155</v>
      </c>
    </row>
    <row r="82" spans="1:9" ht="12" customHeight="1">
      <c r="A82" s="25"/>
      <c r="B82" s="25"/>
      <c r="C82" s="25"/>
      <c r="D82" s="25"/>
      <c r="E82" s="25"/>
      <c r="F82" s="25"/>
      <c r="G82" s="61"/>
      <c r="H82" s="61"/>
      <c r="I82" s="131"/>
    </row>
    <row r="83" spans="1:9" ht="15.75">
      <c r="A83" s="22" t="s">
        <v>68</v>
      </c>
      <c r="B83" s="22" t="s">
        <v>149</v>
      </c>
      <c r="C83" s="22"/>
      <c r="D83" s="22"/>
      <c r="E83" s="22"/>
      <c r="F83" s="22"/>
      <c r="G83" s="22"/>
      <c r="H83" s="62"/>
      <c r="I83" s="131"/>
    </row>
    <row r="84" spans="1:9" ht="12" customHeight="1">
      <c r="A84" s="25"/>
      <c r="B84" s="25"/>
      <c r="C84" s="25"/>
      <c r="D84" s="25"/>
      <c r="E84" s="25"/>
      <c r="F84" s="25"/>
      <c r="G84" s="61"/>
      <c r="H84" s="61"/>
      <c r="I84" s="131"/>
    </row>
    <row r="85" spans="1:9" ht="15.75">
      <c r="A85" s="25"/>
      <c r="B85" s="25" t="s">
        <v>56</v>
      </c>
      <c r="C85" s="25" t="s">
        <v>150</v>
      </c>
      <c r="D85" s="25"/>
      <c r="E85" s="25"/>
      <c r="F85" s="25"/>
      <c r="G85" s="25"/>
      <c r="H85" s="61"/>
      <c r="I85" s="131"/>
    </row>
    <row r="86" spans="1:9" ht="15.75">
      <c r="A86" s="25"/>
      <c r="B86" s="25"/>
      <c r="C86" s="25" t="s">
        <v>56</v>
      </c>
      <c r="D86" s="25" t="s">
        <v>151</v>
      </c>
      <c r="E86" s="25"/>
      <c r="F86" s="25"/>
      <c r="G86" s="146">
        <v>1600</v>
      </c>
      <c r="H86" s="61">
        <v>1500</v>
      </c>
      <c r="I86" s="131">
        <f>H86/G86*100</f>
        <v>93.75</v>
      </c>
    </row>
    <row r="87" spans="1:9" ht="15.75">
      <c r="A87" s="22"/>
      <c r="B87" s="22" t="s">
        <v>32</v>
      </c>
      <c r="C87" s="22" t="s">
        <v>152</v>
      </c>
      <c r="D87" s="22"/>
      <c r="E87" s="22"/>
      <c r="F87" s="22"/>
      <c r="G87" s="22"/>
      <c r="H87" s="62"/>
      <c r="I87" s="131"/>
    </row>
    <row r="88" spans="1:9" s="11" customFormat="1" ht="15.75">
      <c r="A88" s="25"/>
      <c r="B88" s="25"/>
      <c r="C88" s="25" t="s">
        <v>56</v>
      </c>
      <c r="D88" s="25" t="s">
        <v>153</v>
      </c>
      <c r="E88" s="25"/>
      <c r="F88" s="25"/>
      <c r="G88" s="146">
        <v>4500</v>
      </c>
      <c r="H88" s="61">
        <v>3900</v>
      </c>
      <c r="I88" s="131">
        <f>H88/G88*100</f>
        <v>86.66666666666667</v>
      </c>
    </row>
    <row r="89" spans="1:9" ht="15.75">
      <c r="A89" s="22"/>
      <c r="B89" s="22" t="s">
        <v>57</v>
      </c>
      <c r="C89" s="22" t="s">
        <v>154</v>
      </c>
      <c r="D89" s="22"/>
      <c r="E89" s="22"/>
      <c r="F89" s="22"/>
      <c r="G89" s="146"/>
      <c r="H89" s="62"/>
      <c r="I89" s="131"/>
    </row>
    <row r="90" spans="1:9" ht="15.75">
      <c r="A90" s="25"/>
      <c r="B90" s="25"/>
      <c r="C90" s="25" t="s">
        <v>56</v>
      </c>
      <c r="D90" s="25" t="s">
        <v>155</v>
      </c>
      <c r="E90" s="25"/>
      <c r="F90" s="25"/>
      <c r="G90" s="146">
        <v>1760</v>
      </c>
      <c r="H90" s="61">
        <v>1913</v>
      </c>
      <c r="I90" s="131">
        <f>H90/G90*100</f>
        <v>108.69318181818181</v>
      </c>
    </row>
    <row r="91" spans="1:9" ht="15.75">
      <c r="A91" s="25"/>
      <c r="B91" s="22" t="s">
        <v>128</v>
      </c>
      <c r="C91" s="22" t="s">
        <v>156</v>
      </c>
      <c r="D91" s="25"/>
      <c r="E91" s="25"/>
      <c r="F91" s="25"/>
      <c r="G91" s="146"/>
      <c r="H91" s="61"/>
      <c r="I91" s="131"/>
    </row>
    <row r="92" spans="1:9" ht="15.75">
      <c r="A92" s="25"/>
      <c r="B92" s="25"/>
      <c r="C92" s="25" t="s">
        <v>56</v>
      </c>
      <c r="D92" s="25" t="s">
        <v>157</v>
      </c>
      <c r="E92" s="25"/>
      <c r="F92" s="25"/>
      <c r="G92" s="146">
        <v>400</v>
      </c>
      <c r="H92" s="61">
        <v>140</v>
      </c>
      <c r="I92" s="131">
        <f>H92/G92*100</f>
        <v>35</v>
      </c>
    </row>
    <row r="93" spans="1:9" ht="16.5" thickBot="1">
      <c r="A93" s="25"/>
      <c r="B93" s="25"/>
      <c r="C93" s="25"/>
      <c r="D93" s="25"/>
      <c r="E93" s="25"/>
      <c r="F93" s="25"/>
      <c r="G93" s="146"/>
      <c r="H93" s="61"/>
      <c r="I93" s="131"/>
    </row>
    <row r="94" spans="1:9" ht="15.75" customHeight="1">
      <c r="A94" s="461" t="s">
        <v>24</v>
      </c>
      <c r="B94" s="462"/>
      <c r="C94" s="462"/>
      <c r="D94" s="462"/>
      <c r="E94" s="462"/>
      <c r="F94" s="463"/>
      <c r="G94" s="139" t="s">
        <v>22</v>
      </c>
      <c r="H94" s="139" t="s">
        <v>22</v>
      </c>
      <c r="I94" s="140" t="s">
        <v>23</v>
      </c>
    </row>
    <row r="95" spans="1:9" ht="15.75">
      <c r="A95" s="464"/>
      <c r="B95" s="465"/>
      <c r="C95" s="465"/>
      <c r="D95" s="465"/>
      <c r="E95" s="465"/>
      <c r="F95" s="466"/>
      <c r="G95" s="142" t="s">
        <v>11</v>
      </c>
      <c r="H95" s="142" t="s">
        <v>11</v>
      </c>
      <c r="I95" s="93"/>
    </row>
    <row r="96" spans="1:9" s="97" customFormat="1" ht="15.75" customHeight="1" thickBot="1">
      <c r="A96" s="467"/>
      <c r="B96" s="468"/>
      <c r="C96" s="468"/>
      <c r="D96" s="468"/>
      <c r="E96" s="468"/>
      <c r="F96" s="469"/>
      <c r="G96" s="143" t="s">
        <v>88</v>
      </c>
      <c r="H96" s="143" t="s">
        <v>278</v>
      </c>
      <c r="I96" s="95" t="s">
        <v>25</v>
      </c>
    </row>
    <row r="97" spans="1:9" ht="15.75">
      <c r="A97" s="25"/>
      <c r="B97" s="25"/>
      <c r="C97" s="22" t="s">
        <v>32</v>
      </c>
      <c r="D97" s="25" t="s">
        <v>105</v>
      </c>
      <c r="E97" s="25"/>
      <c r="F97" s="25"/>
      <c r="G97" s="146">
        <v>357</v>
      </c>
      <c r="H97" s="61">
        <v>280</v>
      </c>
      <c r="I97" s="131">
        <f>H97/G97*100</f>
        <v>78.43137254901961</v>
      </c>
    </row>
    <row r="98" spans="1:9" ht="15.75">
      <c r="A98" s="22"/>
      <c r="B98" s="22" t="s">
        <v>130</v>
      </c>
      <c r="C98" s="22" t="s">
        <v>158</v>
      </c>
      <c r="D98" s="22"/>
      <c r="E98" s="22"/>
      <c r="F98" s="22"/>
      <c r="G98" s="146"/>
      <c r="H98" s="62"/>
      <c r="I98" s="131"/>
    </row>
    <row r="99" spans="1:9" ht="15.75">
      <c r="A99" s="25"/>
      <c r="B99" s="25"/>
      <c r="C99" s="22" t="s">
        <v>56</v>
      </c>
      <c r="D99" s="25" t="s">
        <v>159</v>
      </c>
      <c r="E99" s="25"/>
      <c r="F99" s="25"/>
      <c r="G99" s="146">
        <v>30</v>
      </c>
      <c r="H99" s="61">
        <v>5</v>
      </c>
      <c r="I99" s="131">
        <f>H99/G99*100</f>
        <v>16.666666666666664</v>
      </c>
    </row>
    <row r="100" spans="1:9" ht="15.75" customHeight="1">
      <c r="A100" s="141"/>
      <c r="B100" s="141"/>
      <c r="C100" s="141" t="s">
        <v>57</v>
      </c>
      <c r="D100" s="147" t="s">
        <v>158</v>
      </c>
      <c r="E100" s="141"/>
      <c r="F100" s="141"/>
      <c r="G100" s="146">
        <v>30</v>
      </c>
      <c r="H100" s="146"/>
      <c r="I100" s="131"/>
    </row>
    <row r="101" spans="1:9" ht="15.75">
      <c r="A101" s="25"/>
      <c r="B101" s="25"/>
      <c r="C101" s="22" t="s">
        <v>128</v>
      </c>
      <c r="D101" s="25" t="s">
        <v>160</v>
      </c>
      <c r="E101" s="25"/>
      <c r="F101" s="25"/>
      <c r="G101" s="146">
        <v>120</v>
      </c>
      <c r="H101" s="61">
        <v>75</v>
      </c>
      <c r="I101" s="131">
        <f>H101/G101*100</f>
        <v>62.5</v>
      </c>
    </row>
    <row r="102" spans="1:9" ht="9" customHeight="1">
      <c r="A102" s="141"/>
      <c r="B102" s="141"/>
      <c r="C102" s="141"/>
      <c r="D102" s="141"/>
      <c r="E102" s="141"/>
      <c r="F102" s="141"/>
      <c r="G102" s="146"/>
      <c r="H102" s="146"/>
      <c r="I102" s="131"/>
    </row>
    <row r="103" spans="1:9" s="11" customFormat="1" ht="15.75">
      <c r="A103" s="22" t="s">
        <v>89</v>
      </c>
      <c r="B103" s="141"/>
      <c r="C103" s="141"/>
      <c r="D103" s="141"/>
      <c r="E103" s="141"/>
      <c r="F103" s="141"/>
      <c r="G103" s="148">
        <f>G86+G88+G90+G92+G97+G99+G100+G101</f>
        <v>8797</v>
      </c>
      <c r="H103" s="148">
        <f>H86+H88+H90+H92+H97+H99+H100+H101</f>
        <v>7813</v>
      </c>
      <c r="I103" s="149">
        <f>H103/G103*100</f>
        <v>88.81436853472775</v>
      </c>
    </row>
    <row r="104" spans="1:9" ht="9" customHeight="1">
      <c r="A104" s="141"/>
      <c r="B104" s="141"/>
      <c r="C104" s="141"/>
      <c r="D104" s="141"/>
      <c r="E104" s="141"/>
      <c r="F104" s="141"/>
      <c r="G104" s="146"/>
      <c r="H104" s="146"/>
      <c r="I104" s="131"/>
    </row>
    <row r="105" spans="1:9" ht="15.75">
      <c r="A105" s="22" t="s">
        <v>161</v>
      </c>
      <c r="B105" s="22" t="s">
        <v>70</v>
      </c>
      <c r="C105" s="22"/>
      <c r="D105" s="22"/>
      <c r="E105" s="22"/>
      <c r="F105" s="22"/>
      <c r="G105" s="22"/>
      <c r="H105" s="62"/>
      <c r="I105" s="131"/>
    </row>
    <row r="106" spans="1:9" ht="9" customHeight="1">
      <c r="A106" s="141"/>
      <c r="B106" s="141"/>
      <c r="C106" s="141"/>
      <c r="D106" s="141"/>
      <c r="E106" s="141"/>
      <c r="F106" s="141"/>
      <c r="G106" s="146"/>
      <c r="H106" s="146"/>
      <c r="I106" s="131"/>
    </row>
    <row r="107" spans="1:9" ht="15.75">
      <c r="A107" s="141"/>
      <c r="B107" s="141" t="s">
        <v>56</v>
      </c>
      <c r="C107" s="441" t="s">
        <v>162</v>
      </c>
      <c r="D107" s="441"/>
      <c r="E107" s="441"/>
      <c r="F107" s="441"/>
      <c r="G107" s="146"/>
      <c r="H107" s="146"/>
      <c r="I107" s="131"/>
    </row>
    <row r="108" spans="1:9" ht="15.75">
      <c r="A108" s="141"/>
      <c r="B108" s="141"/>
      <c r="C108" s="141" t="s">
        <v>56</v>
      </c>
      <c r="D108" s="147" t="s">
        <v>173</v>
      </c>
      <c r="E108" s="147"/>
      <c r="F108" s="147"/>
      <c r="G108" s="146">
        <v>183</v>
      </c>
      <c r="H108" s="146">
        <v>180</v>
      </c>
      <c r="I108" s="131">
        <f>H108/G108*100</f>
        <v>98.36065573770492</v>
      </c>
    </row>
    <row r="109" spans="1:9" ht="15.75">
      <c r="A109" s="141"/>
      <c r="B109" s="141"/>
      <c r="C109" s="141" t="s">
        <v>32</v>
      </c>
      <c r="D109" s="147" t="s">
        <v>165</v>
      </c>
      <c r="E109" s="147"/>
      <c r="F109" s="147"/>
      <c r="G109" s="146"/>
      <c r="H109" s="146"/>
      <c r="I109" s="131"/>
    </row>
    <row r="110" spans="1:9" ht="15.75">
      <c r="A110" s="141"/>
      <c r="B110" s="141"/>
      <c r="C110" s="141"/>
      <c r="D110" s="147" t="s">
        <v>56</v>
      </c>
      <c r="E110" s="147" t="s">
        <v>166</v>
      </c>
      <c r="F110" s="147"/>
      <c r="G110" s="146">
        <v>76</v>
      </c>
      <c r="H110" s="146">
        <v>20</v>
      </c>
      <c r="I110" s="131">
        <f>H110/G110*100</f>
        <v>26.31578947368421</v>
      </c>
    </row>
    <row r="111" spans="1:9" ht="15.75">
      <c r="A111" s="141"/>
      <c r="B111" s="141"/>
      <c r="C111" s="141"/>
      <c r="D111" s="147" t="s">
        <v>32</v>
      </c>
      <c r="E111" s="147" t="s">
        <v>167</v>
      </c>
      <c r="F111" s="147"/>
      <c r="G111" s="146">
        <v>381</v>
      </c>
      <c r="H111" s="146">
        <v>820</v>
      </c>
      <c r="I111" s="131">
        <f>H111/G111*100</f>
        <v>215.2230971128609</v>
      </c>
    </row>
    <row r="112" spans="1:9" ht="15.75">
      <c r="A112" s="141"/>
      <c r="B112" s="141"/>
      <c r="C112" s="141"/>
      <c r="D112" s="147" t="s">
        <v>57</v>
      </c>
      <c r="E112" s="147" t="s">
        <v>168</v>
      </c>
      <c r="F112" s="147"/>
      <c r="G112" s="146">
        <v>10</v>
      </c>
      <c r="H112" s="146">
        <v>2</v>
      </c>
      <c r="I112" s="131">
        <f>H112/G112*100</f>
        <v>20</v>
      </c>
    </row>
    <row r="113" spans="1:9" ht="15.75">
      <c r="A113" s="141"/>
      <c r="B113" s="141"/>
      <c r="C113" s="141"/>
      <c r="D113" s="147" t="s">
        <v>128</v>
      </c>
      <c r="E113" s="147" t="s">
        <v>90</v>
      </c>
      <c r="F113" s="147"/>
      <c r="G113" s="146">
        <v>8</v>
      </c>
      <c r="H113" s="146">
        <v>1</v>
      </c>
      <c r="I113" s="131">
        <f>H113/G113*100</f>
        <v>12.5</v>
      </c>
    </row>
    <row r="114" spans="1:9" ht="15.75">
      <c r="A114" s="141"/>
      <c r="B114" s="141"/>
      <c r="C114" s="141"/>
      <c r="D114" s="147" t="s">
        <v>130</v>
      </c>
      <c r="E114" s="147" t="s">
        <v>169</v>
      </c>
      <c r="F114" s="147"/>
      <c r="G114" s="146">
        <v>35</v>
      </c>
      <c r="H114" s="146">
        <v>85</v>
      </c>
      <c r="I114" s="131">
        <f>H114/G114*100</f>
        <v>242.85714285714283</v>
      </c>
    </row>
    <row r="115" spans="1:9" ht="15.75">
      <c r="A115" s="141"/>
      <c r="B115" s="141"/>
      <c r="C115" s="141" t="s">
        <v>57</v>
      </c>
      <c r="D115" s="147" t="s">
        <v>196</v>
      </c>
      <c r="E115" s="147"/>
      <c r="F115" s="147"/>
      <c r="G115" s="146"/>
      <c r="H115" s="146"/>
      <c r="I115" s="131"/>
    </row>
    <row r="116" spans="1:9" ht="15.75">
      <c r="A116" s="141"/>
      <c r="B116" s="141"/>
      <c r="D116" s="141" t="s">
        <v>56</v>
      </c>
      <c r="E116" s="147" t="s">
        <v>163</v>
      </c>
      <c r="F116" s="141"/>
      <c r="G116" s="146">
        <v>2</v>
      </c>
      <c r="H116" s="146">
        <v>40</v>
      </c>
      <c r="I116" s="131">
        <f>H116/G116*100</f>
        <v>2000</v>
      </c>
    </row>
    <row r="117" spans="1:9" ht="15.75">
      <c r="A117" s="141"/>
      <c r="B117" s="141"/>
      <c r="D117" s="141" t="s">
        <v>32</v>
      </c>
      <c r="E117" s="147" t="s">
        <v>164</v>
      </c>
      <c r="F117" s="147"/>
      <c r="G117" s="146">
        <v>1690</v>
      </c>
      <c r="H117" s="146">
        <v>1149</v>
      </c>
      <c r="I117" s="131">
        <f>H117/G117*100</f>
        <v>67.98816568047337</v>
      </c>
    </row>
    <row r="118" spans="4:9" ht="15.75">
      <c r="D118" s="85" t="s">
        <v>57</v>
      </c>
      <c r="E118" s="147" t="s">
        <v>91</v>
      </c>
      <c r="G118" s="146">
        <v>460</v>
      </c>
      <c r="H118" s="146">
        <v>340</v>
      </c>
      <c r="I118" s="131">
        <f>H118/G118*100</f>
        <v>73.91304347826086</v>
      </c>
    </row>
    <row r="119" spans="1:9" ht="15.75">
      <c r="A119" s="141"/>
      <c r="B119" s="141" t="s">
        <v>32</v>
      </c>
      <c r="C119" s="147" t="s">
        <v>170</v>
      </c>
      <c r="D119" s="147"/>
      <c r="E119" s="147"/>
      <c r="F119" s="147"/>
      <c r="G119" s="146"/>
      <c r="H119" s="146"/>
      <c r="I119" s="131"/>
    </row>
    <row r="120" spans="1:9" ht="15.75">
      <c r="A120" s="141"/>
      <c r="B120" s="141"/>
      <c r="C120" s="141" t="s">
        <v>56</v>
      </c>
      <c r="D120" s="147" t="s">
        <v>171</v>
      </c>
      <c r="E120" s="147"/>
      <c r="F120" s="147"/>
      <c r="G120" s="146">
        <v>2652</v>
      </c>
      <c r="H120" s="146">
        <v>2593</v>
      </c>
      <c r="I120" s="131">
        <f>H120/G120*100</f>
        <v>97.77526395173453</v>
      </c>
    </row>
    <row r="121" spans="1:9" ht="15.75">
      <c r="A121" s="141"/>
      <c r="B121" s="141" t="s">
        <v>57</v>
      </c>
      <c r="C121" s="147" t="s">
        <v>172</v>
      </c>
      <c r="D121" s="147"/>
      <c r="E121" s="147"/>
      <c r="F121" s="147"/>
      <c r="G121" s="146"/>
      <c r="H121" s="146"/>
      <c r="I121" s="131"/>
    </row>
    <row r="122" spans="1:9" ht="15.75">
      <c r="A122" s="141"/>
      <c r="B122" s="141"/>
      <c r="C122" s="141" t="s">
        <v>56</v>
      </c>
      <c r="D122" s="147" t="s">
        <v>102</v>
      </c>
      <c r="E122" s="147"/>
      <c r="F122" s="147"/>
      <c r="G122" s="146">
        <v>1307</v>
      </c>
      <c r="H122" s="146">
        <f>1107</f>
        <v>1107</v>
      </c>
      <c r="I122" s="131">
        <f>H122/G122*100</f>
        <v>84.69778117827084</v>
      </c>
    </row>
    <row r="123" spans="1:9" ht="15.75">
      <c r="A123" s="141"/>
      <c r="B123" s="141" t="s">
        <v>128</v>
      </c>
      <c r="C123" s="147" t="s">
        <v>174</v>
      </c>
      <c r="D123" s="141"/>
      <c r="E123" s="141"/>
      <c r="F123" s="141"/>
      <c r="G123" s="146">
        <v>1722</v>
      </c>
      <c r="H123" s="146">
        <v>1489</v>
      </c>
      <c r="I123" s="131">
        <f>H123/G123*100</f>
        <v>86.46922183507549</v>
      </c>
    </row>
    <row r="124" spans="1:9" ht="15.75">
      <c r="A124" s="141"/>
      <c r="B124" s="141" t="s">
        <v>130</v>
      </c>
      <c r="C124" s="147" t="s">
        <v>175</v>
      </c>
      <c r="D124" s="141"/>
      <c r="E124" s="141"/>
      <c r="F124" s="141"/>
      <c r="G124" s="146">
        <v>642</v>
      </c>
      <c r="H124" s="146">
        <v>1409</v>
      </c>
      <c r="I124" s="131">
        <f>H124/G124*100</f>
        <v>219.47040498442368</v>
      </c>
    </row>
    <row r="125" spans="1:9" ht="15.75">
      <c r="A125" s="141"/>
      <c r="B125" s="141" t="s">
        <v>136</v>
      </c>
      <c r="C125" s="147" t="s">
        <v>176</v>
      </c>
      <c r="D125" s="141"/>
      <c r="E125" s="141"/>
      <c r="F125" s="141"/>
      <c r="G125" s="146">
        <v>100</v>
      </c>
      <c r="H125" s="146">
        <v>2</v>
      </c>
      <c r="I125" s="131">
        <f>H125/G125*100</f>
        <v>2</v>
      </c>
    </row>
    <row r="126" spans="1:9" ht="9" customHeight="1">
      <c r="A126" s="141"/>
      <c r="B126" s="141"/>
      <c r="C126" s="141"/>
      <c r="D126" s="141"/>
      <c r="E126" s="141"/>
      <c r="F126" s="141"/>
      <c r="G126" s="146"/>
      <c r="H126" s="146"/>
      <c r="I126" s="131"/>
    </row>
    <row r="127" spans="1:9" ht="15.75">
      <c r="A127" s="22" t="s">
        <v>26</v>
      </c>
      <c r="B127" s="141"/>
      <c r="C127" s="141"/>
      <c r="D127" s="141"/>
      <c r="E127" s="141"/>
      <c r="F127" s="141"/>
      <c r="G127" s="148">
        <f>SUM(G107:G126)</f>
        <v>9268</v>
      </c>
      <c r="H127" s="148">
        <f>SUM(H107:H126)</f>
        <v>9237</v>
      </c>
      <c r="I127" s="149">
        <f>H127/G127*100</f>
        <v>99.66551575312904</v>
      </c>
    </row>
    <row r="128" spans="1:9" ht="9" customHeight="1">
      <c r="A128" s="141"/>
      <c r="B128" s="141"/>
      <c r="C128" s="141"/>
      <c r="D128" s="141"/>
      <c r="E128" s="141"/>
      <c r="F128" s="141"/>
      <c r="G128" s="146"/>
      <c r="H128" s="146"/>
      <c r="I128" s="131"/>
    </row>
    <row r="129" spans="1:9" ht="15.75">
      <c r="A129" s="22" t="s">
        <v>75</v>
      </c>
      <c r="B129" s="22" t="s">
        <v>177</v>
      </c>
      <c r="C129" s="22"/>
      <c r="D129" s="22"/>
      <c r="E129" s="22"/>
      <c r="F129" s="22"/>
      <c r="G129" s="22"/>
      <c r="H129" s="62"/>
      <c r="I129" s="131"/>
    </row>
    <row r="130" spans="1:9" ht="15.75">
      <c r="A130" s="25"/>
      <c r="B130" s="25" t="s">
        <v>56</v>
      </c>
      <c r="C130" s="470" t="s">
        <v>178</v>
      </c>
      <c r="D130" s="470"/>
      <c r="E130" s="470"/>
      <c r="F130" s="470"/>
      <c r="G130" s="132"/>
      <c r="H130" s="133"/>
      <c r="I130" s="131"/>
    </row>
    <row r="131" spans="1:9" ht="30" customHeight="1">
      <c r="A131" s="25"/>
      <c r="B131" s="25"/>
      <c r="C131" s="144" t="s">
        <v>56</v>
      </c>
      <c r="D131" s="470" t="s">
        <v>179</v>
      </c>
      <c r="E131" s="470"/>
      <c r="F131" s="470"/>
      <c r="G131" s="146">
        <v>93</v>
      </c>
      <c r="H131" s="153">
        <v>92</v>
      </c>
      <c r="I131" s="131">
        <f>H131/G131*100</f>
        <v>98.9247311827957</v>
      </c>
    </row>
    <row r="132" spans="1:9" ht="30" customHeight="1">
      <c r="A132" s="25"/>
      <c r="B132" s="25"/>
      <c r="C132" s="144" t="s">
        <v>32</v>
      </c>
      <c r="D132" s="470" t="s">
        <v>195</v>
      </c>
      <c r="E132" s="470"/>
      <c r="F132" s="470"/>
      <c r="G132" s="146"/>
      <c r="H132" s="153">
        <v>26215</v>
      </c>
      <c r="I132" s="131"/>
    </row>
    <row r="133" spans="1:9" ht="9" customHeight="1">
      <c r="A133" s="141"/>
      <c r="B133" s="141"/>
      <c r="C133" s="141"/>
      <c r="D133" s="25"/>
      <c r="E133" s="141"/>
      <c r="F133" s="141"/>
      <c r="G133" s="146"/>
      <c r="H133" s="146"/>
      <c r="I133" s="131"/>
    </row>
    <row r="134" spans="1:9" ht="15.75">
      <c r="A134" s="443" t="s">
        <v>180</v>
      </c>
      <c r="B134" s="443"/>
      <c r="C134" s="443"/>
      <c r="D134" s="443"/>
      <c r="E134" s="443"/>
      <c r="F134" s="443"/>
      <c r="G134" s="154">
        <f>SUM(G131:G133)</f>
        <v>93</v>
      </c>
      <c r="H134" s="154">
        <f>SUM(H131:H133)</f>
        <v>26307</v>
      </c>
      <c r="I134" s="149">
        <f>H134/G134*100</f>
        <v>28287.09677419355</v>
      </c>
    </row>
    <row r="135" spans="1:9" ht="9" customHeight="1">
      <c r="A135" s="141"/>
      <c r="B135" s="141"/>
      <c r="C135" s="141"/>
      <c r="D135" s="141"/>
      <c r="E135" s="141"/>
      <c r="F135" s="141"/>
      <c r="G135" s="146"/>
      <c r="H135" s="146"/>
      <c r="I135" s="131"/>
    </row>
    <row r="136" spans="1:9" ht="16.5">
      <c r="A136" s="155" t="s">
        <v>181</v>
      </c>
      <c r="B136" s="155"/>
      <c r="C136" s="155"/>
      <c r="D136" s="155"/>
      <c r="E136" s="155"/>
      <c r="F136" s="155"/>
      <c r="G136" s="154">
        <f>G134+G127+G103+G81+G71</f>
        <v>54511</v>
      </c>
      <c r="H136" s="154">
        <f>H134+H127+H103+H81+H71</f>
        <v>78912</v>
      </c>
      <c r="I136" s="149">
        <f>H136/G136*100</f>
        <v>144.76344224101558</v>
      </c>
    </row>
    <row r="137" spans="1:9" ht="16.5">
      <c r="A137" s="155"/>
      <c r="B137" s="155"/>
      <c r="C137" s="155"/>
      <c r="D137" s="155"/>
      <c r="E137" s="155"/>
      <c r="F137" s="155"/>
      <c r="G137" s="156"/>
      <c r="H137" s="156"/>
      <c r="I137" s="149"/>
    </row>
    <row r="138" spans="1:9" ht="15.75">
      <c r="A138" s="157" t="s">
        <v>182</v>
      </c>
      <c r="B138" s="449" t="s">
        <v>183</v>
      </c>
      <c r="C138" s="449"/>
      <c r="D138" s="449"/>
      <c r="E138" s="449"/>
      <c r="F138" s="449"/>
      <c r="G138" s="22"/>
      <c r="H138" s="133"/>
      <c r="I138" s="131"/>
    </row>
    <row r="139" spans="1:9" ht="15.75">
      <c r="A139" s="22"/>
      <c r="B139" s="128" t="s">
        <v>56</v>
      </c>
      <c r="C139" s="449" t="s">
        <v>184</v>
      </c>
      <c r="D139" s="449"/>
      <c r="E139" s="449"/>
      <c r="F139" s="449"/>
      <c r="G139" s="146"/>
      <c r="H139" s="133"/>
      <c r="I139" s="131"/>
    </row>
    <row r="140" spans="1:9" ht="15.75">
      <c r="A140" s="22"/>
      <c r="B140" s="128"/>
      <c r="C140" s="144" t="s">
        <v>57</v>
      </c>
      <c r="D140" s="470" t="s">
        <v>185</v>
      </c>
      <c r="E140" s="470"/>
      <c r="F140" s="470"/>
      <c r="G140" s="146">
        <v>1167</v>
      </c>
      <c r="H140" s="133">
        <v>1115</v>
      </c>
      <c r="I140" s="131">
        <f>H140/G140*100</f>
        <v>95.54413024850042</v>
      </c>
    </row>
    <row r="141" spans="1:9" ht="15.75">
      <c r="A141" s="25"/>
      <c r="B141" s="25"/>
      <c r="C141" s="25"/>
      <c r="D141" s="25"/>
      <c r="E141" s="25"/>
      <c r="F141" s="25"/>
      <c r="G141" s="70"/>
      <c r="H141" s="61"/>
      <c r="I141" s="131"/>
    </row>
    <row r="142" spans="1:9" ht="16.5">
      <c r="A142" s="155" t="s">
        <v>183</v>
      </c>
      <c r="B142" s="155"/>
      <c r="C142" s="155"/>
      <c r="D142" s="155"/>
      <c r="E142" s="155"/>
      <c r="F142" s="155"/>
      <c r="G142" s="158">
        <f>G140</f>
        <v>1167</v>
      </c>
      <c r="H142" s="156">
        <f>H140</f>
        <v>1115</v>
      </c>
      <c r="I142" s="131">
        <f>H142/G142*100</f>
        <v>95.54413024850042</v>
      </c>
    </row>
    <row r="143" spans="1:9" ht="15.75">
      <c r="A143" s="25"/>
      <c r="B143" s="25"/>
      <c r="C143" s="25"/>
      <c r="D143" s="25"/>
      <c r="E143" s="25"/>
      <c r="F143" s="25"/>
      <c r="G143" s="70"/>
      <c r="H143" s="25"/>
      <c r="I143" s="131"/>
    </row>
    <row r="144" spans="1:9" ht="18.75">
      <c r="A144" s="24" t="s">
        <v>186</v>
      </c>
      <c r="B144" s="24"/>
      <c r="C144" s="24"/>
      <c r="D144" s="24"/>
      <c r="E144" s="24"/>
      <c r="F144" s="24"/>
      <c r="G144" s="158">
        <f>G136+G142</f>
        <v>55678</v>
      </c>
      <c r="H144" s="154">
        <f>H136+H142</f>
        <v>80027</v>
      </c>
      <c r="I144" s="149">
        <f>H144/G144*100</f>
        <v>143.73181507956463</v>
      </c>
    </row>
    <row r="145" spans="7:9" ht="15.75">
      <c r="G145" s="8"/>
      <c r="H145" s="8"/>
      <c r="I145" s="9"/>
    </row>
    <row r="146" spans="7:9" ht="15.75">
      <c r="G146" s="96"/>
      <c r="H146" s="134"/>
      <c r="I146" s="13"/>
    </row>
    <row r="147" ht="9" customHeight="1">
      <c r="I147" s="13"/>
    </row>
    <row r="148" spans="1:9" s="11" customFormat="1" ht="15.75">
      <c r="A148" s="87"/>
      <c r="B148" s="86"/>
      <c r="C148" s="86"/>
      <c r="D148" s="86"/>
      <c r="E148" s="86"/>
      <c r="H148" s="134"/>
      <c r="I148" s="12"/>
    </row>
    <row r="149" ht="9" customHeight="1">
      <c r="I149" s="13"/>
    </row>
    <row r="150" ht="9" customHeight="1">
      <c r="I150" s="13"/>
    </row>
    <row r="156" ht="15.75">
      <c r="I156" s="13"/>
    </row>
    <row r="161" ht="15.75">
      <c r="I161" s="13"/>
    </row>
  </sheetData>
  <sheetProtection password="DB7F" sheet="1" selectLockedCells="1" selectUnlockedCells="1"/>
  <mergeCells count="39">
    <mergeCell ref="C139:F139"/>
    <mergeCell ref="D140:F140"/>
    <mergeCell ref="E40:F40"/>
    <mergeCell ref="D77:F77"/>
    <mergeCell ref="D132:F132"/>
    <mergeCell ref="D131:F131"/>
    <mergeCell ref="A134:F134"/>
    <mergeCell ref="B138:F138"/>
    <mergeCell ref="A81:F81"/>
    <mergeCell ref="A94:F96"/>
    <mergeCell ref="A71:F71"/>
    <mergeCell ref="B73:F73"/>
    <mergeCell ref="C107:F107"/>
    <mergeCell ref="C130:F130"/>
    <mergeCell ref="C75:F75"/>
    <mergeCell ref="D76:F76"/>
    <mergeCell ref="B79:F79"/>
    <mergeCell ref="D65:F65"/>
    <mergeCell ref="B69:F69"/>
    <mergeCell ref="B62:F62"/>
    <mergeCell ref="C64:F64"/>
    <mergeCell ref="D67:F67"/>
    <mergeCell ref="D50:F50"/>
    <mergeCell ref="E51:F51"/>
    <mergeCell ref="C54:F54"/>
    <mergeCell ref="E57:F57"/>
    <mergeCell ref="D14:F14"/>
    <mergeCell ref="C45:F45"/>
    <mergeCell ref="A46:F48"/>
    <mergeCell ref="E15:F15"/>
    <mergeCell ref="D31:F31"/>
    <mergeCell ref="D36:F36"/>
    <mergeCell ref="D38:F38"/>
    <mergeCell ref="B12:F12"/>
    <mergeCell ref="A9:F11"/>
    <mergeCell ref="A3:I3"/>
    <mergeCell ref="A4:I4"/>
    <mergeCell ref="A5:I5"/>
    <mergeCell ref="A6:I6"/>
  </mergeCells>
  <printOptions horizontalCentered="1"/>
  <pageMargins left="0.1968503937007874" right="0.1968503937007874" top="0.1968503937007874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1" width="9.125" style="266" customWidth="1"/>
    <col min="2" max="2" width="61.125" style="266" customWidth="1"/>
    <col min="3" max="6" width="26.25390625" style="266" customWidth="1"/>
    <col min="7" max="16384" width="9.125" style="266" customWidth="1"/>
  </cols>
  <sheetData>
    <row r="2" spans="1:6" s="254" customFormat="1" ht="15.75">
      <c r="A2" s="191" t="s">
        <v>532</v>
      </c>
      <c r="C2" s="255"/>
      <c r="D2" s="256"/>
      <c r="E2" s="256"/>
      <c r="F2" s="256"/>
    </row>
    <row r="3" spans="2:6" s="103" customFormat="1" ht="15" customHeight="1">
      <c r="B3" s="438"/>
      <c r="C3" s="438"/>
      <c r="D3" s="438"/>
      <c r="E3" s="438"/>
      <c r="F3" s="438"/>
    </row>
    <row r="4" spans="3:6" s="257" customFormat="1" ht="15" customHeight="1">
      <c r="C4" s="258"/>
      <c r="D4" s="259"/>
      <c r="E4" s="259"/>
      <c r="F4" s="259"/>
    </row>
    <row r="5" spans="2:6" s="188" customFormat="1" ht="15" customHeight="1">
      <c r="B5" s="439" t="s">
        <v>53</v>
      </c>
      <c r="C5" s="439"/>
      <c r="D5" s="439"/>
      <c r="E5" s="439"/>
      <c r="F5" s="439"/>
    </row>
    <row r="6" spans="2:6" s="188" customFormat="1" ht="15.75">
      <c r="B6" s="440" t="s">
        <v>359</v>
      </c>
      <c r="C6" s="440"/>
      <c r="D6" s="440"/>
      <c r="E6" s="440"/>
      <c r="F6" s="440"/>
    </row>
    <row r="7" spans="2:6" s="188" customFormat="1" ht="15" customHeight="1">
      <c r="B7" s="439" t="s">
        <v>187</v>
      </c>
      <c r="C7" s="439"/>
      <c r="D7" s="439"/>
      <c r="E7" s="439"/>
      <c r="F7" s="439"/>
    </row>
    <row r="8" spans="2:6" s="254" customFormat="1" ht="12" customHeight="1" thickBot="1">
      <c r="B8" s="255"/>
      <c r="C8" s="260"/>
      <c r="D8" s="261"/>
      <c r="E8" s="261"/>
      <c r="F8" s="262"/>
    </row>
    <row r="9" spans="1:6" s="254" customFormat="1" ht="16.5" customHeight="1" thickBot="1">
      <c r="A9" s="436" t="s">
        <v>220</v>
      </c>
      <c r="B9" s="434" t="s">
        <v>221</v>
      </c>
      <c r="C9" s="423" t="s">
        <v>360</v>
      </c>
      <c r="D9" s="426" t="s">
        <v>361</v>
      </c>
      <c r="E9" s="426"/>
      <c r="F9" s="427"/>
    </row>
    <row r="10" spans="1:6" s="254" customFormat="1" ht="33" customHeight="1" thickBot="1">
      <c r="A10" s="437"/>
      <c r="B10" s="435"/>
      <c r="C10" s="424"/>
      <c r="D10" s="263" t="s">
        <v>362</v>
      </c>
      <c r="E10" s="264" t="s">
        <v>363</v>
      </c>
      <c r="F10" s="265" t="s">
        <v>364</v>
      </c>
    </row>
    <row r="11" spans="1:6" s="254" customFormat="1" ht="22.5" customHeight="1">
      <c r="A11" s="437"/>
      <c r="B11" s="435"/>
      <c r="C11" s="424"/>
      <c r="D11" s="428" t="s">
        <v>365</v>
      </c>
      <c r="E11" s="429"/>
      <c r="F11" s="430"/>
    </row>
    <row r="12" spans="1:6" ht="12.75">
      <c r="A12" s="437"/>
      <c r="B12" s="435"/>
      <c r="C12" s="424"/>
      <c r="D12" s="431"/>
      <c r="E12" s="421"/>
      <c r="F12" s="422"/>
    </row>
    <row r="13" spans="1:6" ht="3" customHeight="1" thickBot="1">
      <c r="A13" s="433"/>
      <c r="B13" s="432"/>
      <c r="C13" s="425"/>
      <c r="D13" s="472"/>
      <c r="E13" s="473"/>
      <c r="F13" s="474"/>
    </row>
    <row r="14" spans="1:6" ht="30">
      <c r="A14" s="267" t="s">
        <v>238</v>
      </c>
      <c r="B14" s="268" t="s">
        <v>239</v>
      </c>
      <c r="C14" s="269">
        <f>SUM(D14:F14)</f>
        <v>36057</v>
      </c>
      <c r="D14" s="269">
        <f>7+9743</f>
        <v>9750</v>
      </c>
      <c r="E14" s="269">
        <f>26215+92</f>
        <v>26307</v>
      </c>
      <c r="F14" s="270"/>
    </row>
    <row r="15" spans="1:6" ht="15">
      <c r="A15" s="176" t="s">
        <v>240</v>
      </c>
      <c r="B15" s="173" t="s">
        <v>48</v>
      </c>
      <c r="C15" s="271">
        <f aca="true" t="shared" si="0" ref="C15:C27">SUM(D15:F15)</f>
        <v>52</v>
      </c>
      <c r="D15" s="271">
        <v>52</v>
      </c>
      <c r="E15" s="271"/>
      <c r="F15" s="272"/>
    </row>
    <row r="16" spans="1:6" ht="15">
      <c r="A16" s="176" t="s">
        <v>241</v>
      </c>
      <c r="B16" s="173" t="s">
        <v>242</v>
      </c>
      <c r="C16" s="271">
        <f t="shared" si="0"/>
        <v>1599</v>
      </c>
      <c r="D16" s="271">
        <f>820+643</f>
        <v>1463</v>
      </c>
      <c r="E16" s="271">
        <v>136</v>
      </c>
      <c r="F16" s="272"/>
    </row>
    <row r="17" spans="1:6" ht="15">
      <c r="A17" s="176" t="s">
        <v>366</v>
      </c>
      <c r="B17" s="173" t="s">
        <v>367</v>
      </c>
      <c r="C17" s="271">
        <f t="shared" si="0"/>
        <v>25766</v>
      </c>
      <c r="D17" s="271">
        <f>25766-327</f>
        <v>25439</v>
      </c>
      <c r="E17" s="271"/>
      <c r="F17" s="272">
        <v>327</v>
      </c>
    </row>
    <row r="18" spans="1:6" ht="15">
      <c r="A18" s="176" t="s">
        <v>376</v>
      </c>
      <c r="B18" s="284" t="s">
        <v>377</v>
      </c>
      <c r="C18" s="271">
        <f t="shared" si="0"/>
        <v>58</v>
      </c>
      <c r="D18" s="271">
        <v>58</v>
      </c>
      <c r="E18" s="271"/>
      <c r="F18" s="272"/>
    </row>
    <row r="19" spans="1:6" ht="15">
      <c r="A19" s="176" t="s">
        <v>245</v>
      </c>
      <c r="B19" s="173" t="s">
        <v>246</v>
      </c>
      <c r="C19" s="271">
        <f t="shared" si="0"/>
        <v>3993</v>
      </c>
      <c r="D19" s="271">
        <v>3993</v>
      </c>
      <c r="E19" s="271"/>
      <c r="F19" s="272"/>
    </row>
    <row r="20" spans="1:6" ht="15">
      <c r="A20" s="176" t="s">
        <v>253</v>
      </c>
      <c r="B20" s="173" t="s">
        <v>254</v>
      </c>
      <c r="C20" s="271">
        <f t="shared" si="0"/>
        <v>165</v>
      </c>
      <c r="D20" s="271">
        <v>165</v>
      </c>
      <c r="E20" s="271"/>
      <c r="F20" s="272"/>
    </row>
    <row r="21" spans="1:6" ht="15">
      <c r="A21" s="176" t="s">
        <v>368</v>
      </c>
      <c r="B21" s="173" t="s">
        <v>369</v>
      </c>
      <c r="C21" s="271">
        <f t="shared" si="0"/>
        <v>1785</v>
      </c>
      <c r="D21" s="271">
        <v>1785</v>
      </c>
      <c r="E21" s="271"/>
      <c r="F21" s="272"/>
    </row>
    <row r="22" spans="1:6" ht="15">
      <c r="A22" s="176" t="s">
        <v>370</v>
      </c>
      <c r="B22" s="173" t="s">
        <v>371</v>
      </c>
      <c r="C22" s="271">
        <f t="shared" si="0"/>
        <v>271</v>
      </c>
      <c r="D22" s="271"/>
      <c r="E22" s="271">
        <v>271</v>
      </c>
      <c r="F22" s="272"/>
    </row>
    <row r="23" spans="1:6" ht="15">
      <c r="A23" s="276">
        <v>104051</v>
      </c>
      <c r="B23" s="173" t="s">
        <v>434</v>
      </c>
      <c r="C23" s="271">
        <f t="shared" si="0"/>
        <v>46</v>
      </c>
      <c r="D23" s="271"/>
      <c r="E23" s="271"/>
      <c r="F23" s="272">
        <v>46</v>
      </c>
    </row>
    <row r="24" spans="1:6" ht="15">
      <c r="A24" s="176" t="s">
        <v>268</v>
      </c>
      <c r="B24" s="179" t="s">
        <v>431</v>
      </c>
      <c r="C24" s="271">
        <f t="shared" si="0"/>
        <v>1655</v>
      </c>
      <c r="D24" s="271">
        <v>1655</v>
      </c>
      <c r="E24" s="271"/>
      <c r="F24" s="272"/>
    </row>
    <row r="25" spans="1:6" ht="15">
      <c r="A25" s="176" t="s">
        <v>268</v>
      </c>
      <c r="B25" s="179" t="s">
        <v>433</v>
      </c>
      <c r="C25" s="271">
        <f t="shared" si="0"/>
        <v>523</v>
      </c>
      <c r="D25" s="271"/>
      <c r="E25" s="271">
        <v>523</v>
      </c>
      <c r="F25" s="272"/>
    </row>
    <row r="26" spans="1:6" ht="15">
      <c r="A26" s="176">
        <v>107060</v>
      </c>
      <c r="B26" s="173" t="s">
        <v>270</v>
      </c>
      <c r="C26" s="271">
        <f t="shared" si="0"/>
        <v>249</v>
      </c>
      <c r="D26" s="271">
        <v>249</v>
      </c>
      <c r="E26" s="271"/>
      <c r="F26" s="272"/>
    </row>
    <row r="27" spans="1:6" ht="30.75" thickBot="1">
      <c r="A27" s="276">
        <v>900020</v>
      </c>
      <c r="B27" s="173" t="s">
        <v>372</v>
      </c>
      <c r="C27" s="271">
        <f t="shared" si="0"/>
        <v>7808</v>
      </c>
      <c r="D27" s="271">
        <v>7808</v>
      </c>
      <c r="E27" s="271"/>
      <c r="F27" s="272"/>
    </row>
    <row r="28" spans="1:6" ht="30" customHeight="1" thickBot="1">
      <c r="A28" s="277"/>
      <c r="B28" s="277" t="s">
        <v>2</v>
      </c>
      <c r="C28" s="275">
        <f>SUM(C14:C27)</f>
        <v>80027</v>
      </c>
      <c r="D28" s="275">
        <f>SUM(D14:D27)</f>
        <v>52417</v>
      </c>
      <c r="E28" s="275">
        <f>SUM(E14:E27)</f>
        <v>27237</v>
      </c>
      <c r="F28" s="275">
        <f>SUM(F14:F27)</f>
        <v>373</v>
      </c>
    </row>
  </sheetData>
  <sheetProtection password="DB7F" sheet="1" selectLockedCells="1" selectUnlockedCells="1"/>
  <mergeCells count="9">
    <mergeCell ref="A9:A13"/>
    <mergeCell ref="B9:B13"/>
    <mergeCell ref="C9:C13"/>
    <mergeCell ref="D9:F9"/>
    <mergeCell ref="D11:F13"/>
    <mergeCell ref="B3:F3"/>
    <mergeCell ref="B5:F5"/>
    <mergeCell ref="B6:F6"/>
    <mergeCell ref="B7:F7"/>
  </mergeCells>
  <printOptions horizontalCentered="1"/>
  <pageMargins left="0" right="0" top="0.7874015748031497" bottom="0.7480314960629921" header="0.31496062992125984" footer="0.31496062992125984"/>
  <pageSetup fitToHeight="1" fitToWidth="1"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PageLayoutView="0" workbookViewId="0" topLeftCell="A1">
      <selection activeCell="A6" sqref="A6:S6"/>
    </sheetView>
  </sheetViews>
  <sheetFormatPr defaultColWidth="9.00390625" defaultRowHeight="12.75"/>
  <cols>
    <col min="1" max="1" width="9.125" style="14" customWidth="1"/>
    <col min="2" max="2" width="42.125" style="14" customWidth="1"/>
    <col min="3" max="3" width="10.125" style="14" customWidth="1"/>
    <col min="4" max="7" width="10.375" style="14" customWidth="1"/>
    <col min="8" max="11" width="10.25390625" style="14" customWidth="1"/>
    <col min="12" max="12" width="9.625" style="14" customWidth="1"/>
    <col min="13" max="13" width="10.875" style="14" customWidth="1"/>
    <col min="14" max="14" width="11.125" style="14" customWidth="1"/>
    <col min="15" max="15" width="9.875" style="14" customWidth="1"/>
    <col min="16" max="16" width="10.625" style="14" customWidth="1"/>
    <col min="17" max="17" width="9.625" style="14" customWidth="1"/>
    <col min="18" max="16384" width="9.125" style="14" customWidth="1"/>
  </cols>
  <sheetData>
    <row r="1" spans="1:19" ht="15.75">
      <c r="A1" s="191" t="s">
        <v>533</v>
      </c>
      <c r="K1" s="507"/>
      <c r="L1" s="507"/>
      <c r="M1" s="507"/>
      <c r="N1" s="507"/>
      <c r="O1" s="507"/>
      <c r="P1" s="507"/>
      <c r="Q1" s="507"/>
      <c r="R1" s="507"/>
      <c r="S1" s="507"/>
    </row>
    <row r="2" spans="1:16" ht="15.75" customHeight="1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</row>
    <row r="3" spans="1:19" s="170" customFormat="1" ht="15.75" customHeight="1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</row>
    <row r="4" spans="1:16" s="170" customFormat="1" ht="15.7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9" s="170" customFormat="1" ht="15.75" customHeight="1">
      <c r="A5" s="475" t="s">
        <v>53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</row>
    <row r="6" spans="1:19" s="170" customFormat="1" ht="15.75" customHeight="1">
      <c r="A6" s="475" t="s">
        <v>219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</row>
    <row r="7" spans="1:19" s="170" customFormat="1" ht="15.75" customHeight="1">
      <c r="A7" s="475" t="s">
        <v>277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</row>
    <row r="8" spans="18:19" s="170" customFormat="1" ht="15.75" thickBot="1">
      <c r="R8" s="508" t="s">
        <v>8</v>
      </c>
      <c r="S8" s="508"/>
    </row>
    <row r="9" spans="1:19" s="171" customFormat="1" ht="20.25" customHeight="1" thickBot="1">
      <c r="A9" s="481" t="s">
        <v>220</v>
      </c>
      <c r="B9" s="484" t="s">
        <v>221</v>
      </c>
      <c r="C9" s="487" t="s">
        <v>222</v>
      </c>
      <c r="D9" s="490" t="s">
        <v>223</v>
      </c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2"/>
      <c r="R9" s="476" t="s">
        <v>3</v>
      </c>
      <c r="S9" s="477"/>
    </row>
    <row r="10" spans="1:19" s="171" customFormat="1" ht="38.25" customHeight="1" thickBot="1">
      <c r="A10" s="482"/>
      <c r="B10" s="485"/>
      <c r="C10" s="488"/>
      <c r="D10" s="478" t="s">
        <v>92</v>
      </c>
      <c r="E10" s="479"/>
      <c r="F10" s="479"/>
      <c r="G10" s="479"/>
      <c r="H10" s="479"/>
      <c r="I10" s="480"/>
      <c r="J10" s="490" t="s">
        <v>93</v>
      </c>
      <c r="K10" s="491"/>
      <c r="L10" s="491"/>
      <c r="M10" s="492"/>
      <c r="N10" s="501" t="s">
        <v>224</v>
      </c>
      <c r="O10" s="502"/>
      <c r="P10" s="502"/>
      <c r="Q10" s="503"/>
      <c r="R10" s="499" t="s">
        <v>9</v>
      </c>
      <c r="S10" s="500"/>
    </row>
    <row r="11" spans="1:19" s="171" customFormat="1" ht="21" customHeight="1" thickBot="1">
      <c r="A11" s="482"/>
      <c r="B11" s="485"/>
      <c r="C11" s="488"/>
      <c r="D11" s="487" t="s">
        <v>225</v>
      </c>
      <c r="E11" s="487" t="s">
        <v>226</v>
      </c>
      <c r="F11" s="487" t="s">
        <v>227</v>
      </c>
      <c r="G11" s="487" t="s">
        <v>228</v>
      </c>
      <c r="H11" s="487" t="s">
        <v>229</v>
      </c>
      <c r="I11" s="509" t="s">
        <v>230</v>
      </c>
      <c r="J11" s="504" t="s">
        <v>231</v>
      </c>
      <c r="K11" s="504" t="s">
        <v>94</v>
      </c>
      <c r="L11" s="487" t="s">
        <v>373</v>
      </c>
      <c r="M11" s="494" t="s">
        <v>374</v>
      </c>
      <c r="N11" s="487" t="s">
        <v>232</v>
      </c>
      <c r="O11" s="487" t="s">
        <v>233</v>
      </c>
      <c r="P11" s="487" t="s">
        <v>234</v>
      </c>
      <c r="Q11" s="494" t="s">
        <v>375</v>
      </c>
      <c r="R11" s="249" t="s">
        <v>235</v>
      </c>
      <c r="S11" s="250" t="s">
        <v>236</v>
      </c>
    </row>
    <row r="12" spans="1:19" s="171" customFormat="1" ht="18.75" customHeight="1">
      <c r="A12" s="482"/>
      <c r="B12" s="485"/>
      <c r="C12" s="488"/>
      <c r="D12" s="488"/>
      <c r="E12" s="488"/>
      <c r="F12" s="488"/>
      <c r="G12" s="488"/>
      <c r="H12" s="488"/>
      <c r="I12" s="510"/>
      <c r="J12" s="505"/>
      <c r="K12" s="505"/>
      <c r="L12" s="488"/>
      <c r="M12" s="495"/>
      <c r="N12" s="488"/>
      <c r="O12" s="488"/>
      <c r="P12" s="488"/>
      <c r="Q12" s="495"/>
      <c r="R12" s="497" t="s">
        <v>237</v>
      </c>
      <c r="S12" s="498"/>
    </row>
    <row r="13" spans="1:19" s="171" customFormat="1" ht="20.25" customHeight="1" thickBot="1">
      <c r="A13" s="483"/>
      <c r="B13" s="486"/>
      <c r="C13" s="489"/>
      <c r="D13" s="489"/>
      <c r="E13" s="489"/>
      <c r="F13" s="489"/>
      <c r="G13" s="489"/>
      <c r="H13" s="489"/>
      <c r="I13" s="511"/>
      <c r="J13" s="506"/>
      <c r="K13" s="506"/>
      <c r="L13" s="489"/>
      <c r="M13" s="496"/>
      <c r="N13" s="489"/>
      <c r="O13" s="489"/>
      <c r="P13" s="489"/>
      <c r="Q13" s="496"/>
      <c r="R13" s="499"/>
      <c r="S13" s="500"/>
    </row>
    <row r="14" spans="1:19" s="170" customFormat="1" ht="30">
      <c r="A14" s="172" t="s">
        <v>238</v>
      </c>
      <c r="B14" s="173" t="s">
        <v>239</v>
      </c>
      <c r="C14" s="279">
        <f>I14+M14+O14+P14</f>
        <v>38022</v>
      </c>
      <c r="D14" s="185">
        <v>5750</v>
      </c>
      <c r="E14" s="186">
        <v>1664</v>
      </c>
      <c r="F14" s="186">
        <v>4281</v>
      </c>
      <c r="G14" s="186"/>
      <c r="H14" s="186">
        <v>112</v>
      </c>
      <c r="I14" s="280">
        <f aca="true" t="shared" si="0" ref="I14:I41">SUM(D14:H14)</f>
        <v>11807</v>
      </c>
      <c r="J14" s="187"/>
      <c r="K14" s="187"/>
      <c r="L14" s="187">
        <v>26215</v>
      </c>
      <c r="M14" s="281">
        <f>SUM(J14:L14)</f>
        <v>26215</v>
      </c>
      <c r="N14" s="281"/>
      <c r="O14" s="282"/>
      <c r="P14" s="283"/>
      <c r="Q14" s="283"/>
      <c r="R14" s="175">
        <f>0.5+0.1+0.2-0.3</f>
        <v>0.5</v>
      </c>
      <c r="S14" s="248">
        <v>0.5</v>
      </c>
    </row>
    <row r="15" spans="1:19" s="170" customFormat="1" ht="15">
      <c r="A15" s="176" t="s">
        <v>240</v>
      </c>
      <c r="B15" s="173" t="s">
        <v>48</v>
      </c>
      <c r="C15" s="279">
        <f aca="true" t="shared" si="1" ref="C15:C41">I15+M15+O15+P15</f>
        <v>64</v>
      </c>
      <c r="D15" s="185"/>
      <c r="E15" s="186"/>
      <c r="F15" s="186">
        <v>64</v>
      </c>
      <c r="G15" s="186"/>
      <c r="H15" s="186"/>
      <c r="I15" s="280">
        <f t="shared" si="0"/>
        <v>64</v>
      </c>
      <c r="J15" s="187"/>
      <c r="K15" s="187"/>
      <c r="L15" s="187"/>
      <c r="M15" s="281"/>
      <c r="N15" s="281"/>
      <c r="O15" s="282"/>
      <c r="P15" s="283"/>
      <c r="Q15" s="283"/>
      <c r="R15" s="177"/>
      <c r="S15" s="174"/>
    </row>
    <row r="16" spans="1:19" s="170" customFormat="1" ht="29.25" customHeight="1">
      <c r="A16" s="176" t="s">
        <v>241</v>
      </c>
      <c r="B16" s="173" t="s">
        <v>242</v>
      </c>
      <c r="C16" s="279">
        <f t="shared" si="1"/>
        <v>1523</v>
      </c>
      <c r="D16" s="185"/>
      <c r="E16" s="186"/>
      <c r="F16" s="186">
        <v>1515</v>
      </c>
      <c r="G16" s="186"/>
      <c r="H16" s="186"/>
      <c r="I16" s="280">
        <f t="shared" si="0"/>
        <v>1515</v>
      </c>
      <c r="J16" s="187">
        <v>8</v>
      </c>
      <c r="K16" s="187"/>
      <c r="L16" s="187"/>
      <c r="M16" s="281">
        <f>SUM(J16:L16)</f>
        <v>8</v>
      </c>
      <c r="N16" s="281"/>
      <c r="O16" s="282"/>
      <c r="P16" s="283"/>
      <c r="Q16" s="283"/>
      <c r="R16" s="178"/>
      <c r="S16" s="174"/>
    </row>
    <row r="17" spans="1:19" s="170" customFormat="1" ht="15">
      <c r="A17" s="176" t="s">
        <v>376</v>
      </c>
      <c r="B17" s="284" t="s">
        <v>377</v>
      </c>
      <c r="C17" s="279">
        <f>I17+M17+O17+P17</f>
        <v>312</v>
      </c>
      <c r="D17" s="185"/>
      <c r="E17" s="186"/>
      <c r="F17" s="186">
        <v>254</v>
      </c>
      <c r="G17" s="186"/>
      <c r="H17" s="186"/>
      <c r="I17" s="280">
        <f t="shared" si="0"/>
        <v>254</v>
      </c>
      <c r="J17" s="187">
        <v>58</v>
      </c>
      <c r="K17" s="187"/>
      <c r="L17" s="187"/>
      <c r="M17" s="281">
        <f>SUM(J17:L17)</f>
        <v>58</v>
      </c>
      <c r="N17" s="281"/>
      <c r="O17" s="282"/>
      <c r="P17" s="283"/>
      <c r="Q17" s="283"/>
      <c r="R17" s="178"/>
      <c r="S17" s="174"/>
    </row>
    <row r="18" spans="1:19" s="170" customFormat="1" ht="30">
      <c r="A18" s="176" t="s">
        <v>243</v>
      </c>
      <c r="B18" s="173" t="s">
        <v>244</v>
      </c>
      <c r="C18" s="279">
        <f>I18+M18+O18+P18</f>
        <v>237</v>
      </c>
      <c r="D18" s="185"/>
      <c r="E18" s="186"/>
      <c r="F18" s="186">
        <v>237</v>
      </c>
      <c r="G18" s="186"/>
      <c r="H18" s="186"/>
      <c r="I18" s="280">
        <f t="shared" si="0"/>
        <v>237</v>
      </c>
      <c r="J18" s="187"/>
      <c r="K18" s="187"/>
      <c r="L18" s="187"/>
      <c r="M18" s="281"/>
      <c r="N18" s="281"/>
      <c r="O18" s="282"/>
      <c r="P18" s="283"/>
      <c r="Q18" s="283"/>
      <c r="R18" s="175"/>
      <c r="S18" s="174"/>
    </row>
    <row r="19" spans="1:19" s="170" customFormat="1" ht="30">
      <c r="A19" s="176" t="s">
        <v>245</v>
      </c>
      <c r="B19" s="173" t="s">
        <v>246</v>
      </c>
      <c r="C19" s="279">
        <f>I19+M19+O19+P19</f>
        <v>3993</v>
      </c>
      <c r="D19" s="185"/>
      <c r="E19" s="186"/>
      <c r="F19" s="186">
        <v>3993</v>
      </c>
      <c r="G19" s="186"/>
      <c r="H19" s="186"/>
      <c r="I19" s="280">
        <f t="shared" si="0"/>
        <v>3993</v>
      </c>
      <c r="J19" s="187"/>
      <c r="K19" s="187"/>
      <c r="L19" s="187"/>
      <c r="M19" s="281"/>
      <c r="N19" s="281"/>
      <c r="O19" s="282"/>
      <c r="P19" s="283"/>
      <c r="Q19" s="283"/>
      <c r="R19" s="178"/>
      <c r="S19" s="174"/>
    </row>
    <row r="20" spans="1:19" s="170" customFormat="1" ht="15">
      <c r="A20" s="176" t="s">
        <v>247</v>
      </c>
      <c r="B20" s="173" t="s">
        <v>248</v>
      </c>
      <c r="C20" s="279">
        <f>I20+M20+O20+P20</f>
        <v>600</v>
      </c>
      <c r="D20" s="185"/>
      <c r="E20" s="186"/>
      <c r="F20" s="186"/>
      <c r="G20" s="186"/>
      <c r="H20" s="186"/>
      <c r="I20" s="280"/>
      <c r="J20" s="187"/>
      <c r="K20" s="187"/>
      <c r="L20" s="187">
        <v>600</v>
      </c>
      <c r="M20" s="281">
        <f>SUM(J20:L20)</f>
        <v>600</v>
      </c>
      <c r="N20" s="281"/>
      <c r="O20" s="282"/>
      <c r="P20" s="283"/>
      <c r="Q20" s="283"/>
      <c r="R20" s="178"/>
      <c r="S20" s="174"/>
    </row>
    <row r="21" spans="1:19" s="170" customFormat="1" ht="15">
      <c r="A21" s="176" t="s">
        <v>249</v>
      </c>
      <c r="B21" s="173" t="s">
        <v>250</v>
      </c>
      <c r="C21" s="279">
        <f t="shared" si="1"/>
        <v>3056</v>
      </c>
      <c r="D21" s="185"/>
      <c r="E21" s="186"/>
      <c r="F21" s="186">
        <v>3056</v>
      </c>
      <c r="G21" s="187"/>
      <c r="H21" s="186"/>
      <c r="I21" s="280">
        <f t="shared" si="0"/>
        <v>3056</v>
      </c>
      <c r="J21" s="187"/>
      <c r="K21" s="187"/>
      <c r="L21" s="187"/>
      <c r="M21" s="281"/>
      <c r="N21" s="281"/>
      <c r="O21" s="282"/>
      <c r="P21" s="283"/>
      <c r="Q21" s="283"/>
      <c r="R21" s="178"/>
      <c r="S21" s="174"/>
    </row>
    <row r="22" spans="1:19" s="170" customFormat="1" ht="15">
      <c r="A22" s="176" t="s">
        <v>251</v>
      </c>
      <c r="B22" s="173" t="s">
        <v>252</v>
      </c>
      <c r="C22" s="279">
        <f t="shared" si="1"/>
        <v>381</v>
      </c>
      <c r="D22" s="185"/>
      <c r="E22" s="186"/>
      <c r="F22" s="186">
        <v>381</v>
      </c>
      <c r="G22" s="187"/>
      <c r="H22" s="186"/>
      <c r="I22" s="280">
        <f t="shared" si="0"/>
        <v>381</v>
      </c>
      <c r="J22" s="187"/>
      <c r="K22" s="187"/>
      <c r="L22" s="187"/>
      <c r="M22" s="281"/>
      <c r="N22" s="281"/>
      <c r="O22" s="282"/>
      <c r="P22" s="283"/>
      <c r="Q22" s="283"/>
      <c r="R22" s="178"/>
      <c r="S22" s="174"/>
    </row>
    <row r="23" spans="1:19" s="170" customFormat="1" ht="30">
      <c r="A23" s="176" t="s">
        <v>253</v>
      </c>
      <c r="B23" s="173" t="s">
        <v>254</v>
      </c>
      <c r="C23" s="279">
        <f t="shared" si="1"/>
        <v>2596</v>
      </c>
      <c r="D23" s="185">
        <v>671</v>
      </c>
      <c r="E23" s="186">
        <v>183</v>
      </c>
      <c r="F23" s="186">
        <v>1577</v>
      </c>
      <c r="G23" s="187"/>
      <c r="H23" s="186"/>
      <c r="I23" s="280">
        <f t="shared" si="0"/>
        <v>2431</v>
      </c>
      <c r="J23" s="187">
        <v>165</v>
      </c>
      <c r="K23" s="187"/>
      <c r="L23" s="187"/>
      <c r="M23" s="281">
        <f>SUM(J23:L23)</f>
        <v>165</v>
      </c>
      <c r="N23" s="281"/>
      <c r="O23" s="282"/>
      <c r="P23" s="283"/>
      <c r="Q23" s="283"/>
      <c r="R23" s="178">
        <v>0.5</v>
      </c>
      <c r="S23" s="174">
        <v>0.5</v>
      </c>
    </row>
    <row r="24" spans="1:19" s="170" customFormat="1" ht="15">
      <c r="A24" s="176" t="s">
        <v>255</v>
      </c>
      <c r="B24" s="173" t="s">
        <v>45</v>
      </c>
      <c r="C24" s="279">
        <f t="shared" si="1"/>
        <v>60</v>
      </c>
      <c r="D24" s="185"/>
      <c r="E24" s="186"/>
      <c r="F24" s="186">
        <v>60</v>
      </c>
      <c r="G24" s="187"/>
      <c r="H24" s="186"/>
      <c r="I24" s="280">
        <f t="shared" si="0"/>
        <v>60</v>
      </c>
      <c r="J24" s="187"/>
      <c r="K24" s="187"/>
      <c r="L24" s="187"/>
      <c r="M24" s="281"/>
      <c r="N24" s="281"/>
      <c r="O24" s="282"/>
      <c r="P24" s="283"/>
      <c r="Q24" s="283"/>
      <c r="R24" s="178"/>
      <c r="S24" s="174"/>
    </row>
    <row r="25" spans="1:19" s="170" customFormat="1" ht="33.75" customHeight="1">
      <c r="A25" s="176" t="s">
        <v>256</v>
      </c>
      <c r="B25" s="173" t="s">
        <v>257</v>
      </c>
      <c r="C25" s="279">
        <f t="shared" si="1"/>
        <v>675</v>
      </c>
      <c r="D25" s="185"/>
      <c r="E25" s="186"/>
      <c r="F25" s="186"/>
      <c r="G25" s="186"/>
      <c r="H25" s="186">
        <v>675</v>
      </c>
      <c r="I25" s="280">
        <f t="shared" si="0"/>
        <v>675</v>
      </c>
      <c r="J25" s="187"/>
      <c r="K25" s="187"/>
      <c r="L25" s="187"/>
      <c r="M25" s="281"/>
      <c r="N25" s="281"/>
      <c r="O25" s="282"/>
      <c r="P25" s="283"/>
      <c r="Q25" s="283"/>
      <c r="R25" s="178"/>
      <c r="S25" s="174"/>
    </row>
    <row r="26" spans="1:19" s="170" customFormat="1" ht="15">
      <c r="A26" s="176" t="s">
        <v>258</v>
      </c>
      <c r="B26" s="173" t="s">
        <v>49</v>
      </c>
      <c r="C26" s="279">
        <f t="shared" si="1"/>
        <v>536</v>
      </c>
      <c r="D26" s="185">
        <v>356</v>
      </c>
      <c r="E26" s="186">
        <v>97</v>
      </c>
      <c r="F26" s="186">
        <v>83</v>
      </c>
      <c r="G26" s="186"/>
      <c r="H26" s="186"/>
      <c r="I26" s="280">
        <f t="shared" si="0"/>
        <v>536</v>
      </c>
      <c r="J26" s="187"/>
      <c r="K26" s="187"/>
      <c r="L26" s="187"/>
      <c r="M26" s="281"/>
      <c r="N26" s="281"/>
      <c r="O26" s="282"/>
      <c r="P26" s="283"/>
      <c r="Q26" s="283"/>
      <c r="R26" s="178">
        <v>0.2</v>
      </c>
      <c r="S26" s="174">
        <v>0.2</v>
      </c>
    </row>
    <row r="27" spans="1:19" s="170" customFormat="1" ht="15">
      <c r="A27" s="176" t="s">
        <v>259</v>
      </c>
      <c r="B27" s="173" t="s">
        <v>47</v>
      </c>
      <c r="C27" s="279">
        <f t="shared" si="1"/>
        <v>200</v>
      </c>
      <c r="D27" s="185"/>
      <c r="E27" s="186"/>
      <c r="F27" s="186"/>
      <c r="G27" s="186"/>
      <c r="H27" s="186">
        <v>200</v>
      </c>
      <c r="I27" s="280">
        <f t="shared" si="0"/>
        <v>200</v>
      </c>
      <c r="J27" s="187"/>
      <c r="K27" s="187"/>
      <c r="L27" s="187"/>
      <c r="M27" s="281"/>
      <c r="N27" s="281"/>
      <c r="O27" s="282"/>
      <c r="P27" s="283"/>
      <c r="Q27" s="283"/>
      <c r="R27" s="178"/>
      <c r="S27" s="174"/>
    </row>
    <row r="28" spans="1:19" s="170" customFormat="1" ht="30">
      <c r="A28" s="176" t="s">
        <v>260</v>
      </c>
      <c r="B28" s="173" t="s">
        <v>261</v>
      </c>
      <c r="C28" s="279">
        <f t="shared" si="1"/>
        <v>2803</v>
      </c>
      <c r="D28" s="185">
        <v>1788</v>
      </c>
      <c r="E28" s="186">
        <v>478</v>
      </c>
      <c r="F28" s="186">
        <v>537</v>
      </c>
      <c r="G28" s="186"/>
      <c r="H28" s="186"/>
      <c r="I28" s="280">
        <f t="shared" si="0"/>
        <v>2803</v>
      </c>
      <c r="J28" s="187"/>
      <c r="K28" s="187"/>
      <c r="L28" s="187"/>
      <c r="M28" s="281"/>
      <c r="N28" s="281"/>
      <c r="O28" s="282"/>
      <c r="P28" s="283"/>
      <c r="Q28" s="283"/>
      <c r="R28" s="178">
        <f>0.3+0.75</f>
        <v>1.05</v>
      </c>
      <c r="S28" s="174">
        <v>1.05</v>
      </c>
    </row>
    <row r="29" spans="1:19" s="170" customFormat="1" ht="30">
      <c r="A29" s="176" t="s">
        <v>262</v>
      </c>
      <c r="B29" s="173" t="s">
        <v>263</v>
      </c>
      <c r="C29" s="279">
        <f t="shared" si="1"/>
        <v>50</v>
      </c>
      <c r="D29" s="185"/>
      <c r="E29" s="186"/>
      <c r="F29" s="186"/>
      <c r="G29" s="186"/>
      <c r="H29" s="186">
        <v>50</v>
      </c>
      <c r="I29" s="280">
        <f t="shared" si="0"/>
        <v>50</v>
      </c>
      <c r="J29" s="187"/>
      <c r="K29" s="187"/>
      <c r="L29" s="187"/>
      <c r="M29" s="281"/>
      <c r="N29" s="281"/>
      <c r="O29" s="282"/>
      <c r="P29" s="283"/>
      <c r="Q29" s="283"/>
      <c r="R29" s="178"/>
      <c r="S29" s="174"/>
    </row>
    <row r="30" spans="1:19" s="170" customFormat="1" ht="15">
      <c r="A30" s="176" t="s">
        <v>368</v>
      </c>
      <c r="B30" s="173" t="s">
        <v>369</v>
      </c>
      <c r="C30" s="279">
        <f t="shared" si="1"/>
        <v>5163</v>
      </c>
      <c r="D30" s="185">
        <v>1839</v>
      </c>
      <c r="E30" s="186">
        <v>501</v>
      </c>
      <c r="F30" s="186">
        <v>2823</v>
      </c>
      <c r="G30" s="186"/>
      <c r="H30" s="186"/>
      <c r="I30" s="280">
        <f t="shared" si="0"/>
        <v>5163</v>
      </c>
      <c r="J30" s="187"/>
      <c r="K30" s="187"/>
      <c r="L30" s="187"/>
      <c r="M30" s="281"/>
      <c r="N30" s="281"/>
      <c r="O30" s="282"/>
      <c r="P30" s="283"/>
      <c r="Q30" s="283"/>
      <c r="R30" s="251">
        <v>1</v>
      </c>
      <c r="S30" s="252">
        <v>1</v>
      </c>
    </row>
    <row r="31" spans="1:19" s="170" customFormat="1" ht="30">
      <c r="A31" s="176" t="s">
        <v>370</v>
      </c>
      <c r="B31" s="173" t="s">
        <v>371</v>
      </c>
      <c r="C31" s="279">
        <f t="shared" si="1"/>
        <v>829</v>
      </c>
      <c r="D31" s="185">
        <v>320</v>
      </c>
      <c r="E31" s="186">
        <v>87</v>
      </c>
      <c r="F31" s="186">
        <v>422</v>
      </c>
      <c r="G31" s="186"/>
      <c r="H31" s="186"/>
      <c r="I31" s="280">
        <f t="shared" si="0"/>
        <v>829</v>
      </c>
      <c r="J31" s="187"/>
      <c r="K31" s="187"/>
      <c r="L31" s="187"/>
      <c r="M31" s="281"/>
      <c r="N31" s="281"/>
      <c r="O31" s="282"/>
      <c r="P31" s="283"/>
      <c r="Q31" s="283"/>
      <c r="R31" s="178"/>
      <c r="S31" s="174"/>
    </row>
    <row r="32" spans="1:19" s="170" customFormat="1" ht="30">
      <c r="A32" s="176">
        <v>101150</v>
      </c>
      <c r="B32" s="173" t="s">
        <v>264</v>
      </c>
      <c r="C32" s="279">
        <f t="shared" si="1"/>
        <v>45</v>
      </c>
      <c r="D32" s="185"/>
      <c r="E32" s="186"/>
      <c r="F32" s="186"/>
      <c r="G32" s="186">
        <v>45</v>
      </c>
      <c r="H32" s="186"/>
      <c r="I32" s="280">
        <f t="shared" si="0"/>
        <v>45</v>
      </c>
      <c r="J32" s="187"/>
      <c r="K32" s="187"/>
      <c r="L32" s="187"/>
      <c r="M32" s="281"/>
      <c r="N32" s="281"/>
      <c r="O32" s="282"/>
      <c r="P32" s="283"/>
      <c r="Q32" s="283"/>
      <c r="R32" s="178"/>
      <c r="S32" s="174"/>
    </row>
    <row r="33" spans="1:19" s="170" customFormat="1" ht="15">
      <c r="A33" s="176" t="s">
        <v>265</v>
      </c>
      <c r="B33" s="179" t="s">
        <v>46</v>
      </c>
      <c r="C33" s="279">
        <f t="shared" si="1"/>
        <v>264</v>
      </c>
      <c r="D33" s="185">
        <v>204</v>
      </c>
      <c r="E33" s="186">
        <v>50</v>
      </c>
      <c r="F33" s="186">
        <v>10</v>
      </c>
      <c r="G33" s="186"/>
      <c r="H33" s="186"/>
      <c r="I33" s="280">
        <f t="shared" si="0"/>
        <v>264</v>
      </c>
      <c r="J33" s="187"/>
      <c r="K33" s="187"/>
      <c r="L33" s="187"/>
      <c r="M33" s="281"/>
      <c r="N33" s="281"/>
      <c r="O33" s="282"/>
      <c r="P33" s="283"/>
      <c r="Q33" s="283"/>
      <c r="R33" s="178"/>
      <c r="S33" s="174"/>
    </row>
    <row r="34" spans="1:19" s="170" customFormat="1" ht="30">
      <c r="A34" s="176">
        <v>104051</v>
      </c>
      <c r="B34" s="173" t="s">
        <v>434</v>
      </c>
      <c r="C34" s="279">
        <f t="shared" si="1"/>
        <v>46</v>
      </c>
      <c r="D34" s="185"/>
      <c r="E34" s="186"/>
      <c r="F34" s="186"/>
      <c r="G34" s="186">
        <v>46</v>
      </c>
      <c r="H34" s="186"/>
      <c r="I34" s="280">
        <f t="shared" si="0"/>
        <v>46</v>
      </c>
      <c r="J34" s="187"/>
      <c r="K34" s="187"/>
      <c r="L34" s="187"/>
      <c r="M34" s="281"/>
      <c r="N34" s="281"/>
      <c r="O34" s="282"/>
      <c r="P34" s="283"/>
      <c r="Q34" s="283"/>
      <c r="R34" s="178"/>
      <c r="S34" s="174"/>
    </row>
    <row r="35" spans="1:19" s="170" customFormat="1" ht="15">
      <c r="A35" s="176">
        <v>105010</v>
      </c>
      <c r="B35" s="173" t="s">
        <v>266</v>
      </c>
      <c r="C35" s="279">
        <f t="shared" si="1"/>
        <v>147</v>
      </c>
      <c r="D35" s="185"/>
      <c r="E35" s="186"/>
      <c r="F35" s="186"/>
      <c r="G35" s="186">
        <v>147</v>
      </c>
      <c r="H35" s="186"/>
      <c r="I35" s="280">
        <f t="shared" si="0"/>
        <v>147</v>
      </c>
      <c r="J35" s="187"/>
      <c r="K35" s="187"/>
      <c r="L35" s="187"/>
      <c r="M35" s="281"/>
      <c r="N35" s="281"/>
      <c r="O35" s="282"/>
      <c r="P35" s="283"/>
      <c r="Q35" s="283"/>
      <c r="R35" s="178"/>
      <c r="S35" s="174"/>
    </row>
    <row r="36" spans="1:19" s="170" customFormat="1" ht="30">
      <c r="A36" s="176">
        <v>106020</v>
      </c>
      <c r="B36" s="173" t="s">
        <v>267</v>
      </c>
      <c r="C36" s="279">
        <f t="shared" si="1"/>
        <v>791</v>
      </c>
      <c r="D36" s="185"/>
      <c r="E36" s="186"/>
      <c r="F36" s="186"/>
      <c r="G36" s="186">
        <v>791</v>
      </c>
      <c r="H36" s="186"/>
      <c r="I36" s="280">
        <f t="shared" si="0"/>
        <v>791</v>
      </c>
      <c r="J36" s="187"/>
      <c r="K36" s="187"/>
      <c r="L36" s="187"/>
      <c r="M36" s="281"/>
      <c r="N36" s="281"/>
      <c r="O36" s="282"/>
      <c r="P36" s="283"/>
      <c r="Q36" s="283"/>
      <c r="R36" s="178">
        <v>0.6</v>
      </c>
      <c r="S36" s="174">
        <v>0.6</v>
      </c>
    </row>
    <row r="37" spans="1:19" s="170" customFormat="1" ht="15">
      <c r="A37" s="176" t="s">
        <v>268</v>
      </c>
      <c r="B37" s="179" t="s">
        <v>431</v>
      </c>
      <c r="C37" s="279">
        <f t="shared" si="1"/>
        <v>4143</v>
      </c>
      <c r="D37" s="185">
        <v>1479</v>
      </c>
      <c r="E37" s="186">
        <v>403</v>
      </c>
      <c r="F37" s="186">
        <v>2261</v>
      </c>
      <c r="G37" s="186"/>
      <c r="H37" s="186"/>
      <c r="I37" s="280">
        <f t="shared" si="0"/>
        <v>4143</v>
      </c>
      <c r="J37" s="187"/>
      <c r="K37" s="187"/>
      <c r="L37" s="187"/>
      <c r="M37" s="281"/>
      <c r="N37" s="281"/>
      <c r="O37" s="282"/>
      <c r="P37" s="283"/>
      <c r="Q37" s="283"/>
      <c r="R37" s="178"/>
      <c r="S37" s="174"/>
    </row>
    <row r="38" spans="1:19" s="170" customFormat="1" ht="15">
      <c r="A38" s="176" t="s">
        <v>432</v>
      </c>
      <c r="B38" s="179" t="s">
        <v>433</v>
      </c>
      <c r="C38" s="279">
        <f t="shared" si="1"/>
        <v>1171</v>
      </c>
      <c r="D38" s="185">
        <v>360</v>
      </c>
      <c r="E38" s="186">
        <v>98</v>
      </c>
      <c r="F38" s="186">
        <v>713</v>
      </c>
      <c r="G38" s="186"/>
      <c r="H38" s="186"/>
      <c r="I38" s="280">
        <f t="shared" si="0"/>
        <v>1171</v>
      </c>
      <c r="J38" s="187"/>
      <c r="K38" s="187"/>
      <c r="L38" s="187"/>
      <c r="M38" s="281"/>
      <c r="N38" s="281"/>
      <c r="O38" s="282"/>
      <c r="P38" s="283"/>
      <c r="Q38" s="283"/>
      <c r="R38" s="178"/>
      <c r="S38" s="174"/>
    </row>
    <row r="39" spans="1:19" s="170" customFormat="1" ht="15">
      <c r="A39" s="176">
        <v>107052</v>
      </c>
      <c r="B39" s="180" t="s">
        <v>269</v>
      </c>
      <c r="C39" s="279">
        <f t="shared" si="1"/>
        <v>360</v>
      </c>
      <c r="D39" s="185"/>
      <c r="E39" s="186"/>
      <c r="F39" s="186">
        <v>360</v>
      </c>
      <c r="G39" s="186"/>
      <c r="H39" s="186"/>
      <c r="I39" s="280">
        <f t="shared" si="0"/>
        <v>360</v>
      </c>
      <c r="J39" s="187"/>
      <c r="K39" s="187"/>
      <c r="L39" s="187"/>
      <c r="M39" s="281"/>
      <c r="N39" s="281"/>
      <c r="O39" s="282"/>
      <c r="P39" s="283"/>
      <c r="Q39" s="283"/>
      <c r="R39" s="178"/>
      <c r="S39" s="174"/>
    </row>
    <row r="40" spans="1:19" s="170" customFormat="1" ht="27.75" customHeight="1">
      <c r="A40" s="176">
        <v>107060</v>
      </c>
      <c r="B40" s="173" t="s">
        <v>270</v>
      </c>
      <c r="C40" s="279">
        <f t="shared" si="1"/>
        <v>1853</v>
      </c>
      <c r="D40" s="185"/>
      <c r="E40" s="186"/>
      <c r="F40" s="186">
        <v>249</v>
      </c>
      <c r="G40" s="186">
        <v>1604</v>
      </c>
      <c r="H40" s="186"/>
      <c r="I40" s="280">
        <f t="shared" si="0"/>
        <v>1853</v>
      </c>
      <c r="J40" s="187"/>
      <c r="K40" s="187"/>
      <c r="L40" s="187"/>
      <c r="M40" s="281"/>
      <c r="N40" s="281"/>
      <c r="O40" s="282"/>
      <c r="P40" s="283"/>
      <c r="Q40" s="283"/>
      <c r="R40" s="175">
        <v>0.4</v>
      </c>
      <c r="S40" s="174">
        <v>0.4</v>
      </c>
    </row>
    <row r="41" spans="1:19" s="170" customFormat="1" ht="15.75" thickBot="1">
      <c r="A41" s="176">
        <v>900070</v>
      </c>
      <c r="B41" s="180" t="s">
        <v>435</v>
      </c>
      <c r="C41" s="279">
        <f t="shared" si="1"/>
        <v>10107</v>
      </c>
      <c r="D41" s="185"/>
      <c r="E41" s="186"/>
      <c r="F41" s="186"/>
      <c r="G41" s="186"/>
      <c r="H41" s="186">
        <v>10107</v>
      </c>
      <c r="I41" s="280">
        <f t="shared" si="0"/>
        <v>10107</v>
      </c>
      <c r="J41" s="187"/>
      <c r="K41" s="187"/>
      <c r="L41" s="187"/>
      <c r="M41" s="281"/>
      <c r="N41" s="281"/>
      <c r="O41" s="282"/>
      <c r="P41" s="283"/>
      <c r="Q41" s="283"/>
      <c r="R41" s="178"/>
      <c r="S41" s="174"/>
    </row>
    <row r="42" spans="1:19" ht="15" thickBot="1">
      <c r="A42" s="285"/>
      <c r="B42" s="286" t="s">
        <v>378</v>
      </c>
      <c r="C42" s="287">
        <f>SUM(C14:C41)</f>
        <v>80027</v>
      </c>
      <c r="D42" s="287">
        <f aca="true" t="shared" si="2" ref="D42:J42">SUM(D14:D41)</f>
        <v>12767</v>
      </c>
      <c r="E42" s="287">
        <f t="shared" si="2"/>
        <v>3561</v>
      </c>
      <c r="F42" s="287">
        <f t="shared" si="2"/>
        <v>22876</v>
      </c>
      <c r="G42" s="287">
        <f t="shared" si="2"/>
        <v>2633</v>
      </c>
      <c r="H42" s="287">
        <f t="shared" si="2"/>
        <v>11144</v>
      </c>
      <c r="I42" s="287">
        <f t="shared" si="2"/>
        <v>52981</v>
      </c>
      <c r="J42" s="287">
        <f t="shared" si="2"/>
        <v>231</v>
      </c>
      <c r="K42" s="287"/>
      <c r="L42" s="287">
        <f>SUM(L14:L40)</f>
        <v>26815</v>
      </c>
      <c r="M42" s="287">
        <f>SUM(M14:M40)</f>
        <v>27046</v>
      </c>
      <c r="N42" s="287"/>
      <c r="O42" s="287"/>
      <c r="P42" s="287"/>
      <c r="Q42" s="288"/>
      <c r="R42" s="181">
        <f>SUM(R14:R40)</f>
        <v>4.25</v>
      </c>
      <c r="S42" s="181">
        <f>SUM(S14:S40)</f>
        <v>4.25</v>
      </c>
    </row>
  </sheetData>
  <sheetProtection password="DB7F" sheet="1" selectLockedCells="1" selectUnlockedCells="1"/>
  <mergeCells count="31">
    <mergeCell ref="I11:I13"/>
    <mergeCell ref="H11:H13"/>
    <mergeCell ref="K1:S1"/>
    <mergeCell ref="R8:S8"/>
    <mergeCell ref="A6:S6"/>
    <mergeCell ref="K11:K13"/>
    <mergeCell ref="L11:L13"/>
    <mergeCell ref="O11:O13"/>
    <mergeCell ref="P11:P13"/>
    <mergeCell ref="G11:G13"/>
    <mergeCell ref="D11:D13"/>
    <mergeCell ref="A2:P2"/>
    <mergeCell ref="A3:S3"/>
    <mergeCell ref="A5:S5"/>
    <mergeCell ref="Q11:Q13"/>
    <mergeCell ref="N11:N13"/>
    <mergeCell ref="E11:E13"/>
    <mergeCell ref="F11:F13"/>
    <mergeCell ref="R12:S13"/>
    <mergeCell ref="N10:Q10"/>
    <mergeCell ref="R10:S10"/>
    <mergeCell ref="A7:S7"/>
    <mergeCell ref="R9:S9"/>
    <mergeCell ref="D10:I10"/>
    <mergeCell ref="A9:A13"/>
    <mergeCell ref="B9:B13"/>
    <mergeCell ref="C9:C13"/>
    <mergeCell ref="D9:Q9"/>
    <mergeCell ref="J11:J13"/>
    <mergeCell ref="M11:M13"/>
    <mergeCell ref="J10:M10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266" customWidth="1"/>
    <col min="2" max="2" width="63.125" style="266" customWidth="1"/>
    <col min="3" max="6" width="26.25390625" style="266" customWidth="1"/>
    <col min="7" max="16384" width="9.125" style="266" customWidth="1"/>
  </cols>
  <sheetData>
    <row r="2" spans="1:6" s="254" customFormat="1" ht="15.75">
      <c r="A2" s="191" t="s">
        <v>534</v>
      </c>
      <c r="C2" s="255"/>
      <c r="D2" s="256"/>
      <c r="E2" s="256"/>
      <c r="F2" s="256"/>
    </row>
    <row r="3" spans="2:6" s="103" customFormat="1" ht="15" customHeight="1">
      <c r="B3" s="438"/>
      <c r="C3" s="438"/>
      <c r="D3" s="438"/>
      <c r="E3" s="438"/>
      <c r="F3" s="438"/>
    </row>
    <row r="4" spans="3:6" s="257" customFormat="1" ht="15" customHeight="1">
      <c r="C4" s="258"/>
      <c r="D4" s="259"/>
      <c r="E4" s="259"/>
      <c r="F4" s="259"/>
    </row>
    <row r="5" spans="2:6" s="188" customFormat="1" ht="15" customHeight="1">
      <c r="B5" s="439" t="s">
        <v>53</v>
      </c>
      <c r="C5" s="439"/>
      <c r="D5" s="439"/>
      <c r="E5" s="439"/>
      <c r="F5" s="439"/>
    </row>
    <row r="6" spans="2:6" s="188" customFormat="1" ht="15.75">
      <c r="B6" s="440" t="s">
        <v>379</v>
      </c>
      <c r="C6" s="440"/>
      <c r="D6" s="440"/>
      <c r="E6" s="440"/>
      <c r="F6" s="440"/>
    </row>
    <row r="7" spans="2:6" s="188" customFormat="1" ht="15" customHeight="1">
      <c r="B7" s="439" t="s">
        <v>187</v>
      </c>
      <c r="C7" s="439"/>
      <c r="D7" s="439"/>
      <c r="E7" s="439"/>
      <c r="F7" s="439"/>
    </row>
    <row r="8" spans="2:6" s="254" customFormat="1" ht="12" customHeight="1" thickBot="1">
      <c r="B8" s="255"/>
      <c r="C8" s="260"/>
      <c r="D8" s="261"/>
      <c r="E8" s="261"/>
      <c r="F8" s="262"/>
    </row>
    <row r="9" spans="1:6" s="254" customFormat="1" ht="16.5" customHeight="1" thickBot="1">
      <c r="A9" s="436" t="s">
        <v>220</v>
      </c>
      <c r="B9" s="434" t="s">
        <v>221</v>
      </c>
      <c r="C9" s="423" t="s">
        <v>380</v>
      </c>
      <c r="D9" s="426" t="s">
        <v>361</v>
      </c>
      <c r="E9" s="426"/>
      <c r="F9" s="427"/>
    </row>
    <row r="10" spans="1:6" s="254" customFormat="1" ht="33" customHeight="1" thickBot="1">
      <c r="A10" s="437"/>
      <c r="B10" s="435"/>
      <c r="C10" s="424"/>
      <c r="D10" s="263" t="s">
        <v>362</v>
      </c>
      <c r="E10" s="264" t="s">
        <v>363</v>
      </c>
      <c r="F10" s="265" t="s">
        <v>364</v>
      </c>
    </row>
    <row r="11" spans="1:6" s="254" customFormat="1" ht="22.5" customHeight="1">
      <c r="A11" s="437"/>
      <c r="B11" s="435"/>
      <c r="C11" s="424"/>
      <c r="D11" s="428" t="s">
        <v>365</v>
      </c>
      <c r="E11" s="429"/>
      <c r="F11" s="430"/>
    </row>
    <row r="12" spans="1:6" ht="12.75">
      <c r="A12" s="437"/>
      <c r="B12" s="435"/>
      <c r="C12" s="424"/>
      <c r="D12" s="431"/>
      <c r="E12" s="421"/>
      <c r="F12" s="422"/>
    </row>
    <row r="13" spans="1:6" ht="3" customHeight="1" thickBot="1">
      <c r="A13" s="433"/>
      <c r="B13" s="432"/>
      <c r="C13" s="425"/>
      <c r="D13" s="472"/>
      <c r="E13" s="473"/>
      <c r="F13" s="474"/>
    </row>
    <row r="14" spans="1:6" ht="30">
      <c r="A14" s="172" t="s">
        <v>238</v>
      </c>
      <c r="B14" s="173" t="s">
        <v>239</v>
      </c>
      <c r="C14" s="269">
        <f>SUM(D14:F14)</f>
        <v>38022</v>
      </c>
      <c r="D14" s="269">
        <f>38022-27044</f>
        <v>10978</v>
      </c>
      <c r="E14" s="269">
        <f>30792+37-3785</f>
        <v>27044</v>
      </c>
      <c r="F14" s="269"/>
    </row>
    <row r="15" spans="1:6" ht="15">
      <c r="A15" s="176" t="s">
        <v>240</v>
      </c>
      <c r="B15" s="173" t="s">
        <v>48</v>
      </c>
      <c r="C15" s="271">
        <f aca="true" t="shared" si="0" ref="C15:C41">SUM(D15:F15)</f>
        <v>64</v>
      </c>
      <c r="D15" s="271">
        <v>64</v>
      </c>
      <c r="E15" s="271"/>
      <c r="F15" s="271"/>
    </row>
    <row r="16" spans="1:6" ht="15">
      <c r="A16" s="176" t="s">
        <v>241</v>
      </c>
      <c r="B16" s="173" t="s">
        <v>242</v>
      </c>
      <c r="C16" s="271">
        <f t="shared" si="0"/>
        <v>1523</v>
      </c>
      <c r="D16" s="271">
        <f>1523-8</f>
        <v>1515</v>
      </c>
      <c r="E16" s="271">
        <v>8</v>
      </c>
      <c r="F16" s="271"/>
    </row>
    <row r="17" spans="1:6" ht="15">
      <c r="A17" s="176" t="s">
        <v>376</v>
      </c>
      <c r="B17" s="284" t="s">
        <v>377</v>
      </c>
      <c r="C17" s="271">
        <f t="shared" si="0"/>
        <v>312</v>
      </c>
      <c r="D17" s="271">
        <v>312</v>
      </c>
      <c r="E17" s="271"/>
      <c r="F17" s="271"/>
    </row>
    <row r="18" spans="1:6" ht="30">
      <c r="A18" s="176" t="s">
        <v>243</v>
      </c>
      <c r="B18" s="173" t="s">
        <v>244</v>
      </c>
      <c r="C18" s="271">
        <f t="shared" si="0"/>
        <v>237</v>
      </c>
      <c r="D18" s="271">
        <v>237</v>
      </c>
      <c r="E18" s="271"/>
      <c r="F18" s="271"/>
    </row>
    <row r="19" spans="1:6" ht="15">
      <c r="A19" s="176" t="s">
        <v>245</v>
      </c>
      <c r="B19" s="173" t="s">
        <v>246</v>
      </c>
      <c r="C19" s="271">
        <f t="shared" si="0"/>
        <v>3993</v>
      </c>
      <c r="D19" s="271">
        <v>3993</v>
      </c>
      <c r="E19" s="271"/>
      <c r="F19" s="271"/>
    </row>
    <row r="20" spans="1:6" ht="15">
      <c r="A20" s="176" t="s">
        <v>247</v>
      </c>
      <c r="B20" s="173" t="s">
        <v>248</v>
      </c>
      <c r="C20" s="271">
        <f t="shared" si="0"/>
        <v>600</v>
      </c>
      <c r="D20" s="271"/>
      <c r="E20" s="271">
        <v>600</v>
      </c>
      <c r="F20" s="271"/>
    </row>
    <row r="21" spans="1:6" ht="15">
      <c r="A21" s="176" t="s">
        <v>249</v>
      </c>
      <c r="B21" s="173" t="s">
        <v>250</v>
      </c>
      <c r="C21" s="271">
        <f t="shared" si="0"/>
        <v>3056</v>
      </c>
      <c r="D21" s="271">
        <v>3056</v>
      </c>
      <c r="E21" s="271"/>
      <c r="F21" s="271"/>
    </row>
    <row r="22" spans="1:6" ht="15">
      <c r="A22" s="176" t="s">
        <v>251</v>
      </c>
      <c r="B22" s="173" t="s">
        <v>252</v>
      </c>
      <c r="C22" s="271">
        <f t="shared" si="0"/>
        <v>381</v>
      </c>
      <c r="D22" s="271">
        <v>381</v>
      </c>
      <c r="E22" s="271"/>
      <c r="F22" s="271"/>
    </row>
    <row r="23" spans="1:6" ht="15">
      <c r="A23" s="176" t="s">
        <v>253</v>
      </c>
      <c r="B23" s="173" t="s">
        <v>254</v>
      </c>
      <c r="C23" s="271">
        <f t="shared" si="0"/>
        <v>2596</v>
      </c>
      <c r="D23" s="271">
        <f>2431-37+165</f>
        <v>2559</v>
      </c>
      <c r="E23" s="271">
        <v>37</v>
      </c>
      <c r="F23" s="271"/>
    </row>
    <row r="24" spans="1:6" ht="15">
      <c r="A24" s="176" t="s">
        <v>255</v>
      </c>
      <c r="B24" s="173" t="s">
        <v>45</v>
      </c>
      <c r="C24" s="271">
        <f t="shared" si="0"/>
        <v>60</v>
      </c>
      <c r="D24" s="271">
        <v>60</v>
      </c>
      <c r="E24" s="271"/>
      <c r="F24" s="271"/>
    </row>
    <row r="25" spans="1:6" ht="15">
      <c r="A25" s="176" t="s">
        <v>256</v>
      </c>
      <c r="B25" s="173" t="s">
        <v>257</v>
      </c>
      <c r="C25" s="271">
        <f t="shared" si="0"/>
        <v>675</v>
      </c>
      <c r="D25" s="271">
        <v>675</v>
      </c>
      <c r="E25" s="271"/>
      <c r="F25" s="271"/>
    </row>
    <row r="26" spans="1:6" ht="15">
      <c r="A26" s="176" t="s">
        <v>258</v>
      </c>
      <c r="B26" s="173" t="s">
        <v>49</v>
      </c>
      <c r="C26" s="271">
        <f t="shared" si="0"/>
        <v>536</v>
      </c>
      <c r="D26" s="271">
        <f>536-15</f>
        <v>521</v>
      </c>
      <c r="E26" s="271">
        <v>15</v>
      </c>
      <c r="F26" s="271"/>
    </row>
    <row r="27" spans="1:6" ht="15">
      <c r="A27" s="176" t="s">
        <v>259</v>
      </c>
      <c r="B27" s="173" t="s">
        <v>47</v>
      </c>
      <c r="C27" s="271">
        <f t="shared" si="0"/>
        <v>200</v>
      </c>
      <c r="D27" s="271"/>
      <c r="E27" s="271">
        <v>200</v>
      </c>
      <c r="F27" s="271"/>
    </row>
    <row r="28" spans="1:6" ht="15">
      <c r="A28" s="176" t="s">
        <v>260</v>
      </c>
      <c r="B28" s="173" t="s">
        <v>261</v>
      </c>
      <c r="C28" s="271">
        <f t="shared" si="0"/>
        <v>2803</v>
      </c>
      <c r="D28" s="271">
        <f>2803-75</f>
        <v>2728</v>
      </c>
      <c r="E28" s="271">
        <v>75</v>
      </c>
      <c r="F28" s="271"/>
    </row>
    <row r="29" spans="1:6" ht="15">
      <c r="A29" s="176" t="s">
        <v>262</v>
      </c>
      <c r="B29" s="173" t="s">
        <v>263</v>
      </c>
      <c r="C29" s="271">
        <f t="shared" si="0"/>
        <v>50</v>
      </c>
      <c r="D29" s="271"/>
      <c r="E29" s="271">
        <v>50</v>
      </c>
      <c r="F29" s="271"/>
    </row>
    <row r="30" spans="1:6" ht="15">
      <c r="A30" s="176" t="s">
        <v>368</v>
      </c>
      <c r="B30" s="173" t="s">
        <v>369</v>
      </c>
      <c r="C30" s="271">
        <f t="shared" si="0"/>
        <v>5163</v>
      </c>
      <c r="D30" s="271">
        <f>5163-68</f>
        <v>5095</v>
      </c>
      <c r="E30" s="271">
        <v>68</v>
      </c>
      <c r="F30" s="271"/>
    </row>
    <row r="31" spans="1:6" ht="15">
      <c r="A31" s="176" t="s">
        <v>370</v>
      </c>
      <c r="B31" s="173" t="s">
        <v>371</v>
      </c>
      <c r="C31" s="271">
        <f t="shared" si="0"/>
        <v>829</v>
      </c>
      <c r="D31" s="271"/>
      <c r="E31" s="271">
        <v>829</v>
      </c>
      <c r="F31" s="271"/>
    </row>
    <row r="32" spans="1:6" ht="15">
      <c r="A32" s="176">
        <v>101150</v>
      </c>
      <c r="B32" s="173" t="s">
        <v>264</v>
      </c>
      <c r="C32" s="271">
        <f t="shared" si="0"/>
        <v>45</v>
      </c>
      <c r="D32" s="271">
        <v>45</v>
      </c>
      <c r="E32" s="271"/>
      <c r="F32" s="271"/>
    </row>
    <row r="33" spans="1:6" ht="15">
      <c r="A33" s="176" t="s">
        <v>265</v>
      </c>
      <c r="B33" s="179" t="s">
        <v>46</v>
      </c>
      <c r="C33" s="271">
        <f t="shared" si="0"/>
        <v>264</v>
      </c>
      <c r="D33" s="271">
        <v>264</v>
      </c>
      <c r="E33" s="271"/>
      <c r="F33" s="271"/>
    </row>
    <row r="34" spans="1:6" ht="15">
      <c r="A34" s="176">
        <v>104051</v>
      </c>
      <c r="B34" s="180" t="s">
        <v>434</v>
      </c>
      <c r="C34" s="271">
        <f t="shared" si="0"/>
        <v>46</v>
      </c>
      <c r="D34" s="271"/>
      <c r="E34" s="271"/>
      <c r="F34" s="271">
        <v>46</v>
      </c>
    </row>
    <row r="35" spans="1:6" ht="15">
      <c r="A35" s="176">
        <v>105010</v>
      </c>
      <c r="B35" s="173" t="s">
        <v>266</v>
      </c>
      <c r="C35" s="271">
        <f t="shared" si="0"/>
        <v>147</v>
      </c>
      <c r="D35" s="271"/>
      <c r="E35" s="271"/>
      <c r="F35" s="271">
        <v>147</v>
      </c>
    </row>
    <row r="36" spans="1:6" ht="15">
      <c r="A36" s="176">
        <v>106020</v>
      </c>
      <c r="B36" s="173" t="s">
        <v>267</v>
      </c>
      <c r="C36" s="271">
        <f t="shared" si="0"/>
        <v>791</v>
      </c>
      <c r="D36" s="271">
        <v>600</v>
      </c>
      <c r="E36" s="271"/>
      <c r="F36" s="271">
        <v>191</v>
      </c>
    </row>
    <row r="37" spans="1:6" ht="15">
      <c r="A37" s="176" t="s">
        <v>268</v>
      </c>
      <c r="B37" s="179" t="s">
        <v>431</v>
      </c>
      <c r="C37" s="271">
        <f t="shared" si="0"/>
        <v>4143</v>
      </c>
      <c r="D37" s="271">
        <f>4143-54</f>
        <v>4089</v>
      </c>
      <c r="E37" s="271">
        <v>54</v>
      </c>
      <c r="F37" s="271"/>
    </row>
    <row r="38" spans="1:6" ht="15">
      <c r="A38" s="176" t="s">
        <v>432</v>
      </c>
      <c r="B38" s="179" t="s">
        <v>433</v>
      </c>
      <c r="C38" s="271">
        <f t="shared" si="0"/>
        <v>1171</v>
      </c>
      <c r="D38" s="271"/>
      <c r="E38" s="271">
        <v>1171</v>
      </c>
      <c r="F38" s="271"/>
    </row>
    <row r="39" spans="1:6" ht="15">
      <c r="A39" s="176">
        <v>107052</v>
      </c>
      <c r="B39" s="179" t="s">
        <v>269</v>
      </c>
      <c r="C39" s="271">
        <f t="shared" si="0"/>
        <v>360</v>
      </c>
      <c r="D39" s="271">
        <v>360</v>
      </c>
      <c r="E39" s="271"/>
      <c r="F39" s="271"/>
    </row>
    <row r="40" spans="1:6" ht="15">
      <c r="A40" s="176">
        <v>107060</v>
      </c>
      <c r="B40" s="179" t="s">
        <v>270</v>
      </c>
      <c r="C40" s="271">
        <f t="shared" si="0"/>
        <v>1853</v>
      </c>
      <c r="D40" s="271">
        <v>249</v>
      </c>
      <c r="E40" s="271">
        <v>1604</v>
      </c>
      <c r="F40" s="271"/>
    </row>
    <row r="41" spans="1:6" ht="15.75" thickBot="1">
      <c r="A41" s="176">
        <v>900070</v>
      </c>
      <c r="B41" s="179" t="s">
        <v>435</v>
      </c>
      <c r="C41" s="271">
        <f t="shared" si="0"/>
        <v>10107</v>
      </c>
      <c r="D41" s="271">
        <v>10107</v>
      </c>
      <c r="E41" s="271"/>
      <c r="F41" s="271"/>
    </row>
    <row r="42" spans="1:6" ht="33" customHeight="1" thickBot="1">
      <c r="A42" s="273"/>
      <c r="B42" s="274" t="s">
        <v>2</v>
      </c>
      <c r="C42" s="275">
        <f>SUM(C14:C41)</f>
        <v>80027</v>
      </c>
      <c r="D42" s="275">
        <f>SUM(D14:D41)</f>
        <v>47888</v>
      </c>
      <c r="E42" s="275">
        <f>SUM(E14:E41)</f>
        <v>31755</v>
      </c>
      <c r="F42" s="275">
        <f>SUM(F14:F41)</f>
        <v>384</v>
      </c>
    </row>
  </sheetData>
  <sheetProtection password="DB7F" sheet="1" selectLockedCells="1" selectUnlockedCells="1"/>
  <mergeCells count="9">
    <mergeCell ref="A9:A13"/>
    <mergeCell ref="B9:B13"/>
    <mergeCell ref="C9:C13"/>
    <mergeCell ref="D9:F9"/>
    <mergeCell ref="D11:F13"/>
    <mergeCell ref="B3:F3"/>
    <mergeCell ref="B5:F5"/>
    <mergeCell ref="B6:F6"/>
    <mergeCell ref="B7:F7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41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2" width="9.125" style="15" customWidth="1"/>
    <col min="3" max="3" width="23.125" style="15" customWidth="1"/>
    <col min="4" max="4" width="17.375" style="15" customWidth="1"/>
    <col min="5" max="5" width="14.375" style="15" customWidth="1"/>
    <col min="6" max="6" width="17.125" style="15" customWidth="1"/>
    <col min="7" max="16384" width="9.125" style="15" customWidth="1"/>
  </cols>
  <sheetData>
    <row r="1" spans="1:10" ht="15.75">
      <c r="A1" s="191" t="s">
        <v>535</v>
      </c>
      <c r="C1" s="126"/>
      <c r="D1" s="126"/>
      <c r="E1" s="126"/>
      <c r="F1" s="126"/>
      <c r="G1" s="126"/>
      <c r="H1" s="126"/>
      <c r="I1" s="126"/>
      <c r="J1" s="126"/>
    </row>
    <row r="2" spans="1:6" ht="15">
      <c r="A2" s="515"/>
      <c r="B2" s="515"/>
      <c r="C2" s="515"/>
      <c r="D2" s="515"/>
      <c r="E2" s="515"/>
      <c r="F2" s="515"/>
    </row>
    <row r="3" spans="1:6" ht="15">
      <c r="A3" s="515"/>
      <c r="B3" s="515"/>
      <c r="C3" s="515"/>
      <c r="D3" s="515"/>
      <c r="E3" s="515"/>
      <c r="F3" s="515"/>
    </row>
    <row r="4" ht="12.75" customHeight="1"/>
    <row r="5" spans="1:6" s="25" customFormat="1" ht="15.75">
      <c r="A5" s="516" t="s">
        <v>4</v>
      </c>
      <c r="B5" s="516"/>
      <c r="C5" s="516"/>
      <c r="D5" s="516"/>
      <c r="E5" s="516"/>
      <c r="F5" s="516"/>
    </row>
    <row r="6" spans="1:6" s="25" customFormat="1" ht="15.75">
      <c r="A6" s="516" t="s">
        <v>352</v>
      </c>
      <c r="B6" s="516"/>
      <c r="C6" s="516"/>
      <c r="D6" s="516"/>
      <c r="E6" s="516"/>
      <c r="F6" s="516"/>
    </row>
    <row r="7" spans="1:6" ht="18.75">
      <c r="A7" s="517"/>
      <c r="B7" s="517"/>
      <c r="C7" s="517"/>
      <c r="D7" s="517"/>
      <c r="E7" s="517"/>
      <c r="F7" s="517"/>
    </row>
    <row r="8" ht="15">
      <c r="F8" s="182" t="s">
        <v>8</v>
      </c>
    </row>
    <row r="9" spans="1:6" ht="15">
      <c r="A9" s="518" t="s">
        <v>0</v>
      </c>
      <c r="B9" s="519"/>
      <c r="C9" s="519"/>
      <c r="D9" s="519"/>
      <c r="E9" s="520"/>
      <c r="F9" s="512" t="s">
        <v>12</v>
      </c>
    </row>
    <row r="10" spans="1:6" ht="15">
      <c r="A10" s="521"/>
      <c r="B10" s="522"/>
      <c r="C10" s="522"/>
      <c r="D10" s="522"/>
      <c r="E10" s="523"/>
      <c r="F10" s="513"/>
    </row>
    <row r="11" spans="1:6" ht="15">
      <c r="A11" s="524"/>
      <c r="B11" s="525"/>
      <c r="C11" s="525"/>
      <c r="D11" s="525"/>
      <c r="E11" s="526"/>
      <c r="F11" s="514"/>
    </row>
    <row r="12" spans="1:6" ht="15">
      <c r="A12" s="17" t="s">
        <v>271</v>
      </c>
      <c r="E12" s="27"/>
      <c r="F12" s="28"/>
    </row>
    <row r="13" spans="1:2" s="17" customFormat="1" ht="15">
      <c r="A13" s="182"/>
      <c r="B13" s="15"/>
    </row>
    <row r="14" spans="1:5" ht="29.25" customHeight="1">
      <c r="A14" s="182"/>
      <c r="B14" s="443" t="s">
        <v>272</v>
      </c>
      <c r="C14" s="443"/>
      <c r="D14" s="443"/>
      <c r="E14" s="443"/>
    </row>
    <row r="15" spans="1:6" ht="15.75">
      <c r="A15" s="183" t="s">
        <v>56</v>
      </c>
      <c r="B15" s="18" t="s">
        <v>28</v>
      </c>
      <c r="D15" s="16"/>
      <c r="F15" s="66"/>
    </row>
    <row r="16" spans="1:6" ht="15.75">
      <c r="A16" s="184" t="s">
        <v>32</v>
      </c>
      <c r="B16" s="19" t="s">
        <v>95</v>
      </c>
      <c r="F16" s="66">
        <v>20</v>
      </c>
    </row>
    <row r="17" spans="1:6" ht="15">
      <c r="A17" s="16" t="s">
        <v>57</v>
      </c>
      <c r="B17" s="15" t="s">
        <v>34</v>
      </c>
      <c r="F17" s="66">
        <v>92</v>
      </c>
    </row>
    <row r="18" ht="13.5" customHeight="1">
      <c r="F18" s="66"/>
    </row>
    <row r="19" spans="1:6" ht="33.75" customHeight="1">
      <c r="A19" s="17"/>
      <c r="B19" s="443" t="s">
        <v>273</v>
      </c>
      <c r="C19" s="443"/>
      <c r="D19" s="443"/>
      <c r="E19" s="443"/>
      <c r="F19" s="67">
        <f>SUM(F15:F18)</f>
        <v>112</v>
      </c>
    </row>
    <row r="20" ht="13.5" customHeight="1">
      <c r="F20" s="66"/>
    </row>
    <row r="21" spans="1:6" ht="33" customHeight="1">
      <c r="A21" s="17"/>
      <c r="B21" s="443" t="s">
        <v>274</v>
      </c>
      <c r="C21" s="443"/>
      <c r="D21" s="443"/>
      <c r="E21" s="443"/>
      <c r="F21" s="66"/>
    </row>
    <row r="22" ht="13.5" customHeight="1">
      <c r="F22" s="66"/>
    </row>
    <row r="23" spans="1:6" ht="15.75">
      <c r="A23" s="16" t="s">
        <v>56</v>
      </c>
      <c r="B23" s="18" t="s">
        <v>29</v>
      </c>
      <c r="C23" s="18"/>
      <c r="F23" s="66">
        <v>50</v>
      </c>
    </row>
    <row r="24" spans="1:6" ht="13.5" customHeight="1">
      <c r="A24" s="16"/>
      <c r="F24" s="66"/>
    </row>
    <row r="25" spans="1:255" ht="15.75">
      <c r="A25" s="16" t="s">
        <v>32</v>
      </c>
      <c r="B25" s="21" t="s">
        <v>30</v>
      </c>
      <c r="C25" s="21"/>
      <c r="D25" s="21"/>
      <c r="E25" s="21"/>
      <c r="F25" s="66">
        <v>40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</row>
    <row r="26" spans="1:255" ht="15.75">
      <c r="A26" s="16" t="s">
        <v>57</v>
      </c>
      <c r="B26" s="21" t="s">
        <v>31</v>
      </c>
      <c r="C26" s="21"/>
      <c r="D26" s="21"/>
      <c r="E26" s="21"/>
      <c r="F26" s="66">
        <v>80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</row>
    <row r="27" spans="1:255" ht="15.75">
      <c r="A27" s="16" t="s">
        <v>128</v>
      </c>
      <c r="B27" s="21" t="s">
        <v>59</v>
      </c>
      <c r="C27" s="21"/>
      <c r="D27" s="21"/>
      <c r="E27" s="21"/>
      <c r="F27" s="66">
        <f>80</f>
        <v>80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</row>
    <row r="28" spans="1:255" ht="15.75">
      <c r="A28" s="16" t="s">
        <v>130</v>
      </c>
      <c r="B28" s="21" t="s">
        <v>60</v>
      </c>
      <c r="C28" s="21"/>
      <c r="D28" s="21"/>
      <c r="E28" s="21"/>
      <c r="F28" s="66">
        <v>75</v>
      </c>
      <c r="G28" s="84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</row>
    <row r="29" spans="1:6" ht="13.5" customHeight="1">
      <c r="A29" s="16" t="s">
        <v>136</v>
      </c>
      <c r="B29" s="21" t="s">
        <v>96</v>
      </c>
      <c r="F29" s="66">
        <v>600</v>
      </c>
    </row>
    <row r="30" spans="1:6" ht="13.5" customHeight="1">
      <c r="A30" s="21"/>
      <c r="F30" s="66"/>
    </row>
    <row r="31" spans="1:8" ht="32.25" customHeight="1">
      <c r="A31" s="17"/>
      <c r="B31" s="443" t="s">
        <v>275</v>
      </c>
      <c r="C31" s="443"/>
      <c r="D31" s="443"/>
      <c r="E31" s="443"/>
      <c r="F31" s="67">
        <f>SUM(F23:F30)</f>
        <v>925</v>
      </c>
      <c r="G31" s="20"/>
      <c r="H31" s="20"/>
    </row>
    <row r="32" spans="1:8" ht="12.75" customHeight="1">
      <c r="A32" s="17"/>
      <c r="F32" s="66"/>
      <c r="G32" s="20"/>
      <c r="H32" s="20"/>
    </row>
    <row r="33" spans="1:7" s="22" customFormat="1" ht="15.75">
      <c r="A33" s="17" t="s">
        <v>276</v>
      </c>
      <c r="F33" s="67">
        <f>F31+F19</f>
        <v>1037</v>
      </c>
      <c r="G33" s="23"/>
    </row>
    <row r="34" spans="1:7" s="22" customFormat="1" ht="15.75">
      <c r="A34" s="17"/>
      <c r="F34" s="67"/>
      <c r="G34" s="23"/>
    </row>
    <row r="35" spans="2:7" s="22" customFormat="1" ht="54.75" customHeight="1">
      <c r="B35" s="449" t="s">
        <v>346</v>
      </c>
      <c r="C35" s="449"/>
      <c r="D35" s="449"/>
      <c r="E35" s="449"/>
      <c r="F35" s="67"/>
      <c r="G35" s="23"/>
    </row>
    <row r="36" spans="1:7" s="22" customFormat="1" ht="15.75">
      <c r="A36" s="17"/>
      <c r="F36" s="67"/>
      <c r="G36" s="23"/>
    </row>
    <row r="37" spans="1:6" ht="31.5" customHeight="1">
      <c r="A37" s="16" t="s">
        <v>56</v>
      </c>
      <c r="B37" s="527" t="s">
        <v>347</v>
      </c>
      <c r="C37" s="527"/>
      <c r="D37" s="527"/>
      <c r="E37" s="527"/>
      <c r="F37" s="66">
        <v>26215</v>
      </c>
    </row>
    <row r="38" spans="1:7" s="22" customFormat="1" ht="15.75">
      <c r="A38" s="17"/>
      <c r="F38" s="67"/>
      <c r="G38" s="23"/>
    </row>
    <row r="39" spans="1:7" s="22" customFormat="1" ht="50.25" customHeight="1">
      <c r="A39" s="449" t="s">
        <v>348</v>
      </c>
      <c r="B39" s="449"/>
      <c r="C39" s="449"/>
      <c r="D39" s="449"/>
      <c r="E39" s="449"/>
      <c r="F39" s="67">
        <f>F37</f>
        <v>26215</v>
      </c>
      <c r="G39" s="23"/>
    </row>
    <row r="40" spans="6:7" s="22" customFormat="1" ht="15.75">
      <c r="F40" s="66"/>
      <c r="G40" s="23"/>
    </row>
    <row r="41" spans="1:6" s="24" customFormat="1" ht="18.75">
      <c r="A41" s="24" t="s">
        <v>7</v>
      </c>
      <c r="F41" s="62">
        <f>F33+F39</f>
        <v>27252</v>
      </c>
    </row>
  </sheetData>
  <sheetProtection password="DB7F" sheet="1" selectLockedCells="1" selectUnlockedCells="1"/>
  <mergeCells count="14">
    <mergeCell ref="A39:E39"/>
    <mergeCell ref="B21:E21"/>
    <mergeCell ref="B31:E31"/>
    <mergeCell ref="A9:E11"/>
    <mergeCell ref="B14:E14"/>
    <mergeCell ref="B19:E19"/>
    <mergeCell ref="B37:E37"/>
    <mergeCell ref="B35:E35"/>
    <mergeCell ref="F9:F11"/>
    <mergeCell ref="A2:F2"/>
    <mergeCell ref="A3:F3"/>
    <mergeCell ref="A5:F5"/>
    <mergeCell ref="A7:F7"/>
    <mergeCell ref="A6:F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67.875" style="47" customWidth="1"/>
    <col min="2" max="2" width="12.125" style="47" customWidth="1"/>
    <col min="3" max="3" width="16.00390625" style="61" customWidth="1"/>
    <col min="4" max="16384" width="9.125" style="47" customWidth="1"/>
  </cols>
  <sheetData>
    <row r="1" spans="1:4" ht="15.75">
      <c r="A1" s="191" t="s">
        <v>536</v>
      </c>
      <c r="B1" s="191"/>
      <c r="C1" s="191"/>
      <c r="D1" s="126"/>
    </row>
    <row r="2" spans="1:4" ht="15">
      <c r="A2" s="127"/>
      <c r="B2" s="127"/>
      <c r="C2" s="127"/>
      <c r="D2" s="126"/>
    </row>
    <row r="3" spans="1:3" ht="15.75" customHeight="1">
      <c r="A3" s="528"/>
      <c r="B3" s="528"/>
      <c r="C3" s="528"/>
    </row>
    <row r="4" spans="1:3" ht="15.75">
      <c r="A4" s="48"/>
      <c r="B4" s="48"/>
      <c r="C4" s="59"/>
    </row>
    <row r="5" spans="1:3" s="18" customFormat="1" ht="15.75" customHeight="1">
      <c r="A5" s="529" t="s">
        <v>51</v>
      </c>
      <c r="B5" s="529"/>
      <c r="C5" s="529"/>
    </row>
    <row r="6" spans="1:6" s="25" customFormat="1" ht="15.75">
      <c r="A6" s="516" t="s">
        <v>52</v>
      </c>
      <c r="B6" s="516"/>
      <c r="C6" s="516"/>
      <c r="D6" s="69"/>
      <c r="E6" s="69"/>
      <c r="F6" s="69"/>
    </row>
    <row r="7" spans="1:6" s="15" customFormat="1" ht="15">
      <c r="A7" s="515" t="s">
        <v>278</v>
      </c>
      <c r="B7" s="515"/>
      <c r="C7" s="515"/>
      <c r="D7" s="68"/>
      <c r="E7" s="68"/>
      <c r="F7" s="68"/>
    </row>
    <row r="8" spans="2:3" ht="15.75" customHeight="1" thickBot="1">
      <c r="B8" s="49"/>
      <c r="C8" s="60" t="s">
        <v>5</v>
      </c>
    </row>
    <row r="9" spans="1:3" ht="15" customHeight="1">
      <c r="A9" s="50"/>
      <c r="B9" s="51" t="s">
        <v>22</v>
      </c>
      <c r="C9" s="63" t="s">
        <v>42</v>
      </c>
    </row>
    <row r="10" spans="1:3" ht="15.75" customHeight="1">
      <c r="A10" s="52" t="s">
        <v>0</v>
      </c>
      <c r="B10" s="53"/>
      <c r="C10" s="64" t="s">
        <v>43</v>
      </c>
    </row>
    <row r="11" spans="1:3" ht="32.25" thickBot="1">
      <c r="A11" s="54"/>
      <c r="B11" s="55" t="s">
        <v>11</v>
      </c>
      <c r="C11" s="65" t="s">
        <v>44</v>
      </c>
    </row>
    <row r="12" ht="11.25" customHeight="1">
      <c r="C12" s="47"/>
    </row>
    <row r="13" ht="15.75">
      <c r="A13" s="56" t="s">
        <v>35</v>
      </c>
    </row>
    <row r="14" ht="15.75">
      <c r="A14" s="56" t="s">
        <v>10</v>
      </c>
    </row>
    <row r="15" ht="11.25" customHeight="1"/>
    <row r="16" spans="1:3" ht="15">
      <c r="A16" s="47" t="s">
        <v>63</v>
      </c>
      <c r="B16" s="73">
        <v>51</v>
      </c>
      <c r="C16" s="73">
        <v>69</v>
      </c>
    </row>
    <row r="17" spans="1:3" ht="15">
      <c r="A17" s="47" t="s">
        <v>97</v>
      </c>
      <c r="B17" s="73">
        <v>96</v>
      </c>
      <c r="C17" s="73">
        <f>B17*0.8</f>
        <v>76.80000000000001</v>
      </c>
    </row>
    <row r="18" spans="1:3" ht="15">
      <c r="A18" s="47" t="s">
        <v>103</v>
      </c>
      <c r="B18" s="66">
        <v>191</v>
      </c>
      <c r="C18" s="73">
        <f>48+133</f>
        <v>181</v>
      </c>
    </row>
    <row r="19" spans="2:3" ht="11.25" customHeight="1">
      <c r="B19" s="66"/>
      <c r="C19" s="66"/>
    </row>
    <row r="20" spans="1:2" ht="15.75">
      <c r="A20" s="56" t="s">
        <v>35</v>
      </c>
      <c r="B20" s="66"/>
    </row>
    <row r="21" spans="1:3" ht="15">
      <c r="A21" s="56" t="s">
        <v>36</v>
      </c>
      <c r="B21" s="67">
        <f>SUM(B16:B20)</f>
        <v>338</v>
      </c>
      <c r="C21" s="67">
        <f>SUM(C16:C20)</f>
        <v>326.8</v>
      </c>
    </row>
    <row r="22" ht="11.25" customHeight="1">
      <c r="B22" s="66"/>
    </row>
    <row r="23" spans="1:3" ht="15.75">
      <c r="A23" s="56" t="s">
        <v>37</v>
      </c>
      <c r="B23" s="66"/>
      <c r="C23" s="61">
        <f>B22*0.9</f>
        <v>0</v>
      </c>
    </row>
    <row r="24" spans="1:2" ht="15.75">
      <c r="A24" s="56" t="s">
        <v>10</v>
      </c>
      <c r="B24" s="66"/>
    </row>
    <row r="25" ht="11.25" customHeight="1">
      <c r="B25" s="66"/>
    </row>
    <row r="26" spans="1:2" ht="15.75">
      <c r="A26" s="47" t="s">
        <v>280</v>
      </c>
      <c r="B26" s="66">
        <v>15</v>
      </c>
    </row>
    <row r="27" spans="1:3" s="26" customFormat="1" ht="15.75">
      <c r="A27" s="26" t="s">
        <v>436</v>
      </c>
      <c r="B27" s="74">
        <v>47</v>
      </c>
      <c r="C27" s="61"/>
    </row>
    <row r="28" spans="1:2" ht="15.75">
      <c r="A28" s="47" t="s">
        <v>98</v>
      </c>
      <c r="B28" s="66">
        <f>342</f>
        <v>342</v>
      </c>
    </row>
    <row r="29" spans="1:2" ht="15.75">
      <c r="A29" s="47" t="s">
        <v>437</v>
      </c>
      <c r="B29" s="66">
        <v>45</v>
      </c>
    </row>
    <row r="30" spans="1:2" ht="30">
      <c r="A30" s="245" t="s">
        <v>438</v>
      </c>
      <c r="B30" s="66">
        <v>600</v>
      </c>
    </row>
    <row r="31" spans="1:2" ht="15.75">
      <c r="A31" s="245" t="s">
        <v>439</v>
      </c>
      <c r="B31" s="66">
        <v>700</v>
      </c>
    </row>
    <row r="32" spans="1:2" ht="15.75">
      <c r="A32" s="245" t="s">
        <v>440</v>
      </c>
      <c r="B32" s="66">
        <v>500</v>
      </c>
    </row>
    <row r="33" spans="1:2" ht="30">
      <c r="A33" s="245" t="s">
        <v>441</v>
      </c>
      <c r="B33" s="66">
        <v>46</v>
      </c>
    </row>
    <row r="34" spans="1:2" ht="15.75">
      <c r="A34" s="47" t="s">
        <v>104</v>
      </c>
      <c r="B34" s="66"/>
    </row>
    <row r="35" ht="11.25" customHeight="1">
      <c r="B35" s="66"/>
    </row>
    <row r="36" spans="1:2" ht="15.75">
      <c r="A36" s="56" t="s">
        <v>37</v>
      </c>
      <c r="B36" s="66"/>
    </row>
    <row r="37" spans="1:3" ht="15">
      <c r="A37" s="56" t="s">
        <v>38</v>
      </c>
      <c r="B37" s="67">
        <f>SUM(B26:B36)</f>
        <v>2295</v>
      </c>
      <c r="C37" s="67">
        <f>SUM(C26:C36)</f>
        <v>0</v>
      </c>
    </row>
    <row r="38" ht="11.25" customHeight="1">
      <c r="B38" s="66"/>
    </row>
    <row r="39" spans="1:3" ht="15">
      <c r="A39" s="56" t="s">
        <v>39</v>
      </c>
      <c r="B39" s="67">
        <f>B37+B21</f>
        <v>2633</v>
      </c>
      <c r="C39" s="67">
        <f>C37+C21</f>
        <v>326.8</v>
      </c>
    </row>
    <row r="40" ht="11.25" customHeight="1">
      <c r="B40" s="66"/>
    </row>
    <row r="41" spans="1:3" s="56" customFormat="1" ht="15.75">
      <c r="A41" s="56" t="s">
        <v>343</v>
      </c>
      <c r="B41" s="67"/>
      <c r="C41" s="62"/>
    </row>
    <row r="42" ht="11.25" customHeight="1">
      <c r="B42" s="66"/>
    </row>
    <row r="43" spans="1:2" ht="30" customHeight="1">
      <c r="A43" s="245" t="s">
        <v>344</v>
      </c>
      <c r="B43" s="66">
        <v>600</v>
      </c>
    </row>
    <row r="44" ht="11.25" customHeight="1">
      <c r="B44" s="66"/>
    </row>
    <row r="45" spans="1:2" ht="15.75">
      <c r="A45" s="56" t="s">
        <v>345</v>
      </c>
      <c r="B45" s="67">
        <v>600</v>
      </c>
    </row>
    <row r="46" ht="11.25" customHeight="1">
      <c r="B46" s="66"/>
    </row>
    <row r="47" spans="1:3" s="58" customFormat="1" ht="16.5">
      <c r="A47" s="57" t="s">
        <v>40</v>
      </c>
      <c r="B47" s="75"/>
      <c r="C47" s="61"/>
    </row>
    <row r="48" spans="1:3" s="58" customFormat="1" ht="16.5">
      <c r="A48" s="57" t="s">
        <v>41</v>
      </c>
      <c r="B48" s="76">
        <f>B21+B37+B45</f>
        <v>3233</v>
      </c>
      <c r="C48" s="76">
        <f>C39</f>
        <v>326.8</v>
      </c>
    </row>
    <row r="52" ht="15">
      <c r="C52" s="47"/>
    </row>
    <row r="53" ht="15.75">
      <c r="C53" s="18"/>
    </row>
    <row r="54" ht="15.75">
      <c r="C54" s="18"/>
    </row>
    <row r="55" ht="15.75">
      <c r="C55" s="62"/>
    </row>
  </sheetData>
  <sheetProtection password="DB7F" sheet="1" selectLockedCells="1" selectUnlockedCells="1"/>
  <mergeCells count="4">
    <mergeCell ref="A7:C7"/>
    <mergeCell ref="A6:C6"/>
    <mergeCell ref="A3:C3"/>
    <mergeCell ref="A5:C5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7" sqref="A7:B7"/>
    </sheetView>
  </sheetViews>
  <sheetFormatPr defaultColWidth="9.00390625" defaultRowHeight="12.75"/>
  <cols>
    <col min="1" max="1" width="75.75390625" style="19" customWidth="1"/>
    <col min="2" max="2" width="20.00390625" style="19" customWidth="1"/>
    <col min="3" max="16384" width="9.125" style="19" customWidth="1"/>
  </cols>
  <sheetData>
    <row r="1" spans="1:3" s="289" customFormat="1" ht="15">
      <c r="A1" s="278" t="s">
        <v>537</v>
      </c>
      <c r="B1" s="278"/>
      <c r="C1" s="278"/>
    </row>
    <row r="3" spans="1:2" ht="15.75">
      <c r="A3" s="493"/>
      <c r="B3" s="493"/>
    </row>
    <row r="4" spans="1:3" s="47" customFormat="1" ht="15.75" customHeight="1">
      <c r="A4" s="528"/>
      <c r="B4" s="528"/>
      <c r="C4" s="290"/>
    </row>
    <row r="5" spans="1:2" ht="15.75">
      <c r="A5" s="291"/>
      <c r="B5" s="291"/>
    </row>
    <row r="6" spans="1:2" s="293" customFormat="1" ht="18.75">
      <c r="A6" s="292" t="s">
        <v>381</v>
      </c>
      <c r="B6" s="292"/>
    </row>
    <row r="7" spans="1:2" s="293" customFormat="1" ht="18.75">
      <c r="A7" s="530" t="s">
        <v>382</v>
      </c>
      <c r="B7" s="530"/>
    </row>
    <row r="8" spans="1:2" s="293" customFormat="1" ht="18.75">
      <c r="A8" s="530" t="s">
        <v>187</v>
      </c>
      <c r="B8" s="530"/>
    </row>
    <row r="9" ht="16.5" thickBot="1"/>
    <row r="10" spans="1:2" ht="15.75">
      <c r="A10" s="294"/>
      <c r="B10" s="295" t="s">
        <v>11</v>
      </c>
    </row>
    <row r="11" spans="1:2" ht="15.75">
      <c r="A11" s="296" t="s">
        <v>383</v>
      </c>
      <c r="B11" s="296"/>
    </row>
    <row r="12" spans="1:2" ht="16.5" thickBot="1">
      <c r="A12" s="297"/>
      <c r="B12" s="298" t="s">
        <v>384</v>
      </c>
    </row>
    <row r="13" spans="1:2" ht="15.75">
      <c r="A13" s="299"/>
      <c r="B13" s="300"/>
    </row>
    <row r="14" spans="1:2" ht="18.75" customHeight="1">
      <c r="A14" s="359" t="s">
        <v>443</v>
      </c>
      <c r="B14" s="300"/>
    </row>
    <row r="15" spans="1:2" ht="15.75">
      <c r="A15" s="299"/>
      <c r="B15" s="300"/>
    </row>
    <row r="16" spans="1:2" ht="15.75">
      <c r="A16" s="306" t="s">
        <v>444</v>
      </c>
      <c r="B16" s="308">
        <v>8</v>
      </c>
    </row>
    <row r="17" spans="1:2" ht="15.75">
      <c r="A17" s="299"/>
      <c r="B17" s="300"/>
    </row>
    <row r="18" spans="1:2" ht="15.75">
      <c r="A18" s="309" t="s">
        <v>387</v>
      </c>
      <c r="B18" s="301"/>
    </row>
    <row r="19" spans="1:2" ht="13.5" customHeight="1">
      <c r="A19" s="299"/>
      <c r="B19" s="302"/>
    </row>
    <row r="20" spans="1:6" ht="15.75">
      <c r="A20" s="303" t="s">
        <v>388</v>
      </c>
      <c r="B20" s="304">
        <v>46</v>
      </c>
      <c r="C20" s="305"/>
      <c r="D20" s="305"/>
      <c r="E20" s="305"/>
      <c r="F20" s="305"/>
    </row>
    <row r="21" spans="1:2" ht="18">
      <c r="A21" s="306" t="s">
        <v>385</v>
      </c>
      <c r="B21" s="307">
        <v>12</v>
      </c>
    </row>
    <row r="22" spans="1:2" ht="15.75">
      <c r="A22" s="299" t="s">
        <v>2</v>
      </c>
      <c r="B22" s="308">
        <f>SUM(B19:B21)</f>
        <v>58</v>
      </c>
    </row>
    <row r="24" ht="15.75">
      <c r="A24" s="360" t="s">
        <v>445</v>
      </c>
    </row>
    <row r="26" spans="1:2" ht="15.75">
      <c r="A26" s="19" t="s">
        <v>446</v>
      </c>
      <c r="B26" s="361">
        <v>130</v>
      </c>
    </row>
    <row r="27" spans="1:2" ht="13.5" customHeight="1">
      <c r="A27" s="306" t="s">
        <v>385</v>
      </c>
      <c r="B27" s="307">
        <v>35</v>
      </c>
    </row>
    <row r="28" spans="1:2" ht="13.5" customHeight="1">
      <c r="A28" s="299" t="s">
        <v>2</v>
      </c>
      <c r="B28" s="308">
        <f>SUM(B26:B27)</f>
        <v>165</v>
      </c>
    </row>
    <row r="29" spans="1:2" ht="13.5" customHeight="1">
      <c r="A29" s="299"/>
      <c r="B29" s="308"/>
    </row>
    <row r="30" spans="1:2" ht="13.5" customHeight="1">
      <c r="A30" s="299"/>
      <c r="B30" s="300"/>
    </row>
    <row r="31" spans="1:2" ht="15.75">
      <c r="A31" s="299"/>
      <c r="B31" s="301"/>
    </row>
    <row r="32" spans="1:2" ht="15.75">
      <c r="A32" s="299" t="s">
        <v>386</v>
      </c>
      <c r="B32" s="308">
        <f>B16+B22+B28</f>
        <v>231</v>
      </c>
    </row>
  </sheetData>
  <sheetProtection password="DB7F" sheet="1" selectLockedCells="1" selectUnlockedCells="1"/>
  <mergeCells count="4">
    <mergeCell ref="A3:B3"/>
    <mergeCell ref="A4:B4"/>
    <mergeCell ref="A7:B7"/>
    <mergeCell ref="A8:B8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Kissp</cp:lastModifiedBy>
  <cp:lastPrinted>2015-02-06T07:24:50Z</cp:lastPrinted>
  <dcterms:created xsi:type="dcterms:W3CDTF">2002-11-26T17:22:50Z</dcterms:created>
  <dcterms:modified xsi:type="dcterms:W3CDTF">2015-02-12T09:26:30Z</dcterms:modified>
  <cp:category/>
  <cp:version/>
  <cp:contentType/>
  <cp:contentStatus/>
</cp:coreProperties>
</file>