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8" activeTab="0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2.melléklet" sheetId="18" r:id="rId18"/>
    <sheet name="9.2.1.melléklet" sheetId="19" r:id="rId19"/>
    <sheet name="9.2.2.melléklet" sheetId="20" r:id="rId20"/>
    <sheet name="9.3.melléklet" sheetId="21" r:id="rId21"/>
    <sheet name="9.3.1.melléklet" sheetId="22" r:id="rId22"/>
    <sheet name="9.3.2.melléklet" sheetId="23" r:id="rId23"/>
    <sheet name="9.3.3. melléklet" sheetId="24" r:id="rId24"/>
    <sheet name="9.4.melléklet" sheetId="25" r:id="rId25"/>
    <sheet name="9.4.1.melléklet" sheetId="26" r:id="rId26"/>
    <sheet name="9.4.2.melléklet" sheetId="27" r:id="rId27"/>
    <sheet name="9.4.3.melléklet" sheetId="28" r:id="rId28"/>
    <sheet name="10.melléklet" sheetId="29" r:id="rId29"/>
    <sheet name="1. tájékoztató " sheetId="30" r:id="rId30"/>
    <sheet name="2. tájékoztató " sheetId="31" r:id="rId31"/>
    <sheet name="3. tájékoztató " sheetId="32" r:id="rId32"/>
    <sheet name="4. tájékoztató " sheetId="33" r:id="rId33"/>
    <sheet name="5. tájékoztató " sheetId="34" r:id="rId34"/>
    <sheet name="6. tájékoztató " sheetId="35" r:id="rId35"/>
    <sheet name="7.  tájékoztató" sheetId="36" r:id="rId36"/>
    <sheet name="8. tájékoztató" sheetId="37" r:id="rId37"/>
    <sheet name="9. tájékoztató" sheetId="38" r:id="rId38"/>
    <sheet name="10.tájékoztató " sheetId="39" r:id="rId39"/>
    <sheet name="11.tájékoztató" sheetId="40" r:id="rId40"/>
    <sheet name="Munka1" sheetId="41" r:id="rId41"/>
  </sheets>
  <externalReferences>
    <externalReference r:id="rId44"/>
    <externalReference r:id="rId45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8">'9.2.1.melléklet'!$1:$6</definedName>
    <definedName name="_xlnm.Print_Titles" localSheetId="19">'9.2.2.melléklet'!$1:$6</definedName>
    <definedName name="_xlnm.Print_Titles" localSheetId="17">'9.2.melléklet'!$1:$6</definedName>
    <definedName name="_xlnm.Print_Titles" localSheetId="21">'9.3.1.melléklet'!$1:$6</definedName>
    <definedName name="_xlnm.Print_Titles" localSheetId="22">'9.3.2.melléklet'!$1:$6</definedName>
    <definedName name="_xlnm.Print_Titles" localSheetId="23">'9.3.3. melléklet'!$1:$6</definedName>
    <definedName name="_xlnm.Print_Titles" localSheetId="20">'9.3.melléklet'!$1:$6</definedName>
    <definedName name="_xlnm.Print_Area" localSheetId="29">'1. tájékoztató '!$A$1:$D$165</definedName>
    <definedName name="_xlnm.Print_Area" localSheetId="1">'1.1.melléklet'!$A$1:$F$152</definedName>
    <definedName name="_xlnm.Print_Area" localSheetId="2">'1.2.melléklet'!$A$1:$F$151</definedName>
    <definedName name="_xlnm.Print_Area" localSheetId="3">'1.3.melléklet'!$A$1:$D$148</definedName>
    <definedName name="_xlnm.Print_Area" localSheetId="4">'1.4.melléklet'!$A$1:$D$148</definedName>
    <definedName name="_xlnm.Print_Area" localSheetId="38">'10.tájékoztató '!$A$1:$F$151</definedName>
    <definedName name="_xlnm.Print_Area" localSheetId="6">'2.2.melléklet '!$A$1:$L$34</definedName>
    <definedName name="_xlnm.Print_Area" localSheetId="31">'3. tájékoztató '!$A$1:$D$31</definedName>
    <definedName name="_xlnm.Print_Area" localSheetId="33">'5. tájékoztató '!$A$1:$J$47</definedName>
    <definedName name="_xlnm.Print_Area" localSheetId="35">'7.  tájékoztató'!$A$1:$F$78</definedName>
    <definedName name="_xlnm.Print_Area" localSheetId="14">'9.1. melléklet'!$A$1:$F$150</definedName>
    <definedName name="_xlnm.Print_Area" localSheetId="15">'9.1.1. melléklet'!$A$1:$F$151</definedName>
    <definedName name="_xlnm.Print_Area" localSheetId="16">'9.1.2.melléklet'!$A$1:$E$148</definedName>
  </definedNames>
  <calcPr fullCalcOnLoad="1"/>
</workbook>
</file>

<file path=xl/sharedStrings.xml><?xml version="1.0" encoding="utf-8"?>
<sst xmlns="http://schemas.openxmlformats.org/spreadsheetml/2006/main" count="4796" uniqueCount="913">
  <si>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</si>
  <si>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</si>
  <si>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</si>
  <si>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</si>
  <si>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</si>
  <si>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</si>
  <si>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</si>
  <si>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</si>
  <si>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</si>
  <si>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</si>
  <si>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</si>
  <si>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</si>
  <si>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</si>
  <si>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</si>
  <si>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</si>
  <si>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</si>
  <si>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</si>
  <si>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</si>
  <si>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</si>
  <si>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</si>
  <si>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</si>
  <si>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</si>
  <si>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</si>
  <si>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</si>
  <si>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</si>
  <si>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</si>
  <si>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</si>
  <si>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</si>
  <si>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</si>
  <si>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</si>
  <si>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</si>
  <si>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</si>
  <si>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</si>
  <si>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</si>
  <si>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</si>
  <si>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</si>
  <si>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</si>
  <si>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</si>
  <si>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</si>
  <si>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</si>
  <si>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</si>
  <si>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</si>
  <si>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</si>
  <si>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</si>
  <si>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</si>
  <si>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</si>
  <si>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</si>
  <si>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</si>
  <si>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</si>
  <si>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</si>
  <si>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</si>
  <si>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</si>
  <si>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</si>
  <si>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</si>
  <si>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</si>
  <si>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</si>
  <si>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</si>
  <si>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</si>
  <si>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</si>
  <si>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</si>
  <si>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</si>
  <si>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</si>
  <si>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</si>
  <si>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</si>
  <si>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</si>
  <si>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</si>
  <si>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</si>
  <si>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</si>
  <si>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</si>
  <si>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</si>
  <si>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</si>
  <si>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</si>
  <si>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</si>
  <si>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</si>
  <si>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</si>
  <si>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</si>
  <si>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</si>
  <si>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</si>
  <si>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</si>
  <si>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</si>
  <si>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</si>
  <si>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</si>
  <si>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</si>
  <si>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</si>
  <si>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</si>
  <si>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Felhalmozási célú támogatások államháztartáson belülről (EGT)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</si>
  <si>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</si>
  <si>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</si>
  <si>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</si>
  <si>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</si>
  <si>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</si>
  <si>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</si>
  <si>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</si>
  <si>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</si>
  <si>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</si>
  <si>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</si>
  <si>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</si>
  <si>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</si>
  <si>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</si>
  <si>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</si>
  <si>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</si>
  <si>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</si>
  <si>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</si>
  <si>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</si>
  <si>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</si>
  <si>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</si>
  <si>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</si>
  <si>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</si>
  <si>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</si>
  <si>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</si>
  <si>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</si>
  <si>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</si>
  <si>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</si>
  <si>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</si>
  <si>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</si>
  <si>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</si>
  <si>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</si>
  <si>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</si>
  <si>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</si>
  <si>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</si>
  <si>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</si>
  <si>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</si>
  <si>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</si>
  <si>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</si>
  <si>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</si>
  <si>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</si>
  <si>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</si>
  <si>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</si>
  <si>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</si>
  <si>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</si>
  <si>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</si>
  <si>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</si>
  <si>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</si>
  <si>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</si>
  <si>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</si>
  <si>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</si>
  <si>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</si>
  <si>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</si>
  <si>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</si>
  <si>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</si>
  <si>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</si>
  <si>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</si>
  <si>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</si>
  <si>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</si>
  <si>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</si>
  <si>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</si>
  <si>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</si>
  <si>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</si>
  <si>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</si>
  <si>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</si>
  <si>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</si>
  <si>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</si>
  <si>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</si>
  <si>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</si>
  <si>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</si>
  <si>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</si>
  <si>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</si>
  <si>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</si>
  <si>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</si>
  <si>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</si>
  <si>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</si>
  <si>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</si>
  <si>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</si>
  <si>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</si>
  <si>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</si>
  <si>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</si>
  <si>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</si>
  <si>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</si>
  <si>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</si>
  <si>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</si>
  <si>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</si>
  <si>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</si>
  <si>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</si>
  <si>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</si>
  <si>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</si>
  <si>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</si>
  <si>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</si>
  <si>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</si>
  <si>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</si>
  <si>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</si>
  <si>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</si>
  <si>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</si>
  <si>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</si>
  <si>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</si>
  <si>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</si>
  <si>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</si>
  <si>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</si>
  <si>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</si>
  <si>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</si>
  <si>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</si>
  <si>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</si>
  <si>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</si>
  <si>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</si>
  <si>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</si>
  <si>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</si>
  <si>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</si>
  <si>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</si>
  <si>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</si>
  <si>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</si>
  <si>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</si>
  <si>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</si>
  <si>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</si>
  <si>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</si>
  <si>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</si>
  <si>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</si>
  <si>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</si>
  <si>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</si>
  <si>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</si>
  <si>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</si>
  <si>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</si>
  <si>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</si>
  <si>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</si>
  <si>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</si>
  <si>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</si>
  <si>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</si>
  <si>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</si>
  <si>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</si>
  <si>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</si>
  <si>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</si>
  <si>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</si>
  <si>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</si>
  <si>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</si>
  <si>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</si>
  <si>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</si>
  <si>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</si>
  <si>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</si>
  <si>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</si>
  <si>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</si>
  <si>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</si>
  <si>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</si>
  <si>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</si>
  <si>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</si>
  <si>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</si>
  <si>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</si>
  <si>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</si>
  <si>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</si>
  <si>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</si>
  <si>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</si>
  <si>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</si>
  <si>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</si>
  <si>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</si>
  <si>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</si>
  <si>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</si>
  <si>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</si>
  <si>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</si>
  <si>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</si>
  <si>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</si>
  <si>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</si>
  <si>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</si>
  <si>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</si>
  <si>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</si>
  <si>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</si>
  <si>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</si>
  <si>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</si>
  <si>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</si>
  <si>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</si>
  <si>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</si>
  <si>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</si>
  <si>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</si>
  <si>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</si>
  <si>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</si>
  <si>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</si>
  <si>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</si>
  <si>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</si>
  <si>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</si>
  <si>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</si>
  <si>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Tát Város Önkormányzat 2016. évi adósságot keletkeztető fejlesztési céljai</t>
  </si>
  <si>
    <t>......................, 2016. .......................... hó ..... nap</t>
  </si>
  <si>
    <t>Önkormányzati  választások</t>
  </si>
  <si>
    <t>2018.</t>
  </si>
  <si>
    <t>2015 előtti kifizetés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</si>
  <si>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</si>
  <si>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</si>
  <si>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</si>
  <si>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</si>
  <si>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</si>
  <si>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</si>
  <si>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</si>
  <si>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</si>
  <si>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</si>
  <si>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</si>
  <si>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</si>
  <si>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</si>
  <si>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</si>
  <si>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</si>
  <si>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</si>
  <si>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</si>
  <si>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</si>
  <si>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</si>
  <si>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</si>
  <si>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Kultúrház eszközbeszerzés  (szekrény, mikrofonkészlet, fejmikrofon, Rack doboz)</t>
  </si>
  <si>
    <t>KÖH eszközbeszerzés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</si>
  <si>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</si>
  <si>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</si>
  <si>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</si>
  <si>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</si>
  <si>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</si>
  <si>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</si>
  <si>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</si>
  <si>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</si>
  <si>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Előző év költségvetési maradványának igénybevétele (bankszámlák egyenlege, EGT is)</t>
  </si>
  <si>
    <t>Egyéb felhalmozási célú támogatások bevételei (EGT partnerektől önrész)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</si>
  <si>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</si>
  <si>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</si>
  <si>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</si>
  <si>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</si>
  <si>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</si>
  <si>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</si>
  <si>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</si>
  <si>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</si>
  <si>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</si>
  <si>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</si>
  <si>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</si>
  <si>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</si>
  <si>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</si>
  <si>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</si>
  <si>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</si>
  <si>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</si>
  <si>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</si>
  <si>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</si>
  <si>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</si>
  <si>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</si>
  <si>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</si>
  <si>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</si>
  <si>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</si>
  <si>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</si>
  <si>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</si>
  <si>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</si>
  <si>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</si>
  <si>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</si>
  <si>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</si>
  <si>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</si>
  <si>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</si>
  <si>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</si>
  <si>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</si>
  <si>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</si>
  <si>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</si>
  <si>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</si>
  <si>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</si>
  <si>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</si>
  <si>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</si>
  <si>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</si>
  <si>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</si>
  <si>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</si>
  <si>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</si>
  <si>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</si>
  <si>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</si>
  <si>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</si>
  <si>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</si>
  <si>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</si>
  <si>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</si>
  <si>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</si>
  <si>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</si>
  <si>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</si>
  <si>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</si>
  <si>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</si>
  <si>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Önkormányzati vagyonnal való gazdálkodás</t>
  </si>
  <si>
    <t>Hosszabb időtartamú közfoglalkoztatás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</si>
  <si>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</si>
  <si>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</si>
  <si>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</si>
  <si>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</si>
  <si>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</si>
  <si>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</si>
  <si>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</si>
  <si>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</si>
  <si>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</si>
  <si>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</si>
  <si>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</si>
  <si>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</si>
  <si>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</si>
  <si>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</si>
  <si>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</si>
  <si>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</si>
  <si>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</si>
  <si>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</si>
  <si>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</si>
  <si>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</si>
  <si>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</si>
  <si>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</si>
  <si>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</si>
  <si>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</si>
  <si>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</si>
  <si>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</si>
  <si>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</si>
  <si>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</si>
  <si>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Egyéb felhalmozási célú támogatások bevételei (EGT 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</si>
  <si>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</si>
  <si>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</si>
  <si>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</si>
  <si>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</si>
  <si>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</si>
  <si>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</si>
  <si>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EGT Alap/Pályázat és támogatás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</si>
  <si>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</si>
  <si>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</si>
  <si>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</si>
  <si>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</si>
  <si>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</si>
  <si>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</si>
  <si>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</si>
  <si>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2017. évi előirányzat</t>
  </si>
  <si>
    <t>2018. évi előirányzat</t>
  </si>
  <si>
    <t>2019. évi előirányzat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</si>
  <si>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</si>
  <si>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</si>
  <si>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</si>
  <si>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</si>
  <si>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</si>
  <si>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</si>
  <si>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</si>
  <si>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</si>
  <si>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</si>
  <si>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</si>
  <si>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</si>
  <si>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</si>
  <si>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</si>
  <si>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</si>
  <si>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</si>
  <si>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</si>
  <si>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</si>
  <si>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</si>
  <si>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</si>
  <si>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</si>
  <si>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</si>
  <si>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</si>
  <si>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</si>
  <si>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</si>
  <si>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</si>
  <si>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</si>
  <si>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</si>
  <si>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</si>
  <si>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</si>
  <si>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</si>
  <si>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</si>
  <si>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</si>
  <si>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</si>
  <si>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</si>
  <si>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</si>
  <si>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</si>
  <si>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</si>
  <si>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</si>
  <si>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</si>
  <si>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</si>
  <si>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</si>
  <si>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</si>
  <si>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</si>
  <si>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</si>
  <si>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</si>
  <si>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</si>
  <si>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</si>
  <si>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</si>
  <si>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</si>
  <si>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</si>
  <si>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</si>
  <si>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</si>
  <si>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</si>
  <si>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</si>
  <si>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</si>
  <si>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</si>
  <si>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</si>
  <si>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</si>
  <si>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</si>
  <si>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</si>
  <si>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</si>
  <si>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</si>
  <si>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</si>
  <si>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</si>
  <si>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</si>
  <si>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</si>
  <si>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</si>
  <si>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</si>
  <si>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</si>
  <si>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</si>
  <si>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</si>
  <si>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</si>
  <si>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</si>
  <si>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</si>
  <si>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</si>
  <si>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</si>
  <si>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</si>
  <si>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</si>
  <si>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</si>
  <si>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</si>
  <si>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</si>
  <si>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</si>
  <si>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</si>
  <si>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</si>
  <si>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</si>
  <si>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</si>
  <si>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</si>
  <si>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</si>
  <si>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</si>
  <si>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</si>
  <si>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</si>
  <si>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</si>
  <si>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</si>
  <si>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</si>
  <si>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</si>
  <si>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</si>
  <si>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</si>
  <si>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</si>
  <si>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</si>
  <si>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</si>
  <si>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</si>
  <si>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</si>
  <si>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</si>
  <si>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</si>
  <si>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</si>
  <si>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</si>
  <si>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</si>
  <si>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</si>
  <si>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</si>
  <si>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</si>
  <si>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</si>
  <si>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</si>
  <si>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</si>
  <si>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</si>
  <si>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</si>
  <si>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</si>
  <si>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</si>
  <si>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</si>
  <si>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</si>
  <si>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</si>
  <si>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</si>
  <si>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</si>
  <si>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</si>
  <si>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</si>
  <si>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</si>
  <si>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</si>
  <si>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</si>
  <si>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</si>
  <si>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</si>
  <si>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</si>
  <si>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</si>
  <si>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</si>
  <si>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</si>
  <si>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</si>
  <si>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</si>
  <si>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</si>
  <si>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</si>
  <si>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</si>
  <si>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</si>
  <si>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</si>
  <si>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</si>
  <si>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</si>
  <si>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</si>
  <si>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</si>
  <si>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</si>
  <si>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</si>
  <si>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</si>
  <si>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</si>
  <si>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</si>
  <si>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</si>
  <si>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</si>
  <si>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</si>
  <si>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</si>
  <si>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</si>
  <si>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</si>
  <si>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</si>
  <si>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</si>
  <si>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</si>
  <si>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</si>
  <si>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</si>
  <si>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</si>
  <si>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</si>
  <si>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</si>
  <si>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</si>
  <si>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</si>
  <si>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</si>
  <si>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</si>
  <si>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</si>
  <si>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</si>
  <si>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</si>
  <si>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</si>
  <si>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</si>
  <si>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</si>
  <si>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</si>
  <si>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</si>
  <si>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</si>
  <si>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</si>
  <si>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</si>
  <si>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</si>
  <si>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</si>
  <si>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</si>
  <si>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</si>
  <si>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</si>
  <si>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</si>
  <si>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</si>
  <si>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</si>
  <si>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</si>
  <si>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</si>
  <si>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</si>
  <si>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</si>
  <si>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</si>
  <si>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</si>
  <si>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</si>
  <si>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</si>
  <si>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</si>
  <si>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</si>
  <si>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</si>
  <si>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</si>
  <si>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</si>
  <si>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</si>
  <si>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</si>
  <si>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</si>
  <si>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</si>
  <si>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</si>
  <si>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</si>
  <si>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</si>
  <si>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</si>
  <si>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</si>
  <si>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</si>
  <si>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</si>
  <si>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</si>
  <si>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</si>
  <si>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</si>
  <si>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</si>
  <si>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</si>
  <si>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</si>
  <si>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</si>
  <si>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</si>
  <si>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</si>
  <si>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</si>
  <si>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</si>
  <si>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</si>
  <si>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</si>
  <si>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</si>
  <si>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</si>
  <si>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</si>
  <si>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</si>
  <si>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</si>
  <si>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</si>
  <si>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</si>
  <si>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</si>
  <si>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</si>
  <si>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</si>
  <si>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</si>
  <si>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</si>
  <si>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</si>
  <si>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</si>
  <si>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</si>
  <si>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</si>
  <si>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</si>
  <si>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</si>
  <si>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</si>
  <si>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</si>
  <si>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</si>
  <si>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</si>
  <si>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</si>
  <si>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</si>
  <si>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</si>
  <si>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</si>
  <si>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</si>
  <si>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</si>
  <si>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</si>
  <si>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</si>
  <si>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</si>
  <si>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</si>
  <si>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</si>
  <si>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</si>
  <si>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</si>
  <si>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</si>
  <si>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</si>
  <si>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</si>
  <si>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</si>
  <si>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</si>
  <si>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</si>
  <si>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</si>
  <si>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</si>
  <si>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</si>
  <si>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</si>
  <si>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</si>
  <si>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</si>
  <si>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</si>
  <si>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</si>
  <si>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</si>
  <si>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</si>
  <si>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</si>
  <si>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</si>
  <si>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</si>
  <si>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</si>
  <si>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</si>
  <si>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</si>
  <si>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</si>
  <si>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</si>
  <si>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</si>
  <si>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</si>
  <si>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</si>
  <si>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</si>
  <si>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</si>
  <si>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</si>
  <si>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</si>
  <si>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</si>
  <si>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</si>
  <si>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</si>
  <si>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</si>
  <si>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</si>
  <si>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</si>
  <si>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</si>
  <si>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</si>
  <si>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</si>
  <si>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</si>
  <si>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</si>
  <si>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</si>
  <si>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</si>
  <si>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</si>
  <si>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</si>
  <si>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</si>
  <si>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</si>
  <si>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</si>
  <si>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</si>
  <si>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</si>
  <si>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</si>
  <si>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</si>
  <si>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</si>
  <si>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</si>
  <si>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</si>
  <si>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</si>
  <si>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</si>
  <si>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</si>
  <si>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</si>
  <si>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</si>
  <si>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</si>
  <si>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</si>
  <si>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</si>
  <si>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</si>
  <si>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</si>
  <si>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</si>
  <si>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</si>
  <si>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</si>
  <si>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</si>
  <si>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</si>
  <si>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</si>
  <si>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</si>
  <si>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</si>
  <si>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</si>
  <si>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</si>
  <si>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</si>
  <si>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</si>
  <si>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</si>
  <si>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</si>
  <si>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</si>
  <si>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</si>
  <si>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</si>
  <si>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</si>
  <si>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</si>
  <si>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</si>
  <si>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</si>
  <si>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</si>
  <si>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</si>
  <si>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</si>
  <si>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</si>
  <si>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</si>
  <si>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</si>
  <si>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</si>
  <si>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</si>
  <si>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</si>
  <si>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</si>
  <si>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</si>
  <si>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</si>
  <si>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</si>
  <si>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</si>
  <si>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</si>
  <si>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</si>
  <si>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</si>
  <si>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</si>
  <si>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</si>
  <si>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</si>
  <si>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</si>
  <si>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</si>
  <si>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</si>
  <si>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</si>
  <si>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</si>
  <si>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</si>
  <si>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</si>
  <si>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</si>
  <si>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</si>
  <si>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</si>
  <si>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</si>
  <si>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</si>
  <si>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</si>
  <si>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</si>
  <si>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</si>
  <si>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</si>
  <si>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</si>
  <si>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</si>
  <si>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</si>
  <si>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</si>
  <si>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</si>
  <si>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</si>
  <si>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</si>
  <si>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</si>
  <si>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</si>
  <si>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</si>
  <si>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</si>
  <si>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</si>
  <si>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</si>
  <si>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</si>
  <si>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</si>
  <si>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</si>
  <si>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</si>
  <si>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</si>
  <si>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</si>
  <si>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</si>
  <si>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</si>
  <si>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</si>
  <si>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</si>
  <si>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</si>
  <si>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</si>
  <si>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</si>
  <si>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</si>
  <si>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</si>
  <si>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</si>
  <si>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</si>
  <si>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</si>
  <si>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</si>
  <si>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</si>
  <si>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</si>
  <si>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</si>
  <si>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</si>
  <si>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</si>
  <si>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</si>
  <si>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Tájékoztató a 2017. évi állami támogatásokról</t>
  </si>
  <si>
    <t>K I M U T A T Á S 
a 2017. évben céljelleggel juttatott támogatásokról</t>
  </si>
  <si>
    <t>2019
után</t>
  </si>
  <si>
    <t>2016. évi várható</t>
  </si>
  <si>
    <t>2017. tervezett</t>
  </si>
  <si>
    <t>2019.</t>
  </si>
  <si>
    <t>2019. után</t>
  </si>
  <si>
    <t>2017.évi előirányzat</t>
  </si>
  <si>
    <t>2020. évi előirányzat</t>
  </si>
  <si>
    <t>Felhasználás
2016. XII.31-ig</t>
  </si>
  <si>
    <t xml:space="preserve">
2017. év utáni szükséglet
</t>
  </si>
  <si>
    <t xml:space="preserve">2017. év utáni szükséglet
</t>
  </si>
  <si>
    <t>Felhasználás                                              
2016. XII.31-ig</t>
  </si>
  <si>
    <t>KEOP-Tokod-Tát szennyvízelvezetés</t>
  </si>
  <si>
    <t>Adósságkonszolidáció összesen</t>
  </si>
  <si>
    <t>KÖH</t>
  </si>
  <si>
    <t>Óvoda</t>
  </si>
  <si>
    <t>járdaburkolat Fő út</t>
  </si>
  <si>
    <t>Orvosi rendelő Fő út</t>
  </si>
  <si>
    <t>2017-2018</t>
  </si>
  <si>
    <t>Felhalmozási célú önkormányzati támogatások (adósságkonszolidáció)</t>
  </si>
  <si>
    <t>Egyéb felhalmozási célú támogatások bevételei (KEHOP szennyvíz)</t>
  </si>
  <si>
    <t>Egyéb felhalmozási célú támogatások bevételei (Norvég)</t>
  </si>
  <si>
    <t>NEMLEGES</t>
  </si>
  <si>
    <t>Előirányzat-felhasználási terv
2017. évre</t>
  </si>
  <si>
    <t xml:space="preserve">2017. eredeti        </t>
  </si>
  <si>
    <t xml:space="preserve">2017. eredeti     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</si>
  <si>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</si>
  <si>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</si>
  <si>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</si>
  <si>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</si>
  <si>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</si>
  <si>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</si>
  <si>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Egyéb felhalmozási célú támogatások bevételei(KEHOP)</t>
  </si>
  <si>
    <t>(9.1+9.2+9.3+6.200.000)</t>
  </si>
  <si>
    <t>Tartalék</t>
  </si>
  <si>
    <t xml:space="preserve">Felhalmozási célú támogatások államháztartáson belülről </t>
  </si>
  <si>
    <t>Egyéb felhalmozási célú támogatások bevételei(KEHOP szennyvíz)</t>
  </si>
  <si>
    <t>Egyéb felhalmozási célú támogatások bevételei (KEHOP)</t>
  </si>
  <si>
    <t>2017. évi előirányzat BEVÉTELEK</t>
  </si>
  <si>
    <t>2017. évi előirányzat KIADÁSOK</t>
  </si>
  <si>
    <t>2017.06. évi előirányzat</t>
  </si>
  <si>
    <t>2017.06.évi előirányzat</t>
  </si>
  <si>
    <t>2017.06.</t>
  </si>
  <si>
    <t>Működési célú központosított előirányzatok(kompenzáció)</t>
  </si>
  <si>
    <t>Egyéb működési célú támogatások bevételei (munkaerőpiaci alap)</t>
  </si>
  <si>
    <t>Helyi önkormányzatok kiegészítő támogatásai(pótlékok)</t>
  </si>
  <si>
    <t>Államháztartáson belüli elszámiolások visszafizetése</t>
  </si>
  <si>
    <t xml:space="preserve">   - Egyéb felhalmozási célú támogatások államháztartáson kívülre(Eduvizig, Nibio,BME, telkek vissz.)</t>
  </si>
  <si>
    <t>Egyéb működési célú átvett pénzeszköz (MB Óvoda elsz.2016.)</t>
  </si>
  <si>
    <t>Egyéb működési célú átvett pénzeszköz (Cafeteria 2017 MB Óvoda)</t>
  </si>
  <si>
    <t>Egyéb működési célú átvett pénzeszköz (MB Óvoda Cafeteria 2017)</t>
  </si>
  <si>
    <t>Államháztartáson belüli elszámolások visszafizetése</t>
  </si>
  <si>
    <t>Működési célú átvett pénzeszköz MB.</t>
  </si>
  <si>
    <t>Államháztartáson belüli megelőlegezések folyosítása</t>
  </si>
  <si>
    <t>Államháztartáson belüli elszámolások folyósítása</t>
  </si>
  <si>
    <t>2.1 melléklet az 1/2017 (II.7) önkormányzati rendelethez</t>
  </si>
  <si>
    <t>2.2 melléklet az 1/2017(II.7.) önkormányzati rendelethez</t>
  </si>
  <si>
    <t>9.1. melléklet az 1/2017. (II.7.) önkormányzati rendelethez</t>
  </si>
  <si>
    <t>9.1.2. melléklet az 1/2017. (II.7.) önkormányzati rendelethez</t>
  </si>
  <si>
    <t>9.2  melléklet az 1/2017. (II.7.) önkormányzati rendelethez</t>
  </si>
  <si>
    <t>9.2.2. melléklet az 1/2017. (II.7.) önkormányzati rendelethez</t>
  </si>
  <si>
    <t>9.3. melléklet az 1/2017. (II.7.) önkormányzati rendelethez</t>
  </si>
  <si>
    <t>9.3.2. melléklet az 1/2017. (II.7.) önkormányzati rendelethez</t>
  </si>
  <si>
    <t>9.3.3. melléklet az 1/2017. (II.7.) önkormányzati rendelethez</t>
  </si>
  <si>
    <t>9.4. melléklet az 1/2017. (II.7.) önkormányzati rendelethez</t>
  </si>
  <si>
    <t>9.4.2. melléklet az 1 /2017. (II.7.) önkormányzati rendelethez</t>
  </si>
  <si>
    <t>9.4.3. melléklet az 1/2017. (II.7.) önkormányzati rendelethez</t>
  </si>
  <si>
    <t>2017.09. évi előirányzat</t>
  </si>
  <si>
    <t>2015-2018</t>
  </si>
  <si>
    <t xml:space="preserve">Arculati Kézikönyv </t>
  </si>
  <si>
    <t>Ipari Park</t>
  </si>
  <si>
    <t>Óvoda+ bölcsőde pályázat TOP</t>
  </si>
  <si>
    <t>Orvosi rendelők szigetelése TOP</t>
  </si>
  <si>
    <t>2017.12. évi előirányzat</t>
  </si>
  <si>
    <t>* Módosította a 15/2017 (XII.20.) 7.sz. melléklete</t>
  </si>
  <si>
    <t>* Módosította a 15/2017 (XII.20.) 8.sz. melléklete</t>
  </si>
  <si>
    <t>* Módosította a 15/2017 (XII.20.) 9.sz. melléklete</t>
  </si>
  <si>
    <t>* Módosította a 15/2017 (XII.20.) 10.sz. melléklete</t>
  </si>
  <si>
    <t>* Módosította a  15/2017 (XII.20.) 11.sz. melléklete</t>
  </si>
  <si>
    <t>* Módosította a  15/2017 (XII.20.) 12.sz. melléklete</t>
  </si>
  <si>
    <t>* Módosította a 15/2017 (XII.20.) 13.sz. melléklete</t>
  </si>
  <si>
    <t>2017.09.</t>
  </si>
  <si>
    <t>2017.12.</t>
  </si>
  <si>
    <t>* Módosította a 15 /2017 (XII.20.) 1.sz. mellléklete</t>
  </si>
  <si>
    <t>* Módosította 15 /2017 (XII.20.) 2. sz. melléklete</t>
  </si>
  <si>
    <t>* Módosította a  15 /2017 (XII.20.) 3.sz. mellléklete</t>
  </si>
  <si>
    <t>* Módosította a  15 /2017 (XII.20.) 4.sz. mellléklete</t>
  </si>
  <si>
    <t>* Módosította a  15/2017 (XII.20.) 5.sz. melléklete</t>
  </si>
  <si>
    <t>* Módosította a 15 /2017 (XII.20.) 6.sz. melléklete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</si>
</sst>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 style="medium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thin"/>
    </border>
    <border>
      <left style="hair">
        <color indexed="8"/>
      </left>
      <right style="medium"/>
      <top/>
      <bottom style="thin"/>
    </border>
    <border>
      <left style="hair">
        <color indexed="8"/>
      </left>
      <right/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1295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8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9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41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6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8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9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9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9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8" xfId="61" applyFont="1" applyFill="1" applyBorder="1" applyAlignment="1" applyProtection="1">
      <alignment vertical="center" wrapText="1"/>
      <protection/>
    </xf>
    <xf numFmtId="164" fontId="6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0" fontId="7" fillId="0" borderId="29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0" fontId="7" fillId="0" borderId="29" xfId="62" applyFont="1" applyFill="1" applyBorder="1" applyAlignment="1" applyProtection="1">
      <alignment horizontal="left" indent="1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9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69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71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3" xfId="40" applyNumberFormat="1" applyFont="1" applyBorder="1" applyAlignment="1">
      <alignment horizontal="right" vertical="center" wrapText="1"/>
    </xf>
    <xf numFmtId="0" fontId="46" fillId="0" borderId="30" xfId="0" applyFont="1" applyBorder="1" applyAlignment="1">
      <alignment horizontal="left" vertical="center" wrapText="1"/>
    </xf>
    <xf numFmtId="49" fontId="46" fillId="0" borderId="31" xfId="0" applyNumberFormat="1" applyFont="1" applyBorder="1" applyAlignment="1">
      <alignment horizontal="center" wrapText="1"/>
    </xf>
    <xf numFmtId="166" fontId="46" fillId="0" borderId="31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67" xfId="40" applyNumberFormat="1" applyFont="1" applyBorder="1" applyAlignment="1" applyProtection="1">
      <alignment horizontal="right" vertical="center" wrapText="1"/>
      <protection locked="0"/>
    </xf>
    <xf numFmtId="166" fontId="47" fillId="0" borderId="36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166" fontId="47" fillId="0" borderId="72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9" xfId="0" applyFont="1" applyBorder="1" applyAlignment="1" applyProtection="1">
      <alignment horizontal="left" vertical="center" indent="1"/>
      <protection locked="0"/>
    </xf>
    <xf numFmtId="0" fontId="17" fillId="0" borderId="31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3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1" xfId="61" applyFont="1" applyFill="1" applyBorder="1" applyAlignment="1" applyProtection="1">
      <alignment horizontal="left" vertical="center" wrapText="1" indent="6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 applyProtection="1">
      <alignment vertical="center" wrapText="1"/>
      <protection locked="0"/>
    </xf>
    <xf numFmtId="49" fontId="14" fillId="0" borderId="39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8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5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5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33" fillId="0" borderId="76" xfId="59" applyNumberFormat="1" applyFont="1" applyFill="1" applyBorder="1" applyAlignment="1">
      <alignment horizontal="center" vertical="center"/>
      <protection/>
    </xf>
    <xf numFmtId="3" fontId="35" fillId="0" borderId="43" xfId="59" applyNumberFormat="1" applyFont="1" applyFill="1" applyBorder="1" applyAlignment="1">
      <alignment horizontal="center" wrapText="1"/>
      <protection/>
    </xf>
    <xf numFmtId="3" fontId="34" fillId="0" borderId="77" xfId="59" applyNumberFormat="1" applyFont="1" applyFill="1" applyBorder="1" applyAlignment="1">
      <alignment horizontal="center"/>
      <protection/>
    </xf>
    <xf numFmtId="3" fontId="34" fillId="0" borderId="78" xfId="59" applyNumberFormat="1" applyFont="1" applyFill="1" applyBorder="1">
      <alignment/>
      <protection/>
    </xf>
    <xf numFmtId="3" fontId="34" fillId="0" borderId="38" xfId="59" applyNumberFormat="1" applyFont="1" applyFill="1" applyBorder="1">
      <alignment/>
      <protection/>
    </xf>
    <xf numFmtId="3" fontId="34" fillId="0" borderId="79" xfId="59" applyNumberFormat="1" applyFont="1" applyFill="1" applyBorder="1" applyAlignment="1">
      <alignment horizontal="center"/>
      <protection/>
    </xf>
    <xf numFmtId="3" fontId="34" fillId="0" borderId="80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1" xfId="59" applyNumberFormat="1" applyFont="1" applyFill="1" applyBorder="1" applyAlignment="1">
      <alignment horizontal="center"/>
      <protection/>
    </xf>
    <xf numFmtId="3" fontId="34" fillId="0" borderId="82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3" xfId="59" applyNumberFormat="1" applyFont="1" applyFill="1" applyBorder="1" applyAlignment="1">
      <alignment horizontal="center"/>
      <protection/>
    </xf>
    <xf numFmtId="3" fontId="33" fillId="35" borderId="25" xfId="59" applyNumberFormat="1" applyFont="1" applyFill="1" applyBorder="1" applyAlignment="1">
      <alignment horizontal="right"/>
      <protection/>
    </xf>
    <xf numFmtId="3" fontId="34" fillId="0" borderId="84" xfId="59" applyNumberFormat="1" applyFont="1" applyFill="1" applyBorder="1" applyAlignment="1">
      <alignment horizontal="center"/>
      <protection/>
    </xf>
    <xf numFmtId="0" fontId="34" fillId="0" borderId="85" xfId="59" applyFont="1" applyBorder="1" applyAlignment="1">
      <alignment/>
      <protection/>
    </xf>
    <xf numFmtId="3" fontId="34" fillId="34" borderId="25" xfId="59" applyNumberFormat="1" applyFont="1" applyFill="1" applyBorder="1">
      <alignment/>
      <protection/>
    </xf>
    <xf numFmtId="3" fontId="34" fillId="0" borderId="86" xfId="59" applyNumberFormat="1" applyFont="1" applyFill="1" applyBorder="1">
      <alignment/>
      <protection/>
    </xf>
    <xf numFmtId="3" fontId="34" fillId="0" borderId="87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35" borderId="29" xfId="59" applyNumberFormat="1" applyFont="1" applyFill="1" applyBorder="1" applyAlignment="1">
      <alignment horizontal="right"/>
      <protection/>
    </xf>
    <xf numFmtId="3" fontId="34" fillId="0" borderId="88" xfId="59" applyNumberFormat="1" applyFont="1" applyFill="1" applyBorder="1" applyAlignment="1">
      <alignment horizontal="center"/>
      <protection/>
    </xf>
    <xf numFmtId="3" fontId="34" fillId="0" borderId="89" xfId="59" applyNumberFormat="1" applyFont="1" applyFill="1" applyBorder="1" applyAlignment="1">
      <alignment horizontal="center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27" xfId="59" applyNumberFormat="1" applyFont="1" applyFill="1" applyBorder="1">
      <alignment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3" fillId="0" borderId="75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8" xfId="59" applyNumberFormat="1" applyFont="1" applyFill="1" applyBorder="1" applyAlignment="1">
      <alignment horizontal="right"/>
      <protection/>
    </xf>
    <xf numFmtId="3" fontId="34" fillId="0" borderId="26" xfId="59" applyNumberFormat="1" applyFont="1" applyFill="1" applyBorder="1" applyAlignment="1">
      <alignment horizontal="right"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4" fillId="0" borderId="38" xfId="59" applyNumberFormat="1" applyFont="1" applyBorder="1" applyAlignment="1">
      <alignment horizontal="right"/>
      <protection/>
    </xf>
    <xf numFmtId="3" fontId="32" fillId="0" borderId="79" xfId="59" applyNumberFormat="1" applyFont="1" applyFill="1" applyBorder="1" applyAlignment="1">
      <alignment horizontal="center"/>
      <protection/>
    </xf>
    <xf numFmtId="3" fontId="37" fillId="0" borderId="80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3" xfId="59" applyNumberFormat="1" applyFont="1" applyFill="1" applyBorder="1" applyAlignment="1">
      <alignment horizontal="center"/>
      <protection/>
    </xf>
    <xf numFmtId="3" fontId="39" fillId="0" borderId="94" xfId="59" applyNumberFormat="1" applyFont="1" applyFill="1" applyBorder="1" applyAlignment="1">
      <alignment/>
      <protection/>
    </xf>
    <xf numFmtId="3" fontId="39" fillId="35" borderId="95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8" xfId="59" applyNumberFormat="1" applyFont="1" applyFill="1" applyBorder="1">
      <alignment/>
      <protection/>
    </xf>
    <xf numFmtId="3" fontId="37" fillId="0" borderId="96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1" xfId="59" applyNumberFormat="1" applyFont="1" applyFill="1" applyBorder="1" applyAlignment="1">
      <alignment horizontal="center"/>
      <protection/>
    </xf>
    <xf numFmtId="3" fontId="39" fillId="0" borderId="97" xfId="59" applyNumberFormat="1" applyFont="1" applyFill="1" applyBorder="1" applyAlignment="1">
      <alignment/>
      <protection/>
    </xf>
    <xf numFmtId="3" fontId="39" fillId="35" borderId="34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6" xfId="59" applyNumberFormat="1" applyFont="1" applyFill="1" applyBorder="1">
      <alignment/>
      <protection/>
    </xf>
    <xf numFmtId="3" fontId="37" fillId="0" borderId="37" xfId="59" applyNumberFormat="1" applyFont="1" applyFill="1" applyBorder="1">
      <alignment/>
      <protection/>
    </xf>
    <xf numFmtId="3" fontId="32" fillId="0" borderId="98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9" fillId="0" borderId="75" xfId="59" applyNumberFormat="1" applyFont="1" applyFill="1" applyBorder="1" applyAlignment="1">
      <alignment/>
      <protection/>
    </xf>
    <xf numFmtId="3" fontId="32" fillId="0" borderId="77" xfId="59" applyNumberFormat="1" applyFont="1" applyFill="1" applyBorder="1" applyAlignment="1">
      <alignment horizontal="center"/>
      <protection/>
    </xf>
    <xf numFmtId="3" fontId="37" fillId="0" borderId="99" xfId="59" applyNumberFormat="1" applyFont="1" applyFill="1" applyBorder="1">
      <alignment/>
      <protection/>
    </xf>
    <xf numFmtId="3" fontId="32" fillId="0" borderId="81" xfId="59" applyNumberFormat="1" applyFont="1" applyFill="1" applyBorder="1" applyAlignment="1">
      <alignment horizontal="center"/>
      <protection/>
    </xf>
    <xf numFmtId="3" fontId="37" fillId="0" borderId="72" xfId="59" applyNumberFormat="1" applyFont="1" applyFill="1" applyBorder="1">
      <alignment/>
      <protection/>
    </xf>
    <xf numFmtId="3" fontId="38" fillId="0" borderId="100" xfId="59" applyNumberFormat="1" applyFont="1" applyFill="1" applyBorder="1" applyAlignment="1">
      <alignment horizontal="center"/>
      <protection/>
    </xf>
    <xf numFmtId="3" fontId="39" fillId="35" borderId="58" xfId="59" applyNumberFormat="1" applyFont="1" applyFill="1" applyBorder="1">
      <alignment/>
      <protection/>
    </xf>
    <xf numFmtId="3" fontId="34" fillId="0" borderId="101" xfId="59" applyNumberFormat="1" applyFont="1" applyFill="1" applyBorder="1" applyAlignment="1">
      <alignment horizontal="right"/>
      <protection/>
    </xf>
    <xf numFmtId="3" fontId="34" fillId="0" borderId="102" xfId="59" applyNumberFormat="1" applyFont="1" applyFill="1" applyBorder="1" applyAlignment="1">
      <alignment horizontal="right"/>
      <protection/>
    </xf>
    <xf numFmtId="3" fontId="34" fillId="0" borderId="103" xfId="59" applyNumberFormat="1" applyFont="1" applyFill="1" applyBorder="1" applyAlignment="1">
      <alignment horizontal="right"/>
      <protection/>
    </xf>
    <xf numFmtId="3" fontId="33" fillId="36" borderId="33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4" xfId="60" applyNumberFormat="1" applyFont="1" applyFill="1" applyBorder="1" applyAlignment="1">
      <alignment horizontal="center" vertical="center" wrapText="1"/>
      <protection/>
    </xf>
    <xf numFmtId="3" fontId="39" fillId="0" borderId="105" xfId="60" applyNumberFormat="1" applyFont="1" applyFill="1" applyBorder="1" applyAlignment="1">
      <alignment horizontal="center" vertical="center" wrapText="1"/>
      <protection/>
    </xf>
    <xf numFmtId="3" fontId="32" fillId="0" borderId="106" xfId="60" applyNumberFormat="1" applyFont="1" applyBorder="1" applyAlignment="1">
      <alignment horizontal="center" vertical="center" wrapText="1"/>
      <protection/>
    </xf>
    <xf numFmtId="3" fontId="39" fillId="0" borderId="70" xfId="60" applyNumberFormat="1" applyFont="1" applyFill="1" applyBorder="1" applyAlignment="1">
      <alignment horizontal="center" vertical="center" wrapText="1"/>
      <protection/>
    </xf>
    <xf numFmtId="3" fontId="32" fillId="0" borderId="77" xfId="60" applyNumberFormat="1" applyFont="1" applyFill="1" applyBorder="1" applyAlignment="1">
      <alignment horizontal="center"/>
      <protection/>
    </xf>
    <xf numFmtId="3" fontId="37" fillId="0" borderId="107" xfId="60" applyNumberFormat="1" applyFont="1" applyFill="1" applyBorder="1">
      <alignment/>
      <protection/>
    </xf>
    <xf numFmtId="3" fontId="37" fillId="0" borderId="108" xfId="60" applyNumberFormat="1" applyFont="1" applyFill="1" applyBorder="1">
      <alignment/>
      <protection/>
    </xf>
    <xf numFmtId="3" fontId="37" fillId="0" borderId="34" xfId="60" applyNumberFormat="1" applyFont="1" applyFill="1" applyBorder="1">
      <alignment/>
      <protection/>
    </xf>
    <xf numFmtId="3" fontId="32" fillId="0" borderId="79" xfId="60" applyNumberFormat="1" applyFont="1" applyFill="1" applyBorder="1" applyAlignment="1">
      <alignment horizontal="center"/>
      <protection/>
    </xf>
    <xf numFmtId="3" fontId="37" fillId="0" borderId="109" xfId="60" applyNumberFormat="1" applyFont="1" applyFill="1" applyBorder="1">
      <alignment/>
      <protection/>
    </xf>
    <xf numFmtId="3" fontId="37" fillId="0" borderId="110" xfId="60" applyNumberFormat="1" applyFont="1" applyFill="1" applyBorder="1">
      <alignment/>
      <protection/>
    </xf>
    <xf numFmtId="3" fontId="32" fillId="0" borderId="81" xfId="60" applyNumberFormat="1" applyFont="1" applyFill="1" applyBorder="1" applyAlignment="1">
      <alignment horizontal="center"/>
      <protection/>
    </xf>
    <xf numFmtId="3" fontId="37" fillId="0" borderId="111" xfId="60" applyNumberFormat="1" applyFont="1" applyFill="1" applyBorder="1">
      <alignment/>
      <protection/>
    </xf>
    <xf numFmtId="3" fontId="32" fillId="0" borderId="83" xfId="60" applyNumberFormat="1" applyFont="1" applyFill="1" applyBorder="1" applyAlignment="1">
      <alignment horizontal="center"/>
      <protection/>
    </xf>
    <xf numFmtId="3" fontId="39" fillId="35" borderId="95" xfId="60" applyNumberFormat="1" applyFont="1" applyFill="1" applyBorder="1">
      <alignment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2" fillId="0" borderId="93" xfId="60" applyNumberFormat="1" applyFont="1" applyFill="1" applyBorder="1" applyAlignment="1">
      <alignment horizontal="center"/>
      <protection/>
    </xf>
    <xf numFmtId="3" fontId="37" fillId="0" borderId="112" xfId="60" applyNumberFormat="1" applyFont="1" applyFill="1" applyBorder="1">
      <alignment/>
      <protection/>
    </xf>
    <xf numFmtId="3" fontId="37" fillId="0" borderId="113" xfId="60" applyNumberFormat="1" applyFont="1" applyFill="1" applyBorder="1">
      <alignment/>
      <protection/>
    </xf>
    <xf numFmtId="3" fontId="38" fillId="0" borderId="100" xfId="60" applyNumberFormat="1" applyFont="1" applyFill="1" applyBorder="1" applyAlignment="1" quotePrefix="1">
      <alignment horizontal="center"/>
      <protection/>
    </xf>
    <xf numFmtId="3" fontId="39" fillId="0" borderId="114" xfId="60" applyNumberFormat="1" applyFont="1" applyFill="1" applyBorder="1" applyAlignment="1">
      <alignment/>
      <protection/>
    </xf>
    <xf numFmtId="3" fontId="39" fillId="35" borderId="33" xfId="60" applyNumberFormat="1" applyFont="1" applyFill="1" applyBorder="1">
      <alignment/>
      <protection/>
    </xf>
    <xf numFmtId="3" fontId="32" fillId="0" borderId="115" xfId="60" applyNumberFormat="1" applyFont="1" applyFill="1" applyBorder="1" applyAlignment="1">
      <alignment horizontal="center"/>
      <protection/>
    </xf>
    <xf numFmtId="3" fontId="37" fillId="0" borderId="116" xfId="60" applyNumberFormat="1" applyFont="1" applyFill="1" applyBorder="1">
      <alignment/>
      <protection/>
    </xf>
    <xf numFmtId="3" fontId="37" fillId="0" borderId="117" xfId="60" applyNumberFormat="1" applyFont="1" applyFill="1" applyBorder="1">
      <alignment/>
      <protection/>
    </xf>
    <xf numFmtId="3" fontId="37" fillId="0" borderId="118" xfId="60" applyNumberFormat="1" applyFont="1" applyFill="1" applyBorder="1">
      <alignment/>
      <protection/>
    </xf>
    <xf numFmtId="3" fontId="37" fillId="0" borderId="119" xfId="60" applyNumberFormat="1" applyFont="1" applyFill="1" applyBorder="1">
      <alignment/>
      <protection/>
    </xf>
    <xf numFmtId="3" fontId="32" fillId="0" borderId="120" xfId="60" applyNumberFormat="1" applyFont="1" applyFill="1" applyBorder="1" applyAlignment="1">
      <alignment horizontal="center"/>
      <protection/>
    </xf>
    <xf numFmtId="3" fontId="37" fillId="0" borderId="121" xfId="60" applyNumberFormat="1" applyFont="1" applyFill="1" applyBorder="1">
      <alignment/>
      <protection/>
    </xf>
    <xf numFmtId="3" fontId="37" fillId="0" borderId="36" xfId="60" applyNumberFormat="1" applyFont="1" applyFill="1" applyBorder="1">
      <alignment/>
      <protection/>
    </xf>
    <xf numFmtId="0" fontId="32" fillId="0" borderId="122" xfId="60" applyFont="1" applyBorder="1" applyAlignment="1">
      <alignment vertical="center"/>
      <protection/>
    </xf>
    <xf numFmtId="3" fontId="32" fillId="0" borderId="123" xfId="60" applyNumberFormat="1" applyFont="1" applyFill="1" applyBorder="1" applyAlignment="1">
      <alignment horizontal="center"/>
      <protection/>
    </xf>
    <xf numFmtId="0" fontId="32" fillId="0" borderId="124" xfId="60" applyBorder="1" applyAlignment="1">
      <alignment vertical="center"/>
      <protection/>
    </xf>
    <xf numFmtId="3" fontId="37" fillId="0" borderId="37" xfId="60" applyNumberFormat="1" applyFont="1" applyFill="1" applyBorder="1">
      <alignment/>
      <protection/>
    </xf>
    <xf numFmtId="3" fontId="38" fillId="0" borderId="125" xfId="60" applyNumberFormat="1" applyFont="1" applyFill="1" applyBorder="1" applyAlignment="1" quotePrefix="1">
      <alignment horizontal="center"/>
      <protection/>
    </xf>
    <xf numFmtId="3" fontId="39" fillId="35" borderId="126" xfId="60" applyNumberFormat="1" applyFont="1" applyFill="1" applyBorder="1">
      <alignment/>
      <protection/>
    </xf>
    <xf numFmtId="3" fontId="32" fillId="0" borderId="127" xfId="60" applyNumberFormat="1" applyFont="1" applyFill="1" applyBorder="1" applyAlignment="1">
      <alignment horizontal="center"/>
      <protection/>
    </xf>
    <xf numFmtId="3" fontId="37" fillId="0" borderId="128" xfId="60" applyNumberFormat="1" applyFont="1" applyFill="1" applyBorder="1" applyAlignment="1">
      <alignment vertical="center"/>
      <protection/>
    </xf>
    <xf numFmtId="3" fontId="37" fillId="0" borderId="129" xfId="60" applyNumberFormat="1" applyFont="1" applyFill="1" applyBorder="1">
      <alignment/>
      <protection/>
    </xf>
    <xf numFmtId="3" fontId="39" fillId="35" borderId="53" xfId="60" applyNumberFormat="1" applyFont="1" applyFill="1" applyBorder="1">
      <alignment/>
      <protection/>
    </xf>
    <xf numFmtId="0" fontId="32" fillId="0" borderId="130" xfId="60" applyFont="1" applyBorder="1" applyAlignment="1">
      <alignment vertical="center"/>
      <protection/>
    </xf>
    <xf numFmtId="3" fontId="37" fillId="0" borderId="131" xfId="60" applyNumberFormat="1" applyFont="1" applyFill="1" applyBorder="1">
      <alignment/>
      <protection/>
    </xf>
    <xf numFmtId="3" fontId="37" fillId="0" borderId="132" xfId="60" applyNumberFormat="1" applyFont="1" applyFill="1" applyBorder="1">
      <alignment/>
      <protection/>
    </xf>
    <xf numFmtId="3" fontId="39" fillId="35" borderId="72" xfId="60" applyNumberFormat="1" applyFont="1" applyFill="1" applyBorder="1">
      <alignment/>
      <protection/>
    </xf>
    <xf numFmtId="3" fontId="39" fillId="35" borderId="58" xfId="60" applyNumberFormat="1" applyFont="1" applyFill="1" applyBorder="1">
      <alignment/>
      <protection/>
    </xf>
    <xf numFmtId="3" fontId="37" fillId="0" borderId="133" xfId="60" applyNumberFormat="1" applyFont="1" applyFill="1" applyBorder="1">
      <alignment/>
      <protection/>
    </xf>
    <xf numFmtId="3" fontId="32" fillId="37" borderId="134" xfId="60" applyNumberFormat="1" applyFont="1" applyFill="1" applyBorder="1">
      <alignment/>
      <protection/>
    </xf>
    <xf numFmtId="3" fontId="34" fillId="37" borderId="34" xfId="60" applyNumberFormat="1" applyFont="1" applyFill="1" applyBorder="1">
      <alignment/>
      <protection/>
    </xf>
    <xf numFmtId="3" fontId="38" fillId="0" borderId="93" xfId="60" applyNumberFormat="1" applyFont="1" applyFill="1" applyBorder="1" applyAlignment="1">
      <alignment horizontal="center"/>
      <protection/>
    </xf>
    <xf numFmtId="3" fontId="39" fillId="0" borderId="94" xfId="60" applyNumberFormat="1" applyFont="1" applyFill="1" applyBorder="1" applyAlignment="1">
      <alignment/>
      <protection/>
    </xf>
    <xf numFmtId="3" fontId="39" fillId="0" borderId="135" xfId="60" applyNumberFormat="1" applyFont="1" applyFill="1" applyBorder="1" applyAlignment="1">
      <alignment/>
      <protection/>
    </xf>
    <xf numFmtId="3" fontId="39" fillId="35" borderId="135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35" borderId="96" xfId="60" applyNumberFormat="1" applyFont="1" applyFill="1" applyBorder="1">
      <alignment/>
      <protection/>
    </xf>
    <xf numFmtId="3" fontId="34" fillId="0" borderId="38" xfId="60" applyNumberFormat="1" applyFont="1" applyFill="1" applyBorder="1" applyAlignment="1">
      <alignment horizontal="right"/>
      <protection/>
    </xf>
    <xf numFmtId="3" fontId="34" fillId="0" borderId="25" xfId="60" applyNumberFormat="1" applyFont="1" applyFill="1" applyBorder="1" applyAlignment="1">
      <alignment horizontal="right"/>
      <protection/>
    </xf>
    <xf numFmtId="3" fontId="38" fillId="0" borderId="83" xfId="60" applyNumberFormat="1" applyFont="1" applyFill="1" applyBorder="1" applyAlignment="1">
      <alignment horizontal="center"/>
      <protection/>
    </xf>
    <xf numFmtId="3" fontId="39" fillId="0" borderId="87" xfId="60" applyNumberFormat="1" applyFont="1" applyFill="1" applyBorder="1" applyAlignment="1">
      <alignment/>
      <protection/>
    </xf>
    <xf numFmtId="3" fontId="39" fillId="0" borderId="103" xfId="60" applyNumberFormat="1" applyFont="1" applyFill="1" applyBorder="1" applyAlignment="1">
      <alignment/>
      <protection/>
    </xf>
    <xf numFmtId="3" fontId="39" fillId="35" borderId="136" xfId="60" applyNumberFormat="1" applyFont="1" applyFill="1" applyBorder="1">
      <alignment/>
      <protection/>
    </xf>
    <xf numFmtId="3" fontId="32" fillId="0" borderId="137" xfId="60" applyNumberFormat="1" applyFont="1" applyFill="1" applyBorder="1" applyAlignment="1">
      <alignment horizontal="center"/>
      <protection/>
    </xf>
    <xf numFmtId="3" fontId="37" fillId="0" borderId="138" xfId="60" applyNumberFormat="1" applyFont="1" applyFill="1" applyBorder="1">
      <alignment/>
      <protection/>
    </xf>
    <xf numFmtId="3" fontId="32" fillId="0" borderId="139" xfId="60" applyNumberFormat="1" applyFont="1" applyFill="1" applyBorder="1" applyAlignment="1">
      <alignment horizontal="center"/>
      <protection/>
    </xf>
    <xf numFmtId="3" fontId="37" fillId="0" borderId="140" xfId="60" applyNumberFormat="1" applyFont="1" applyFill="1" applyBorder="1">
      <alignment/>
      <protection/>
    </xf>
    <xf numFmtId="3" fontId="39" fillId="0" borderId="141" xfId="60" applyNumberFormat="1" applyFont="1" applyFill="1" applyBorder="1" applyAlignment="1">
      <alignment vertical="center"/>
      <protection/>
    </xf>
    <xf numFmtId="3" fontId="37" fillId="0" borderId="142" xfId="60" applyNumberFormat="1" applyFont="1" applyFill="1" applyBorder="1">
      <alignment/>
      <protection/>
    </xf>
    <xf numFmtId="3" fontId="39" fillId="36" borderId="64" xfId="60" applyNumberFormat="1" applyFont="1" applyFill="1" applyBorder="1">
      <alignment/>
      <protection/>
    </xf>
    <xf numFmtId="3" fontId="32" fillId="0" borderId="91" xfId="60" applyNumberFormat="1" applyFont="1" applyFill="1" applyBorder="1" applyAlignment="1">
      <alignment horizontal="center"/>
      <protection/>
    </xf>
    <xf numFmtId="3" fontId="37" fillId="0" borderId="75" xfId="60" applyNumberFormat="1" applyFont="1" applyFill="1" applyBorder="1" applyAlignment="1">
      <alignment vertical="center" wrapText="1"/>
      <protection/>
    </xf>
    <xf numFmtId="3" fontId="37" fillId="0" borderId="143" xfId="60" applyNumberFormat="1" applyFont="1" applyFill="1" applyBorder="1">
      <alignment/>
      <protection/>
    </xf>
    <xf numFmtId="3" fontId="37" fillId="34" borderId="53" xfId="60" applyNumberFormat="1" applyFont="1" applyFill="1" applyBorder="1">
      <alignment/>
      <protection/>
    </xf>
    <xf numFmtId="3" fontId="32" fillId="0" borderId="144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36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37" borderId="29" xfId="60" applyFont="1" applyFill="1" applyBorder="1" applyAlignment="1">
      <alignment/>
      <protection/>
    </xf>
    <xf numFmtId="3" fontId="39" fillId="38" borderId="58" xfId="60" applyNumberFormat="1" applyFont="1" applyFill="1" applyBorder="1">
      <alignment/>
      <protection/>
    </xf>
    <xf numFmtId="3" fontId="39" fillId="0" borderId="29" xfId="60" applyNumberFormat="1" applyFont="1" applyFill="1" applyBorder="1" applyAlignment="1">
      <alignment/>
      <protection/>
    </xf>
    <xf numFmtId="3" fontId="37" fillId="35" borderId="59" xfId="60" applyNumberFormat="1" applyFont="1" applyFill="1" applyBorder="1">
      <alignment/>
      <protection/>
    </xf>
    <xf numFmtId="3" fontId="37" fillId="35" borderId="53" xfId="60" applyNumberFormat="1" applyFont="1" applyFill="1" applyBorder="1">
      <alignment/>
      <protection/>
    </xf>
    <xf numFmtId="3" fontId="37" fillId="35" borderId="64" xfId="60" applyNumberFormat="1" applyFont="1" applyFill="1" applyBorder="1">
      <alignment/>
      <protection/>
    </xf>
    <xf numFmtId="3" fontId="37" fillId="39" borderId="131" xfId="60" applyNumberFormat="1" applyFont="1" applyFill="1" applyBorder="1">
      <alignment/>
      <protection/>
    </xf>
    <xf numFmtId="3" fontId="37" fillId="40" borderId="53" xfId="60" applyNumberFormat="1" applyFont="1" applyFill="1" applyBorder="1">
      <alignment/>
      <protection/>
    </xf>
    <xf numFmtId="3" fontId="32" fillId="0" borderId="145" xfId="60" applyNumberFormat="1" applyFont="1" applyFill="1" applyBorder="1" applyAlignment="1">
      <alignment horizontal="center"/>
      <protection/>
    </xf>
    <xf numFmtId="3" fontId="37" fillId="0" borderId="146" xfId="60" applyNumberFormat="1" applyFont="1" applyFill="1" applyBorder="1">
      <alignment/>
      <protection/>
    </xf>
    <xf numFmtId="3" fontId="37" fillId="35" borderId="147" xfId="60" applyNumberFormat="1" applyFont="1" applyFill="1" applyBorder="1">
      <alignment/>
      <protection/>
    </xf>
    <xf numFmtId="3" fontId="32" fillId="0" borderId="100" xfId="60" applyNumberFormat="1" applyFont="1" applyFill="1" applyBorder="1" applyAlignment="1">
      <alignment horizontal="center"/>
      <protection/>
    </xf>
    <xf numFmtId="3" fontId="39" fillId="0" borderId="148" xfId="60" applyNumberFormat="1" applyFont="1" applyFill="1" applyBorder="1">
      <alignment/>
      <protection/>
    </xf>
    <xf numFmtId="3" fontId="39" fillId="0" borderId="149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50" xfId="0" applyFont="1" applyBorder="1" applyAlignment="1">
      <alignment/>
    </xf>
    <xf numFmtId="0" fontId="0" fillId="0" borderId="61" xfId="0" applyBorder="1" applyAlignment="1">
      <alignment/>
    </xf>
    <xf numFmtId="172" fontId="33" fillId="0" borderId="151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4" xfId="0" applyNumberFormat="1" applyFont="1" applyBorder="1" applyAlignment="1">
      <alignment horizontal="center"/>
    </xf>
    <xf numFmtId="0" fontId="0" fillId="0" borderId="98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4" xfId="0" applyNumberFormat="1" applyFont="1" applyBorder="1" applyAlignment="1">
      <alignment/>
    </xf>
    <xf numFmtId="0" fontId="49" fillId="0" borderId="74" xfId="0" applyNumberFormat="1" applyFont="1" applyBorder="1" applyAlignment="1" quotePrefix="1">
      <alignment/>
    </xf>
    <xf numFmtId="3" fontId="48" fillId="41" borderId="74" xfId="0" applyNumberFormat="1" applyFont="1" applyFill="1" applyBorder="1" applyAlignment="1">
      <alignment/>
    </xf>
    <xf numFmtId="0" fontId="48" fillId="0" borderId="57" xfId="0" applyFont="1" applyFill="1" applyBorder="1" applyAlignment="1">
      <alignment/>
    </xf>
    <xf numFmtId="0" fontId="49" fillId="41" borderId="74" xfId="0" applyNumberFormat="1" applyFont="1" applyFill="1" applyBorder="1" applyAlignment="1" quotePrefix="1">
      <alignment horizontal="right"/>
    </xf>
    <xf numFmtId="1" fontId="48" fillId="0" borderId="74" xfId="0" applyNumberFormat="1" applyFont="1" applyBorder="1" applyAlignment="1">
      <alignment/>
    </xf>
    <xf numFmtId="3" fontId="48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34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1" xfId="0" applyNumberFormat="1" applyFont="1" applyBorder="1" applyAlignment="1" applyProtection="1">
      <alignment horizontal="left" indent="1"/>
      <protection/>
    </xf>
    <xf numFmtId="0" fontId="48" fillId="0" borderId="74" xfId="0" applyFont="1" applyBorder="1" applyAlignment="1">
      <alignment horizontal="right" vertical="center" wrapText="1"/>
    </xf>
    <xf numFmtId="3" fontId="48" fillId="0" borderId="74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0" fontId="48" fillId="34" borderId="74" xfId="0" applyFont="1" applyFill="1" applyBorder="1" applyAlignment="1">
      <alignment horizontal="right" vertical="center" wrapText="1"/>
    </xf>
    <xf numFmtId="3" fontId="49" fillId="34" borderId="53" xfId="0" applyNumberFormat="1" applyFont="1" applyFill="1" applyBorder="1" applyAlignment="1">
      <alignment horizontal="right" vertical="center" wrapText="1"/>
    </xf>
    <xf numFmtId="3" fontId="48" fillId="34" borderId="74" xfId="0" applyNumberFormat="1" applyFont="1" applyFill="1" applyBorder="1" applyAlignment="1">
      <alignment/>
    </xf>
    <xf numFmtId="0" fontId="49" fillId="0" borderId="91" xfId="0" applyFont="1" applyBorder="1" applyAlignment="1">
      <alignment horizontal="left"/>
    </xf>
    <xf numFmtId="3" fontId="49" fillId="34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1" xfId="0" applyNumberFormat="1" applyFont="1" applyFill="1" applyBorder="1" applyAlignment="1">
      <alignment/>
    </xf>
    <xf numFmtId="3" fontId="33" fillId="0" borderId="28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3" fontId="49" fillId="34" borderId="0" xfId="0" applyNumberFormat="1" applyFont="1" applyFill="1" applyBorder="1" applyAlignment="1">
      <alignment wrapText="1"/>
    </xf>
    <xf numFmtId="3" fontId="49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4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164" fontId="17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left" wrapText="1" indent="1"/>
      <protection/>
    </xf>
    <xf numFmtId="164" fontId="17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8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0" xfId="0" applyNumberFormat="1" applyFont="1" applyBorder="1" applyAlignment="1">
      <alignment horizontal="center" vertical="center"/>
    </xf>
    <xf numFmtId="0" fontId="0" fillId="0" borderId="1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62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3" fontId="32" fillId="0" borderId="91" xfId="59" applyNumberFormat="1" applyFont="1" applyFill="1" applyBorder="1" applyAlignment="1">
      <alignment horizontal="center"/>
      <protection/>
    </xf>
    <xf numFmtId="3" fontId="37" fillId="0" borderId="97" xfId="59" applyNumberFormat="1" applyFont="1" applyFill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vertical="center" wrapText="1"/>
      <protection locked="0"/>
    </xf>
    <xf numFmtId="49" fontId="35" fillId="0" borderId="43" xfId="59" applyNumberFormat="1" applyFont="1" applyFill="1" applyBorder="1" applyAlignment="1">
      <alignment horizontal="center" wrapText="1"/>
      <protection/>
    </xf>
    <xf numFmtId="3" fontId="39" fillId="0" borderId="152" xfId="59" applyNumberFormat="1" applyFont="1" applyFill="1" applyBorder="1" applyAlignment="1">
      <alignment/>
      <protection/>
    </xf>
    <xf numFmtId="3" fontId="34" fillId="0" borderId="153" xfId="59" applyNumberFormat="1" applyFont="1" applyFill="1" applyBorder="1">
      <alignment/>
      <protection/>
    </xf>
    <xf numFmtId="3" fontId="34" fillId="0" borderId="154" xfId="59" applyNumberFormat="1" applyFont="1" applyFill="1" applyBorder="1">
      <alignment/>
      <protection/>
    </xf>
    <xf numFmtId="3" fontId="34" fillId="0" borderId="155" xfId="59" applyNumberFormat="1" applyFont="1" applyFill="1" applyBorder="1" applyAlignment="1">
      <alignment horizontal="center"/>
      <protection/>
    </xf>
    <xf numFmtId="3" fontId="34" fillId="0" borderId="156" xfId="59" applyNumberFormat="1" applyFont="1" applyFill="1" applyBorder="1">
      <alignment/>
      <protection/>
    </xf>
    <xf numFmtId="49" fontId="39" fillId="0" borderId="70" xfId="60" applyNumberFormat="1" applyFont="1" applyFill="1" applyBorder="1" applyAlignment="1">
      <alignment horizontal="center" vertical="center" wrapText="1"/>
      <protection/>
    </xf>
    <xf numFmtId="0" fontId="17" fillId="0" borderId="67" xfId="61" applyFont="1" applyFill="1" applyBorder="1" applyAlignment="1" applyProtection="1">
      <alignment horizontal="left" vertical="center" wrapText="1" indent="1"/>
      <protection/>
    </xf>
    <xf numFmtId="0" fontId="17" fillId="0" borderId="56" xfId="61" applyFont="1" applyFill="1" applyBorder="1" applyAlignment="1" applyProtection="1">
      <alignment horizontal="left" vertical="center" wrapText="1" indent="1"/>
      <protection/>
    </xf>
    <xf numFmtId="0" fontId="15" fillId="0" borderId="55" xfId="61" applyFont="1" applyFill="1" applyBorder="1" applyAlignment="1" applyProtection="1">
      <alignment horizontal="left" vertical="center" wrapText="1" indent="1"/>
      <protection/>
    </xf>
    <xf numFmtId="0" fontId="7" fillId="0" borderId="55" xfId="0" applyFont="1" applyFill="1" applyBorder="1" applyAlignment="1" applyProtection="1">
      <alignment horizontal="left" vertical="center" wrapText="1" indent="1"/>
      <protection/>
    </xf>
    <xf numFmtId="3" fontId="34" fillId="0" borderId="157" xfId="59" applyNumberFormat="1" applyFont="1" applyFill="1" applyBorder="1" applyAlignment="1">
      <alignment/>
      <protection/>
    </xf>
    <xf numFmtId="3" fontId="34" fillId="0" borderId="97" xfId="59" applyNumberFormat="1" applyFont="1" applyFill="1" applyBorder="1" applyAlignment="1">
      <alignment horizontal="left"/>
      <protection/>
    </xf>
    <xf numFmtId="3" fontId="17" fillId="0" borderId="133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0" fillId="0" borderId="61" xfId="0" applyFill="1" applyBorder="1" applyAlignment="1" applyProtection="1">
      <alignment vertical="center" wrapText="1"/>
      <protection/>
    </xf>
    <xf numFmtId="164" fontId="7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58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1" xfId="0" applyFill="1" applyBorder="1" applyAlignment="1" applyProtection="1">
      <alignment horizontal="left" vertical="center" wrapText="1"/>
      <protection/>
    </xf>
    <xf numFmtId="164" fontId="7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5" xfId="0" applyNumberFormat="1" applyFont="1" applyFill="1" applyBorder="1" applyAlignment="1" applyProtection="1">
      <alignment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1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6" fillId="0" borderId="20" xfId="59" applyFont="1" applyBorder="1" applyAlignment="1">
      <alignment horizontal="center" vertical="center" wrapText="1"/>
      <protection/>
    </xf>
    <xf numFmtId="3" fontId="33" fillId="0" borderId="63" xfId="59" applyNumberFormat="1" applyFont="1" applyFill="1" applyBorder="1" applyAlignment="1">
      <alignment horizontal="center" vertical="center"/>
      <protection/>
    </xf>
    <xf numFmtId="3" fontId="37" fillId="0" borderId="25" xfId="59" applyNumberFormat="1" applyFont="1" applyFill="1" applyBorder="1">
      <alignment/>
      <protection/>
    </xf>
    <xf numFmtId="3" fontId="39" fillId="35" borderId="136" xfId="59" applyNumberFormat="1" applyFont="1" applyFill="1" applyBorder="1">
      <alignment/>
      <protection/>
    </xf>
    <xf numFmtId="3" fontId="37" fillId="0" borderId="159" xfId="59" applyNumberFormat="1" applyFont="1" applyFill="1" applyBorder="1">
      <alignment/>
      <protection/>
    </xf>
    <xf numFmtId="3" fontId="37" fillId="0" borderId="25" xfId="59" applyNumberFormat="1" applyFont="1" applyFill="1" applyBorder="1">
      <alignment/>
      <protection/>
    </xf>
    <xf numFmtId="3" fontId="39" fillId="35" borderId="25" xfId="59" applyNumberFormat="1" applyFont="1" applyFill="1" applyBorder="1">
      <alignment/>
      <protection/>
    </xf>
    <xf numFmtId="3" fontId="37" fillId="0" borderId="38" xfId="59" applyNumberFormat="1" applyFont="1" applyFill="1" applyBorder="1">
      <alignment/>
      <protection/>
    </xf>
    <xf numFmtId="3" fontId="37" fillId="0" borderId="26" xfId="59" applyNumberFormat="1" applyFont="1" applyFill="1" applyBorder="1">
      <alignment/>
      <protection/>
    </xf>
    <xf numFmtId="3" fontId="37" fillId="0" borderId="27" xfId="59" applyNumberFormat="1" applyFont="1" applyFill="1" applyBorder="1">
      <alignment/>
      <protection/>
    </xf>
    <xf numFmtId="3" fontId="37" fillId="0" borderId="160" xfId="59" applyNumberFormat="1" applyFont="1" applyFill="1" applyBorder="1">
      <alignment/>
      <protection/>
    </xf>
    <xf numFmtId="3" fontId="37" fillId="0" borderId="32" xfId="59" applyNumberFormat="1" applyFont="1" applyFill="1" applyBorder="1">
      <alignment/>
      <protection/>
    </xf>
    <xf numFmtId="3" fontId="39" fillId="35" borderId="29" xfId="59" applyNumberFormat="1" applyFont="1" applyFill="1" applyBorder="1">
      <alignment/>
      <protection/>
    </xf>
    <xf numFmtId="0" fontId="32" fillId="0" borderId="61" xfId="59" applyBorder="1">
      <alignment/>
      <protection/>
    </xf>
    <xf numFmtId="0" fontId="32" fillId="0" borderId="0" xfId="59" applyBorder="1">
      <alignment/>
      <protection/>
    </xf>
    <xf numFmtId="0" fontId="32" fillId="0" borderId="42" xfId="59" applyBorder="1">
      <alignment/>
      <protection/>
    </xf>
    <xf numFmtId="3" fontId="34" fillId="0" borderId="161" xfId="59" applyNumberFormat="1" applyFont="1" applyFill="1" applyBorder="1">
      <alignment/>
      <protection/>
    </xf>
    <xf numFmtId="3" fontId="34" fillId="0" borderId="162" xfId="59" applyNumberFormat="1" applyFont="1" applyFill="1" applyBorder="1" applyAlignment="1">
      <alignment horizontal="right"/>
      <protection/>
    </xf>
    <xf numFmtId="3" fontId="33" fillId="36" borderId="29" xfId="59" applyNumberFormat="1" applyFont="1" applyFill="1" applyBorder="1" applyAlignment="1">
      <alignment horizontal="right"/>
      <protection/>
    </xf>
    <xf numFmtId="164" fontId="15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7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5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55" xfId="0" applyNumberFormat="1" applyFont="1" applyBorder="1" applyAlignment="1" applyProtection="1">
      <alignment horizontal="right" vertical="center" wrapText="1" indent="1"/>
      <protection/>
    </xf>
    <xf numFmtId="164" fontId="20" fillId="0" borderId="5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6" fillId="0" borderId="61" xfId="61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1" fillId="0" borderId="61" xfId="0" applyNumberFormat="1" applyFont="1" applyFill="1" applyBorder="1" applyAlignment="1" applyProtection="1">
      <alignment horizontal="center" vertical="center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133" xfId="0" applyNumberFormat="1" applyFont="1" applyFill="1" applyBorder="1" applyAlignment="1" applyProtection="1">
      <alignment horizontal="center" vertical="center" wrapText="1"/>
      <protection/>
    </xf>
    <xf numFmtId="164" fontId="7" fillId="0" borderId="14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2" fontId="0" fillId="0" borderId="61" xfId="0" applyNumberFormat="1" applyFill="1" applyBorder="1" applyAlignment="1" applyProtection="1">
      <alignment horizontal="left" vertical="center"/>
      <protection/>
    </xf>
    <xf numFmtId="2" fontId="0" fillId="0" borderId="61" xfId="0" applyNumberFormat="1" applyBorder="1" applyAlignment="1">
      <alignment vertical="center"/>
    </xf>
    <xf numFmtId="164" fontId="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left" vertical="center"/>
      <protection/>
    </xf>
    <xf numFmtId="2" fontId="0" fillId="0" borderId="0" xfId="0" applyNumberFormat="1" applyBorder="1" applyAlignment="1">
      <alignment vertical="center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64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44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1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0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3" fillId="0" borderId="165" xfId="59" applyNumberFormat="1" applyFont="1" applyFill="1" applyBorder="1" applyAlignment="1">
      <alignment wrapText="1"/>
      <protection/>
    </xf>
    <xf numFmtId="3" fontId="33" fillId="0" borderId="166" xfId="59" applyNumberFormat="1" applyFont="1" applyFill="1" applyBorder="1" applyAlignment="1">
      <alignment wrapText="1"/>
      <protection/>
    </xf>
    <xf numFmtId="3" fontId="34" fillId="0" borderId="167" xfId="59" applyNumberFormat="1" applyFont="1" applyFill="1" applyBorder="1" applyAlignment="1">
      <alignment horizontal="left" vertical="center"/>
      <protection/>
    </xf>
    <xf numFmtId="3" fontId="34" fillId="0" borderId="168" xfId="59" applyNumberFormat="1" applyFont="1" applyFill="1" applyBorder="1" applyAlignment="1">
      <alignment horizontal="left" vertical="center"/>
      <protection/>
    </xf>
    <xf numFmtId="3" fontId="34" fillId="0" borderId="169" xfId="59" applyNumberFormat="1" applyFont="1" applyFill="1" applyBorder="1" applyAlignment="1">
      <alignment horizontal="left" vertical="center"/>
      <protection/>
    </xf>
    <xf numFmtId="3" fontId="33" fillId="0" borderId="75" xfId="59" applyNumberFormat="1" applyFont="1" applyFill="1" applyBorder="1" applyAlignment="1">
      <alignment/>
      <protection/>
    </xf>
    <xf numFmtId="3" fontId="36" fillId="0" borderId="164" xfId="59" applyNumberFormat="1" applyFont="1" applyFill="1" applyBorder="1" applyAlignment="1">
      <alignment horizontal="center" vertical="center"/>
      <protection/>
    </xf>
    <xf numFmtId="3" fontId="37" fillId="0" borderId="130" xfId="59" applyNumberFormat="1" applyFont="1" applyFill="1" applyBorder="1" applyAlignment="1">
      <alignment vertical="center" wrapText="1"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62" xfId="59" applyNumberFormat="1" applyFont="1" applyFill="1" applyBorder="1" applyAlignment="1">
      <alignment vertical="center" wrapText="1"/>
      <protection/>
    </xf>
    <xf numFmtId="3" fontId="33" fillId="0" borderId="68" xfId="59" applyNumberFormat="1" applyFont="1" applyFill="1" applyBorder="1" applyAlignment="1">
      <alignment vertical="center" wrapText="1"/>
      <protection/>
    </xf>
    <xf numFmtId="3" fontId="34" fillId="0" borderId="71" xfId="59" applyNumberFormat="1" applyFont="1" applyFill="1" applyBorder="1" applyAlignment="1">
      <alignment vertical="center" wrapText="1"/>
      <protection/>
    </xf>
    <xf numFmtId="3" fontId="34" fillId="0" borderId="62" xfId="59" applyNumberFormat="1" applyFont="1" applyFill="1" applyBorder="1" applyAlignment="1">
      <alignment vertical="center" wrapText="1"/>
      <protection/>
    </xf>
    <xf numFmtId="3" fontId="34" fillId="0" borderId="67" xfId="59" applyNumberFormat="1" applyFont="1" applyFill="1" applyBorder="1" applyAlignment="1">
      <alignment vertical="center" wrapText="1"/>
      <protection/>
    </xf>
    <xf numFmtId="3" fontId="36" fillId="0" borderId="170" xfId="59" applyNumberFormat="1" applyFont="1" applyFill="1" applyBorder="1" applyAlignment="1">
      <alignment horizontal="center" vertical="center"/>
      <protection/>
    </xf>
    <xf numFmtId="3" fontId="33" fillId="0" borderId="171" xfId="59" applyNumberFormat="1" applyFont="1" applyFill="1" applyBorder="1" applyAlignment="1">
      <alignment/>
      <protection/>
    </xf>
    <xf numFmtId="3" fontId="33" fillId="0" borderId="114" xfId="59" applyNumberFormat="1" applyFont="1" applyFill="1" applyBorder="1" applyAlignment="1">
      <alignment/>
      <protection/>
    </xf>
    <xf numFmtId="3" fontId="34" fillId="0" borderId="167" xfId="59" applyNumberFormat="1" applyFont="1" applyFill="1" applyBorder="1" applyAlignment="1">
      <alignment vertical="center" wrapText="1"/>
      <protection/>
    </xf>
    <xf numFmtId="3" fontId="34" fillId="0" borderId="168" xfId="59" applyNumberFormat="1" applyFont="1" applyFill="1" applyBorder="1" applyAlignment="1">
      <alignment vertical="center" wrapText="1"/>
      <protection/>
    </xf>
    <xf numFmtId="3" fontId="34" fillId="0" borderId="169" xfId="59" applyNumberFormat="1" applyFont="1" applyFill="1" applyBorder="1" applyAlignment="1">
      <alignment vertical="center" wrapText="1"/>
      <protection/>
    </xf>
    <xf numFmtId="0" fontId="36" fillId="0" borderId="13" xfId="59" applyFont="1" applyBorder="1" applyAlignment="1">
      <alignment horizontal="center" vertical="center" wrapText="1"/>
      <protection/>
    </xf>
    <xf numFmtId="3" fontId="37" fillId="0" borderId="172" xfId="59" applyNumberFormat="1" applyFont="1" applyFill="1" applyBorder="1" applyAlignment="1">
      <alignment vertical="center" wrapText="1"/>
      <protection/>
    </xf>
    <xf numFmtId="3" fontId="39" fillId="0" borderId="130" xfId="59" applyNumberFormat="1" applyFont="1" applyFill="1" applyBorder="1" applyAlignment="1">
      <alignment vertical="center" wrapText="1"/>
      <protection/>
    </xf>
    <xf numFmtId="3" fontId="33" fillId="0" borderId="173" xfId="59" applyNumberFormat="1" applyFont="1" applyFill="1" applyBorder="1" applyAlignment="1">
      <alignment/>
      <protection/>
    </xf>
    <xf numFmtId="3" fontId="33" fillId="0" borderId="174" xfId="59" applyNumberFormat="1" applyFont="1" applyFill="1" applyBorder="1" applyAlignment="1">
      <alignment/>
      <protection/>
    </xf>
    <xf numFmtId="3" fontId="34" fillId="0" borderId="130" xfId="59" applyNumberFormat="1" applyFont="1" applyFill="1" applyBorder="1" applyAlignment="1">
      <alignment vertical="center"/>
      <protection/>
    </xf>
    <xf numFmtId="3" fontId="33" fillId="0" borderId="175" xfId="59" applyNumberFormat="1" applyFont="1" applyFill="1" applyBorder="1" applyAlignment="1">
      <alignment/>
      <protection/>
    </xf>
    <xf numFmtId="3" fontId="34" fillId="0" borderId="176" xfId="59" applyNumberFormat="1" applyFont="1" applyFill="1" applyBorder="1" applyAlignment="1">
      <alignment vertical="center"/>
      <protection/>
    </xf>
    <xf numFmtId="3" fontId="33" fillId="0" borderId="177" xfId="59" applyNumberFormat="1" applyFont="1" applyFill="1" applyBorder="1" applyAlignment="1">
      <alignment vertical="center" wrapText="1"/>
      <protection/>
    </xf>
    <xf numFmtId="3" fontId="33" fillId="0" borderId="130" xfId="59" applyNumberFormat="1" applyFont="1" applyFill="1" applyBorder="1" applyAlignment="1">
      <alignment vertical="center" wrapText="1"/>
      <protection/>
    </xf>
    <xf numFmtId="3" fontId="33" fillId="0" borderId="178" xfId="59" applyNumberFormat="1" applyFont="1" applyFill="1" applyBorder="1" applyAlignment="1">
      <alignment vertical="center" wrapText="1"/>
      <protection/>
    </xf>
    <xf numFmtId="3" fontId="36" fillId="0" borderId="151" xfId="59" applyNumberFormat="1" applyFont="1" applyFill="1" applyBorder="1" applyAlignment="1">
      <alignment horizontal="left" vertical="center" wrapText="1"/>
      <protection/>
    </xf>
    <xf numFmtId="3" fontId="36" fillId="0" borderId="61" xfId="59" applyNumberFormat="1" applyFont="1" applyFill="1" applyBorder="1" applyAlignment="1">
      <alignment horizontal="left" vertical="center" wrapText="1"/>
      <protection/>
    </xf>
    <xf numFmtId="3" fontId="37" fillId="0" borderId="86" xfId="59" applyNumberFormat="1" applyFont="1" applyFill="1" applyBorder="1" applyAlignment="1">
      <alignment vertical="center" wrapText="1"/>
      <protection/>
    </xf>
    <xf numFmtId="3" fontId="37" fillId="0" borderId="130" xfId="59" applyNumberFormat="1" applyFont="1" applyFill="1" applyBorder="1" applyAlignment="1">
      <alignment wrapText="1"/>
      <protection/>
    </xf>
    <xf numFmtId="3" fontId="37" fillId="0" borderId="179" xfId="59" applyNumberFormat="1" applyFont="1" applyFill="1" applyBorder="1" applyAlignment="1">
      <alignment wrapText="1"/>
      <protection/>
    </xf>
    <xf numFmtId="3" fontId="39" fillId="0" borderId="180" xfId="59" applyNumberFormat="1" applyFont="1" applyFill="1" applyBorder="1" applyAlignment="1">
      <alignment/>
      <protection/>
    </xf>
    <xf numFmtId="3" fontId="39" fillId="0" borderId="114" xfId="59" applyNumberFormat="1" applyFont="1" applyFill="1" applyBorder="1" applyAlignment="1">
      <alignment/>
      <protection/>
    </xf>
    <xf numFmtId="0" fontId="34" fillId="0" borderId="181" xfId="60" applyFont="1" applyBorder="1" applyAlignment="1">
      <alignment vertical="center"/>
      <protection/>
    </xf>
    <xf numFmtId="0" fontId="34" fillId="0" borderId="182" xfId="60" applyFont="1" applyBorder="1" applyAlignment="1">
      <alignment vertical="center"/>
      <protection/>
    </xf>
    <xf numFmtId="0" fontId="34" fillId="0" borderId="183" xfId="60" applyFont="1" applyBorder="1" applyAlignment="1">
      <alignment vertical="center"/>
      <protection/>
    </xf>
    <xf numFmtId="3" fontId="39" fillId="0" borderId="94" xfId="60" applyNumberFormat="1" applyFont="1" applyFill="1" applyBorder="1" applyAlignment="1">
      <alignment vertical="center" wrapText="1"/>
      <protection/>
    </xf>
    <xf numFmtId="0" fontId="38" fillId="0" borderId="135" xfId="60" applyFont="1" applyBorder="1" applyAlignment="1">
      <alignment/>
      <protection/>
    </xf>
    <xf numFmtId="3" fontId="37" fillId="0" borderId="184" xfId="60" applyNumberFormat="1" applyFont="1" applyFill="1" applyBorder="1" applyAlignment="1">
      <alignment vertical="center"/>
      <protection/>
    </xf>
    <xf numFmtId="3" fontId="37" fillId="0" borderId="185" xfId="60" applyNumberFormat="1" applyFont="1" applyFill="1" applyBorder="1" applyAlignment="1">
      <alignment vertical="center"/>
      <protection/>
    </xf>
    <xf numFmtId="3" fontId="37" fillId="0" borderId="177" xfId="60" applyNumberFormat="1" applyFont="1" applyFill="1" applyBorder="1" applyAlignment="1">
      <alignment vertical="center"/>
      <protection/>
    </xf>
    <xf numFmtId="3" fontId="37" fillId="0" borderId="130" xfId="60" applyNumberFormat="1" applyFont="1" applyFill="1" applyBorder="1" applyAlignment="1">
      <alignment vertical="center"/>
      <protection/>
    </xf>
    <xf numFmtId="3" fontId="37" fillId="0" borderId="186" xfId="60" applyNumberFormat="1" applyFont="1" applyFill="1" applyBorder="1" applyAlignment="1">
      <alignment vertical="center"/>
      <protection/>
    </xf>
    <xf numFmtId="3" fontId="37" fillId="0" borderId="128" xfId="60" applyNumberFormat="1" applyFont="1" applyFill="1" applyBorder="1" applyAlignment="1">
      <alignment vertical="center"/>
      <protection/>
    </xf>
    <xf numFmtId="3" fontId="37" fillId="0" borderId="109" xfId="60" applyNumberFormat="1" applyFont="1" applyFill="1" applyBorder="1" applyAlignment="1">
      <alignment vertical="center"/>
      <protection/>
    </xf>
    <xf numFmtId="3" fontId="39" fillId="0" borderId="187" xfId="60" applyNumberFormat="1" applyFont="1" applyFill="1" applyBorder="1" applyAlignment="1">
      <alignment/>
      <protection/>
    </xf>
    <xf numFmtId="3" fontId="39" fillId="0" borderId="188" xfId="60" applyNumberFormat="1" applyFont="1" applyFill="1" applyBorder="1" applyAlignment="1">
      <alignment/>
      <protection/>
    </xf>
    <xf numFmtId="3" fontId="39" fillId="0" borderId="189" xfId="60" applyNumberFormat="1" applyFont="1" applyFill="1" applyBorder="1" applyAlignment="1">
      <alignment/>
      <protection/>
    </xf>
    <xf numFmtId="3" fontId="39" fillId="0" borderId="142" xfId="60" applyNumberFormat="1" applyFont="1" applyFill="1" applyBorder="1" applyAlignment="1">
      <alignment/>
      <protection/>
    </xf>
    <xf numFmtId="3" fontId="37" fillId="0" borderId="176" xfId="60" applyNumberFormat="1" applyFont="1" applyFill="1" applyBorder="1" applyAlignment="1">
      <alignment vertical="center"/>
      <protection/>
    </xf>
    <xf numFmtId="3" fontId="37" fillId="0" borderId="186" xfId="60" applyNumberFormat="1" applyFont="1" applyFill="1" applyBorder="1" applyAlignment="1">
      <alignment vertical="center" wrapText="1"/>
      <protection/>
    </xf>
    <xf numFmtId="3" fontId="37" fillId="0" borderId="130" xfId="60" applyNumberFormat="1" applyFont="1" applyFill="1" applyBorder="1" applyAlignment="1">
      <alignment vertical="center" wrapText="1"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7" fillId="0" borderId="177" xfId="60" applyNumberFormat="1" applyFont="1" applyFill="1" applyBorder="1" applyAlignment="1">
      <alignment vertical="center" wrapText="1"/>
      <protection/>
    </xf>
    <xf numFmtId="3" fontId="39" fillId="0" borderId="180" xfId="60" applyNumberFormat="1" applyFont="1" applyFill="1" applyBorder="1" applyAlignment="1">
      <alignment/>
      <protection/>
    </xf>
    <xf numFmtId="3" fontId="39" fillId="0" borderId="114" xfId="60" applyNumberFormat="1" applyFont="1" applyFill="1" applyBorder="1" applyAlignment="1">
      <alignment/>
      <protection/>
    </xf>
    <xf numFmtId="3" fontId="39" fillId="0" borderId="190" xfId="60" applyNumberFormat="1" applyFont="1" applyFill="1" applyBorder="1" applyAlignment="1">
      <alignment/>
      <protection/>
    </xf>
    <xf numFmtId="3" fontId="39" fillId="0" borderId="191" xfId="60" applyNumberFormat="1" applyFont="1" applyFill="1" applyBorder="1" applyAlignment="1">
      <alignment/>
      <protection/>
    </xf>
    <xf numFmtId="3" fontId="37" fillId="0" borderId="176" xfId="60" applyNumberFormat="1" applyFont="1" applyFill="1" applyBorder="1" applyAlignment="1">
      <alignment vertical="center" wrapText="1"/>
      <protection/>
    </xf>
    <xf numFmtId="0" fontId="32" fillId="0" borderId="179" xfId="60" applyBorder="1" applyAlignment="1">
      <alignment vertical="center" wrapText="1"/>
      <protection/>
    </xf>
    <xf numFmtId="3" fontId="39" fillId="0" borderId="149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51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Temporary%20Internet%20Files\Content.Outlook\N0FDTIZV\2017.06%20rendeletm&#243;dos&#237;t&#225;s%20nem%20egys&#233;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E9">
            <v>126149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.  tájékoztató"/>
      <sheetName val="2. tájékoztató"/>
    </sheetNames>
    <sheetDataSet>
      <sheetData sheetId="7">
        <row r="9">
          <cell r="C9">
            <v>99877528</v>
          </cell>
        </row>
        <row r="15">
          <cell r="C15">
            <v>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  <row r="53">
          <cell r="C53">
            <v>0</v>
          </cell>
        </row>
        <row r="58">
          <cell r="C58">
            <v>0</v>
          </cell>
        </row>
        <row r="68">
          <cell r="C68">
            <v>0</v>
          </cell>
        </row>
        <row r="73">
          <cell r="C73">
            <v>0</v>
          </cell>
        </row>
        <row r="76">
          <cell r="C76">
            <v>0</v>
          </cell>
        </row>
        <row r="80">
          <cell r="C80">
            <v>0</v>
          </cell>
        </row>
        <row r="86">
          <cell r="C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627</v>
      </c>
    </row>
    <row r="4" spans="1:2" ht="12.75">
      <c r="A4" s="133"/>
      <c r="B4" s="133"/>
    </row>
    <row r="5" spans="1:2" s="144" customFormat="1" ht="15.75">
      <c r="A5" s="86" t="s">
        <v>862</v>
      </c>
      <c r="B5" s="143"/>
    </row>
    <row r="6" spans="1:2" ht="12.75">
      <c r="A6" s="133"/>
      <c r="B6" s="133"/>
    </row>
    <row r="7" spans="1:2" ht="12.75">
      <c r="A7" s="133" t="s">
        <v>100</v>
      </c>
      <c r="B7" s="133" t="s">
        <v>101</v>
      </c>
    </row>
    <row r="8" spans="1:2" ht="12.75">
      <c r="A8" s="133" t="s">
        <v>102</v>
      </c>
      <c r="B8" s="133" t="s">
        <v>103</v>
      </c>
    </row>
    <row r="9" spans="1:2" ht="12.75">
      <c r="A9" s="133" t="s">
        <v>104</v>
      </c>
      <c r="B9" s="133" t="s">
        <v>105</v>
      </c>
    </row>
    <row r="10" spans="1:2" ht="12.75">
      <c r="A10" s="133"/>
      <c r="B10" s="133"/>
    </row>
    <row r="11" spans="1:2" ht="12.75">
      <c r="A11" s="133"/>
      <c r="B11" s="133"/>
    </row>
    <row r="12" spans="1:2" s="144" customFormat="1" ht="15.75">
      <c r="A12" s="86" t="s">
        <v>863</v>
      </c>
      <c r="B12" s="143"/>
    </row>
    <row r="13" spans="1:2" ht="12.75">
      <c r="A13" s="133"/>
      <c r="B13" s="133"/>
    </row>
    <row r="14" spans="1:2" ht="12.75">
      <c r="A14" s="133" t="s">
        <v>111</v>
      </c>
      <c r="B14" s="133" t="s">
        <v>110</v>
      </c>
    </row>
    <row r="15" spans="1:2" ht="12.75">
      <c r="A15" s="133" t="s">
        <v>735</v>
      </c>
      <c r="B15" s="133" t="s">
        <v>107</v>
      </c>
    </row>
    <row r="16" spans="1:2" ht="12.75">
      <c r="A16" s="133" t="s">
        <v>112</v>
      </c>
      <c r="B16" s="133" t="s">
        <v>106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B1">
      <selection activeCell="D5" sqref="D5"/>
    </sheetView>
  </sheetViews>
  <sheetFormatPr defaultColWidth="9.00390625" defaultRowHeight="12.75"/>
  <cols>
    <col min="1" max="1" width="5.625" style="146" customWidth="1"/>
    <col min="2" max="2" width="68.625" style="146" customWidth="1"/>
    <col min="3" max="4" width="19.50390625" style="146" customWidth="1"/>
    <col min="5" max="16384" width="9.375" style="146" customWidth="1"/>
  </cols>
  <sheetData>
    <row r="1" spans="1:3" ht="33" customHeight="1">
      <c r="A1" s="1147" t="s">
        <v>162</v>
      </c>
      <c r="B1" s="1147"/>
      <c r="C1" s="1147"/>
    </row>
    <row r="2" spans="1:4" ht="15.75" customHeight="1" thickBot="1">
      <c r="A2" s="147"/>
      <c r="B2" s="147"/>
      <c r="C2" s="159"/>
      <c r="D2" s="159"/>
    </row>
    <row r="3" spans="1:4" ht="26.25" customHeight="1" thickBot="1">
      <c r="A3" s="177" t="s">
        <v>494</v>
      </c>
      <c r="B3" s="178" t="s">
        <v>672</v>
      </c>
      <c r="C3" s="179" t="s">
        <v>401</v>
      </c>
      <c r="D3" s="179" t="s">
        <v>864</v>
      </c>
    </row>
    <row r="4" spans="1:4" ht="15.75" thickBot="1">
      <c r="A4" s="180">
        <v>1</v>
      </c>
      <c r="B4" s="181">
        <v>2</v>
      </c>
      <c r="C4" s="182">
        <v>3</v>
      </c>
      <c r="D4" s="182">
        <v>3</v>
      </c>
    </row>
    <row r="5" spans="1:4" ht="15">
      <c r="A5" s="183" t="s">
        <v>496</v>
      </c>
      <c r="B5" s="353" t="s">
        <v>534</v>
      </c>
      <c r="C5" s="350">
        <v>125800000</v>
      </c>
      <c r="D5" s="350">
        <v>125800000</v>
      </c>
    </row>
    <row r="6" spans="1:4" ht="24.75">
      <c r="A6" s="184" t="s">
        <v>497</v>
      </c>
      <c r="B6" s="379" t="s">
        <v>732</v>
      </c>
      <c r="C6" s="351"/>
      <c r="D6" s="351"/>
    </row>
    <row r="7" spans="1:4" ht="15">
      <c r="A7" s="184" t="s">
        <v>498</v>
      </c>
      <c r="B7" s="380" t="s">
        <v>159</v>
      </c>
      <c r="C7" s="351"/>
      <c r="D7" s="351"/>
    </row>
    <row r="8" spans="1:4" ht="24.75">
      <c r="A8" s="184" t="s">
        <v>499</v>
      </c>
      <c r="B8" s="380" t="s">
        <v>734</v>
      </c>
      <c r="C8" s="351"/>
      <c r="D8" s="351"/>
    </row>
    <row r="9" spans="1:4" ht="15">
      <c r="A9" s="185" t="s">
        <v>500</v>
      </c>
      <c r="B9" s="380" t="s">
        <v>733</v>
      </c>
      <c r="C9" s="352">
        <v>800000</v>
      </c>
      <c r="D9" s="352">
        <v>800000</v>
      </c>
    </row>
    <row r="10" spans="1:4" ht="15.75" thickBot="1">
      <c r="A10" s="184" t="s">
        <v>501</v>
      </c>
      <c r="B10" s="381" t="s">
        <v>673</v>
      </c>
      <c r="C10" s="351"/>
      <c r="D10" s="351"/>
    </row>
    <row r="11" spans="1:4" ht="15.75" thickBot="1">
      <c r="A11" s="1156" t="s">
        <v>676</v>
      </c>
      <c r="B11" s="1157"/>
      <c r="C11" s="186">
        <f>SUM(C5:C10)</f>
        <v>126600000</v>
      </c>
      <c r="D11" s="186">
        <f>SUM(D5:D10)</f>
        <v>126600000</v>
      </c>
    </row>
    <row r="12" spans="1:3" ht="23.25" customHeight="1">
      <c r="A12" s="1158" t="s">
        <v>705</v>
      </c>
      <c r="B12" s="1158"/>
      <c r="C12" s="115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7" r:id="rId1"/>
  <headerFooter alignWithMargins="0">
    <oddHeader>&amp;R&amp;"Times New Roman CE,Félkövér dőlt"&amp;11 4. melléklet az 1/2017. (II.7.)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25" sqref="C25"/>
    </sheetView>
  </sheetViews>
  <sheetFormatPr defaultColWidth="9.00390625" defaultRowHeight="12.75"/>
  <cols>
    <col min="1" max="1" width="5.625" style="146" customWidth="1"/>
    <col min="2" max="2" width="66.875" style="146" customWidth="1"/>
    <col min="3" max="3" width="27.00390625" style="146" customWidth="1"/>
    <col min="4" max="16384" width="9.375" style="146" customWidth="1"/>
  </cols>
  <sheetData>
    <row r="1" spans="1:3" ht="33" customHeight="1">
      <c r="A1" s="1147" t="s">
        <v>266</v>
      </c>
      <c r="B1" s="1147"/>
      <c r="C1" s="1147"/>
    </row>
    <row r="2" spans="1:4" ht="15.75" customHeight="1" thickBot="1">
      <c r="A2" s="147"/>
      <c r="B2" s="147"/>
      <c r="C2" s="159"/>
      <c r="D2" s="154"/>
    </row>
    <row r="3" spans="1:3" ht="26.25" customHeight="1" thickBot="1">
      <c r="A3" s="177" t="s">
        <v>494</v>
      </c>
      <c r="B3" s="178" t="s">
        <v>677</v>
      </c>
      <c r="C3" s="179" t="s">
        <v>703</v>
      </c>
    </row>
    <row r="4" spans="1:3" ht="15.75" thickBot="1">
      <c r="A4" s="180">
        <v>1</v>
      </c>
      <c r="B4" s="181">
        <v>2</v>
      </c>
      <c r="C4" s="182">
        <v>3</v>
      </c>
    </row>
    <row r="5" spans="1:3" ht="15">
      <c r="A5" s="183" t="s">
        <v>496</v>
      </c>
      <c r="B5" s="190" t="s">
        <v>366</v>
      </c>
      <c r="C5" s="187"/>
    </row>
    <row r="6" spans="1:3" ht="15">
      <c r="A6" s="184" t="s">
        <v>497</v>
      </c>
      <c r="B6" s="191"/>
      <c r="C6" s="188"/>
    </row>
    <row r="7" spans="1:3" ht="15.75" thickBot="1">
      <c r="A7" s="185" t="s">
        <v>498</v>
      </c>
      <c r="B7" s="192"/>
      <c r="C7" s="189"/>
    </row>
    <row r="8" spans="1:3" s="451" customFormat="1" ht="17.25" customHeight="1" thickBot="1">
      <c r="A8" s="452" t="s">
        <v>499</v>
      </c>
      <c r="B8" s="129" t="s">
        <v>678</v>
      </c>
      <c r="C8" s="18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1/2017. (II.7.)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view="pageLayout" workbookViewId="0" topLeftCell="C2">
      <selection activeCell="A26" sqref="A26:B26"/>
    </sheetView>
  </sheetViews>
  <sheetFormatPr defaultColWidth="9.00390625" defaultRowHeight="12.75"/>
  <cols>
    <col min="1" max="1" width="55.625" style="41" customWidth="1"/>
    <col min="2" max="2" width="15.625" style="40" customWidth="1"/>
    <col min="3" max="3" width="21.625" style="40" customWidth="1"/>
    <col min="4" max="4" width="16.50390625" style="40" customWidth="1"/>
    <col min="5" max="7" width="16.625" style="40" customWidth="1"/>
    <col min="8" max="8" width="25.375" style="40" customWidth="1"/>
    <col min="9" max="9" width="17.875" style="54" customWidth="1"/>
    <col min="10" max="11" width="12.875" style="40" customWidth="1"/>
    <col min="12" max="12" width="13.875" style="40" customWidth="1"/>
    <col min="13" max="16384" width="9.375" style="40" customWidth="1"/>
  </cols>
  <sheetData>
    <row r="1" spans="1:9" ht="25.5" customHeight="1">
      <c r="A1" s="1161" t="s">
        <v>478</v>
      </c>
      <c r="B1" s="1161"/>
      <c r="C1" s="1161"/>
      <c r="D1" s="1161"/>
      <c r="E1" s="1161"/>
      <c r="F1" s="1161"/>
      <c r="G1" s="1161"/>
      <c r="H1" s="1161"/>
      <c r="I1" s="1161"/>
    </row>
    <row r="2" spans="1:9" ht="22.5" customHeight="1" thickBot="1">
      <c r="A2" s="193"/>
      <c r="B2" s="54"/>
      <c r="C2" s="54"/>
      <c r="D2" s="54"/>
      <c r="E2" s="54"/>
      <c r="F2" s="54"/>
      <c r="G2" s="54"/>
      <c r="H2" s="54"/>
      <c r="I2" s="49"/>
    </row>
    <row r="3" spans="1:9" s="43" customFormat="1" ht="44.25" customHeight="1" thickBot="1">
      <c r="A3" s="194" t="s">
        <v>544</v>
      </c>
      <c r="B3" s="195" t="s">
        <v>545</v>
      </c>
      <c r="C3" s="195" t="s">
        <v>546</v>
      </c>
      <c r="D3" s="195" t="s">
        <v>832</v>
      </c>
      <c r="E3" s="195" t="s">
        <v>401</v>
      </c>
      <c r="F3" s="195" t="s">
        <v>891</v>
      </c>
      <c r="G3" s="195" t="s">
        <v>897</v>
      </c>
      <c r="H3" s="195" t="s">
        <v>340</v>
      </c>
      <c r="I3" s="50" t="s">
        <v>833</v>
      </c>
    </row>
    <row r="4" spans="1:9" s="54" customFormat="1" ht="12" customHeight="1" thickBot="1">
      <c r="A4" s="668">
        <v>1</v>
      </c>
      <c r="B4" s="669">
        <v>2</v>
      </c>
      <c r="C4" s="669">
        <v>3</v>
      </c>
      <c r="D4" s="669">
        <v>4</v>
      </c>
      <c r="E4" s="669">
        <v>5</v>
      </c>
      <c r="F4" s="669">
        <v>6</v>
      </c>
      <c r="G4" s="669">
        <v>7</v>
      </c>
      <c r="H4" s="669">
        <v>8</v>
      </c>
      <c r="I4" s="670">
        <v>9</v>
      </c>
    </row>
    <row r="5" spans="1:9" s="54" customFormat="1" ht="12" customHeight="1">
      <c r="A5" s="951" t="s">
        <v>836</v>
      </c>
      <c r="B5" s="675">
        <v>140411285</v>
      </c>
      <c r="C5" s="700" t="s">
        <v>892</v>
      </c>
      <c r="D5" s="675"/>
      <c r="E5" s="675">
        <v>140411285</v>
      </c>
      <c r="F5" s="675">
        <v>286066847</v>
      </c>
      <c r="G5" s="675">
        <v>286066847</v>
      </c>
      <c r="H5" s="675">
        <v>250559070</v>
      </c>
      <c r="I5" s="691">
        <v>286066847</v>
      </c>
    </row>
    <row r="6" spans="1:9" s="54" customFormat="1" ht="12" customHeight="1">
      <c r="A6" s="671" t="s">
        <v>893</v>
      </c>
      <c r="B6" s="672"/>
      <c r="C6" s="680"/>
      <c r="D6" s="672"/>
      <c r="E6" s="672"/>
      <c r="F6" s="672">
        <v>1000000</v>
      </c>
      <c r="G6" s="672">
        <v>1000000</v>
      </c>
      <c r="H6" s="672">
        <v>1000000</v>
      </c>
      <c r="I6" s="902"/>
    </row>
    <row r="7" spans="1:9" s="54" customFormat="1" ht="12" customHeight="1">
      <c r="A7" s="951" t="s">
        <v>894</v>
      </c>
      <c r="B7" s="675"/>
      <c r="C7" s="700"/>
      <c r="D7" s="675"/>
      <c r="E7" s="675"/>
      <c r="F7" s="675">
        <v>304079768</v>
      </c>
      <c r="G7" s="675">
        <v>319079768</v>
      </c>
      <c r="H7" s="675">
        <v>304079768</v>
      </c>
      <c r="I7" s="676">
        <v>319079768</v>
      </c>
    </row>
    <row r="8" spans="1:9" ht="15.75" customHeight="1" thickBot="1">
      <c r="A8" s="682"/>
      <c r="B8" s="692"/>
      <c r="C8" s="693"/>
      <c r="D8" s="692"/>
      <c r="E8" s="692"/>
      <c r="F8" s="692"/>
      <c r="G8" s="692"/>
      <c r="H8" s="692"/>
      <c r="I8" s="694"/>
    </row>
    <row r="9" spans="1:9" ht="15.75" customHeight="1" thickBot="1">
      <c r="A9" s="685" t="s">
        <v>292</v>
      </c>
      <c r="B9" s="695">
        <f>B5+B6+B7</f>
        <v>140411285</v>
      </c>
      <c r="C9" s="696"/>
      <c r="D9" s="695">
        <f>D5+D6+D7</f>
        <v>0</v>
      </c>
      <c r="E9" s="695">
        <f>E5+E6+E7+E8</f>
        <v>140411285</v>
      </c>
      <c r="F9" s="695">
        <f>F5+F6+F7</f>
        <v>591146615</v>
      </c>
      <c r="G9" s="695">
        <f>G5+G6+G7</f>
        <v>606146615</v>
      </c>
      <c r="H9" s="695">
        <f>H5+H6+H7</f>
        <v>555638838</v>
      </c>
      <c r="I9" s="697">
        <f>I5+I6+I7</f>
        <v>605146615</v>
      </c>
    </row>
    <row r="10" spans="1:9" ht="15.75" customHeight="1">
      <c r="A10" s="681" t="s">
        <v>291</v>
      </c>
      <c r="B10" s="689"/>
      <c r="C10" s="690"/>
      <c r="D10" s="689"/>
      <c r="E10" s="689"/>
      <c r="F10" s="689"/>
      <c r="G10" s="689"/>
      <c r="H10" s="689"/>
      <c r="I10" s="691">
        <f aca="true" t="shared" si="0" ref="I10:I23">B10-D10-E10</f>
        <v>0</v>
      </c>
    </row>
    <row r="11" spans="1:9" ht="15.75" customHeight="1">
      <c r="A11" s="1162" t="s">
        <v>290</v>
      </c>
      <c r="B11" s="1164"/>
      <c r="C11" s="1166"/>
      <c r="D11" s="1164"/>
      <c r="E11" s="1164"/>
      <c r="F11" s="893"/>
      <c r="G11" s="893"/>
      <c r="H11" s="893"/>
      <c r="I11" s="1168">
        <f>B11-D11-E11</f>
        <v>0</v>
      </c>
    </row>
    <row r="12" spans="1:9" ht="15.75" customHeight="1" thickBot="1">
      <c r="A12" s="1163"/>
      <c r="B12" s="1165"/>
      <c r="C12" s="1167"/>
      <c r="D12" s="1165"/>
      <c r="E12" s="1165"/>
      <c r="F12" s="901"/>
      <c r="G12" s="901"/>
      <c r="H12" s="901"/>
      <c r="I12" s="1169"/>
    </row>
    <row r="13" spans="1:9" ht="15.75" customHeight="1" thickBot="1">
      <c r="A13" s="686" t="s">
        <v>293</v>
      </c>
      <c r="B13" s="687"/>
      <c r="C13" s="698"/>
      <c r="D13" s="687"/>
      <c r="E13" s="687">
        <f>SUM(E10+E11)</f>
        <v>0</v>
      </c>
      <c r="F13" s="687"/>
      <c r="G13" s="687"/>
      <c r="H13" s="687"/>
      <c r="I13" s="688"/>
    </row>
    <row r="14" spans="1:9" ht="15.75" customHeight="1">
      <c r="A14" s="679"/>
      <c r="B14" s="683"/>
      <c r="C14" s="699"/>
      <c r="D14" s="683"/>
      <c r="E14" s="683"/>
      <c r="F14" s="683"/>
      <c r="G14" s="683"/>
      <c r="H14" s="683"/>
      <c r="I14" s="684">
        <f t="shared" si="0"/>
        <v>0</v>
      </c>
    </row>
    <row r="15" spans="1:9" ht="15.75" customHeight="1">
      <c r="A15" s="671"/>
      <c r="B15" s="672"/>
      <c r="C15" s="680"/>
      <c r="D15" s="672"/>
      <c r="E15" s="672"/>
      <c r="F15" s="672"/>
      <c r="G15" s="672"/>
      <c r="H15" s="672"/>
      <c r="I15" s="673">
        <f t="shared" si="0"/>
        <v>0</v>
      </c>
    </row>
    <row r="16" spans="1:9" ht="15.75" customHeight="1">
      <c r="A16" s="671"/>
      <c r="B16" s="672"/>
      <c r="C16" s="680"/>
      <c r="D16" s="672"/>
      <c r="E16" s="672"/>
      <c r="F16" s="672"/>
      <c r="G16" s="672"/>
      <c r="H16" s="672"/>
      <c r="I16" s="673">
        <f t="shared" si="0"/>
        <v>0</v>
      </c>
    </row>
    <row r="17" spans="1:9" ht="15.75" customHeight="1">
      <c r="A17" s="671"/>
      <c r="B17" s="672"/>
      <c r="C17" s="680"/>
      <c r="D17" s="672"/>
      <c r="E17" s="672"/>
      <c r="F17" s="672"/>
      <c r="G17" s="672"/>
      <c r="H17" s="672"/>
      <c r="I17" s="673">
        <f t="shared" si="0"/>
        <v>0</v>
      </c>
    </row>
    <row r="18" spans="1:9" ht="15.75" customHeight="1">
      <c r="A18" s="671"/>
      <c r="B18" s="672"/>
      <c r="C18" s="680"/>
      <c r="D18" s="672"/>
      <c r="E18" s="672"/>
      <c r="F18" s="672"/>
      <c r="G18" s="672"/>
      <c r="H18" s="672"/>
      <c r="I18" s="673">
        <f t="shared" si="0"/>
        <v>0</v>
      </c>
    </row>
    <row r="19" spans="1:9" ht="15.75" customHeight="1">
      <c r="A19" s="671"/>
      <c r="B19" s="672"/>
      <c r="C19" s="680"/>
      <c r="D19" s="672"/>
      <c r="E19" s="672"/>
      <c r="F19" s="672"/>
      <c r="G19" s="672"/>
      <c r="H19" s="672"/>
      <c r="I19" s="673">
        <f t="shared" si="0"/>
        <v>0</v>
      </c>
    </row>
    <row r="20" spans="1:9" ht="15.75" customHeight="1">
      <c r="A20" s="671"/>
      <c r="B20" s="672"/>
      <c r="C20" s="680"/>
      <c r="D20" s="672"/>
      <c r="E20" s="672"/>
      <c r="F20" s="672"/>
      <c r="G20" s="672"/>
      <c r="H20" s="672"/>
      <c r="I20" s="673">
        <f t="shared" si="0"/>
        <v>0</v>
      </c>
    </row>
    <row r="21" spans="1:9" ht="15.75" customHeight="1">
      <c r="A21" s="671"/>
      <c r="B21" s="672"/>
      <c r="C21" s="680"/>
      <c r="D21" s="672"/>
      <c r="E21" s="672"/>
      <c r="F21" s="672"/>
      <c r="G21" s="672"/>
      <c r="H21" s="672"/>
      <c r="I21" s="673">
        <f t="shared" si="0"/>
        <v>0</v>
      </c>
    </row>
    <row r="22" spans="1:9" ht="15.75" customHeight="1">
      <c r="A22" s="671"/>
      <c r="B22" s="672"/>
      <c r="C22" s="680"/>
      <c r="D22" s="672"/>
      <c r="E22" s="672"/>
      <c r="F22" s="672"/>
      <c r="G22" s="672"/>
      <c r="H22" s="672"/>
      <c r="I22" s="673">
        <f t="shared" si="0"/>
        <v>0</v>
      </c>
    </row>
    <row r="23" spans="1:9" ht="15.75" customHeight="1" thickBot="1">
      <c r="A23" s="674"/>
      <c r="B23" s="675"/>
      <c r="C23" s="700"/>
      <c r="D23" s="675"/>
      <c r="E23" s="675"/>
      <c r="F23" s="675"/>
      <c r="G23" s="675"/>
      <c r="H23" s="692"/>
      <c r="I23" s="676">
        <f t="shared" si="0"/>
        <v>0</v>
      </c>
    </row>
    <row r="24" spans="1:9" s="56" customFormat="1" ht="18" customHeight="1" thickBot="1">
      <c r="A24" s="677" t="s">
        <v>543</v>
      </c>
      <c r="B24" s="678">
        <f aca="true" t="shared" si="1" ref="B24:I24">B9+B13</f>
        <v>140411285</v>
      </c>
      <c r="C24" s="678">
        <f t="shared" si="1"/>
        <v>0</v>
      </c>
      <c r="D24" s="678">
        <f t="shared" si="1"/>
        <v>0</v>
      </c>
      <c r="E24" s="678">
        <f t="shared" si="1"/>
        <v>140411285</v>
      </c>
      <c r="F24" s="678">
        <f t="shared" si="1"/>
        <v>591146615</v>
      </c>
      <c r="G24" s="678">
        <f t="shared" si="1"/>
        <v>606146615</v>
      </c>
      <c r="H24" s="678">
        <f t="shared" si="1"/>
        <v>555638838</v>
      </c>
      <c r="I24" s="678">
        <f t="shared" si="1"/>
        <v>605146615</v>
      </c>
    </row>
    <row r="25" ht="13.5" thickBot="1">
      <c r="A25" s="1088"/>
    </row>
    <row r="26" spans="1:2" ht="12.75">
      <c r="A26" s="1159" t="s">
        <v>911</v>
      </c>
      <c r="B26" s="1160"/>
    </row>
    <row r="27" ht="12.75">
      <c r="A27" s="1089"/>
    </row>
    <row r="28" ht="12.75">
      <c r="A28" s="1089"/>
    </row>
    <row r="29" ht="12.75">
      <c r="A29" s="1089"/>
    </row>
    <row r="30" ht="12.75">
      <c r="A30" s="1089"/>
    </row>
    <row r="31" ht="12.75">
      <c r="A31" s="1089"/>
    </row>
    <row r="32" ht="12.75">
      <c r="A32" s="1089"/>
    </row>
  </sheetData>
  <sheetProtection/>
  <mergeCells count="8">
    <mergeCell ref="A26:B26"/>
    <mergeCell ref="A1:I1"/>
    <mergeCell ref="A11:A12"/>
    <mergeCell ref="B11:B12"/>
    <mergeCell ref="C11:C12"/>
    <mergeCell ref="D11:D12"/>
    <mergeCell ref="E11:E12"/>
    <mergeCell ref="I11:I1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1/2017.(II.7.)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C28" sqref="C28"/>
    </sheetView>
  </sheetViews>
  <sheetFormatPr defaultColWidth="9.00390625" defaultRowHeight="12.75"/>
  <cols>
    <col min="1" max="1" width="44.875" style="41" customWidth="1"/>
    <col min="2" max="2" width="15.625" style="40" customWidth="1"/>
    <col min="3" max="3" width="16.375" style="40" customWidth="1"/>
    <col min="4" max="4" width="18.00390625" style="40" customWidth="1"/>
    <col min="5" max="6" width="16.625" style="40" customWidth="1"/>
    <col min="7" max="7" width="16.50390625" style="40" bestFit="1" customWidth="1"/>
    <col min="8" max="8" width="18.875" style="40" customWidth="1"/>
    <col min="9" max="10" width="12.875" style="40" customWidth="1"/>
    <col min="11" max="11" width="13.875" style="40" customWidth="1"/>
    <col min="12" max="16384" width="9.375" style="40" customWidth="1"/>
  </cols>
  <sheetData>
    <row r="1" spans="1:8" ht="24.75" customHeight="1">
      <c r="A1" s="1161" t="s">
        <v>479</v>
      </c>
      <c r="B1" s="1161"/>
      <c r="C1" s="1161"/>
      <c r="D1" s="1161"/>
      <c r="E1" s="1161"/>
      <c r="F1" s="1161"/>
      <c r="G1" s="1161"/>
      <c r="H1" s="1161"/>
    </row>
    <row r="2" spans="1:8" ht="23.25" customHeight="1" thickBot="1">
      <c r="A2" s="193"/>
      <c r="B2" s="54"/>
      <c r="C2" s="54"/>
      <c r="D2" s="54"/>
      <c r="E2" s="54"/>
      <c r="F2" s="54"/>
      <c r="G2" s="54"/>
      <c r="H2" s="49"/>
    </row>
    <row r="3" spans="1:8" s="43" customFormat="1" ht="48.75" customHeight="1" thickBot="1">
      <c r="A3" s="194" t="s">
        <v>547</v>
      </c>
      <c r="B3" s="195" t="s">
        <v>545</v>
      </c>
      <c r="C3" s="195" t="s">
        <v>546</v>
      </c>
      <c r="D3" s="195" t="s">
        <v>835</v>
      </c>
      <c r="E3" s="195" t="s">
        <v>401</v>
      </c>
      <c r="F3" s="195" t="s">
        <v>891</v>
      </c>
      <c r="G3" s="565" t="s">
        <v>340</v>
      </c>
      <c r="H3" s="50" t="s">
        <v>834</v>
      </c>
    </row>
    <row r="4" spans="1:8" s="54" customFormat="1" ht="15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566">
        <v>6</v>
      </c>
      <c r="G4" s="566">
        <v>7</v>
      </c>
      <c r="H4" s="53">
        <v>8</v>
      </c>
    </row>
    <row r="5" spans="1:8" s="54" customFormat="1" ht="15" customHeight="1">
      <c r="A5" s="1014" t="s">
        <v>837</v>
      </c>
      <c r="B5" s="1015">
        <v>181000000</v>
      </c>
      <c r="C5" s="1015" t="s">
        <v>842</v>
      </c>
      <c r="D5" s="1015"/>
      <c r="E5" s="1015">
        <v>181000000</v>
      </c>
      <c r="F5" s="1016"/>
      <c r="G5" s="1016">
        <v>181000000</v>
      </c>
      <c r="H5" s="1017"/>
    </row>
    <row r="6" spans="1:8" s="54" customFormat="1" ht="15" customHeight="1">
      <c r="A6" s="564" t="s">
        <v>840</v>
      </c>
      <c r="B6" s="1012">
        <v>13000000</v>
      </c>
      <c r="C6" s="1012"/>
      <c r="D6" s="1012"/>
      <c r="E6" s="1012">
        <v>13000000</v>
      </c>
      <c r="F6" s="1012"/>
      <c r="G6" s="1012">
        <v>13000000</v>
      </c>
      <c r="H6" s="1013"/>
    </row>
    <row r="7" spans="1:8" s="54" customFormat="1" ht="15" customHeight="1">
      <c r="A7" s="564" t="s">
        <v>838</v>
      </c>
      <c r="B7" s="1012">
        <v>45000000</v>
      </c>
      <c r="C7" s="1012"/>
      <c r="D7" s="1012"/>
      <c r="E7" s="1012">
        <v>45000000</v>
      </c>
      <c r="F7" s="1012"/>
      <c r="G7" s="1012">
        <v>45000000</v>
      </c>
      <c r="H7" s="1013"/>
    </row>
    <row r="8" spans="1:8" s="54" customFormat="1" ht="15" customHeight="1">
      <c r="A8" s="564" t="s">
        <v>839</v>
      </c>
      <c r="B8" s="953">
        <v>82000000</v>
      </c>
      <c r="C8" s="953"/>
      <c r="D8" s="953"/>
      <c r="E8" s="953">
        <v>82000000</v>
      </c>
      <c r="F8" s="953"/>
      <c r="G8" s="953">
        <v>82000000</v>
      </c>
      <c r="H8" s="952"/>
    </row>
    <row r="9" spans="1:8" s="54" customFormat="1" ht="15" customHeight="1">
      <c r="A9" s="564" t="s">
        <v>841</v>
      </c>
      <c r="B9" s="1012">
        <v>21000000</v>
      </c>
      <c r="C9" s="1012"/>
      <c r="D9" s="1012"/>
      <c r="E9" s="1012">
        <v>21000000</v>
      </c>
      <c r="F9" s="1012"/>
      <c r="G9" s="1012">
        <v>21000000</v>
      </c>
      <c r="H9" s="1013"/>
    </row>
    <row r="10" spans="1:8" ht="15.75" customHeight="1">
      <c r="A10" s="564" t="s">
        <v>165</v>
      </c>
      <c r="B10" s="955">
        <v>20000000</v>
      </c>
      <c r="C10" s="954"/>
      <c r="D10" s="955"/>
      <c r="E10" s="955">
        <v>20000000</v>
      </c>
      <c r="F10" s="955"/>
      <c r="G10" s="1018">
        <v>20000000</v>
      </c>
      <c r="H10" s="1019"/>
    </row>
    <row r="11" spans="1:8" ht="15.75" customHeight="1">
      <c r="A11" s="563" t="s">
        <v>896</v>
      </c>
      <c r="B11" s="1086">
        <v>32730461</v>
      </c>
      <c r="C11" s="1079"/>
      <c r="D11" s="1078"/>
      <c r="E11" s="1078"/>
      <c r="F11" s="1078">
        <v>32730461</v>
      </c>
      <c r="G11" s="1087">
        <v>32730461</v>
      </c>
      <c r="H11" s="1080"/>
    </row>
    <row r="12" spans="1:8" ht="15.75" customHeight="1">
      <c r="A12" s="563" t="s">
        <v>895</v>
      </c>
      <c r="B12" s="1086">
        <v>82893291</v>
      </c>
      <c r="C12" s="1079"/>
      <c r="D12" s="1078"/>
      <c r="E12" s="1078"/>
      <c r="F12" s="1078">
        <v>82893291</v>
      </c>
      <c r="G12" s="1087">
        <v>69924328</v>
      </c>
      <c r="H12" s="1080"/>
    </row>
    <row r="13" spans="1:8" ht="15.75" customHeight="1" thickBot="1">
      <c r="A13" s="1081"/>
      <c r="B13" s="1082"/>
      <c r="C13" s="1083"/>
      <c r="D13" s="1082"/>
      <c r="E13" s="1082"/>
      <c r="F13" s="1082"/>
      <c r="G13" s="1084"/>
      <c r="H13" s="1085"/>
    </row>
    <row r="14" spans="1:8" ht="15.75" customHeight="1" thickBot="1">
      <c r="A14" s="711" t="s">
        <v>292</v>
      </c>
      <c r="B14" s="956">
        <f>B5+B11+B12</f>
        <v>296623752</v>
      </c>
      <c r="C14" s="956"/>
      <c r="D14" s="956">
        <f>D5+D10</f>
        <v>0</v>
      </c>
      <c r="E14" s="956">
        <f>E6:G6+E7:G7+E8:G8+E9:G9+E10:G10</f>
        <v>181000000</v>
      </c>
      <c r="F14" s="956">
        <f>F11+F12</f>
        <v>115623752</v>
      </c>
      <c r="G14" s="956">
        <f>G5+G11+G12</f>
        <v>283654789</v>
      </c>
      <c r="H14" s="957">
        <f>H5+H10</f>
        <v>0</v>
      </c>
    </row>
    <row r="15" spans="1:8" ht="15.75" customHeight="1" thickBot="1">
      <c r="A15" s="713"/>
      <c r="B15" s="714"/>
      <c r="C15" s="715"/>
      <c r="D15" s="714"/>
      <c r="E15" s="714"/>
      <c r="F15" s="716"/>
      <c r="G15" s="716"/>
      <c r="H15" s="712">
        <v>0</v>
      </c>
    </row>
    <row r="16" spans="1:8" ht="15.75" customHeight="1" thickBot="1">
      <c r="A16" s="711" t="s">
        <v>292</v>
      </c>
      <c r="B16" s="706"/>
      <c r="C16" s="707"/>
      <c r="D16" s="706"/>
      <c r="E16" s="710"/>
      <c r="F16" s="1027"/>
      <c r="G16" s="708"/>
      <c r="H16" s="709">
        <v>0</v>
      </c>
    </row>
    <row r="17" spans="1:8" ht="15.75" customHeight="1">
      <c r="A17" s="701"/>
      <c r="B17" s="702"/>
      <c r="C17" s="703"/>
      <c r="D17" s="702"/>
      <c r="E17" s="702"/>
      <c r="F17" s="704"/>
      <c r="G17" s="704"/>
      <c r="H17" s="705">
        <f aca="true" t="shared" si="0" ref="H17:H26">B17-D17-E17</f>
        <v>0</v>
      </c>
    </row>
    <row r="18" spans="1:8" ht="15.75" customHeight="1">
      <c r="A18" s="563"/>
      <c r="B18" s="557"/>
      <c r="C18" s="558"/>
      <c r="D18" s="557"/>
      <c r="E18" s="557"/>
      <c r="F18" s="567"/>
      <c r="G18" s="567"/>
      <c r="H18" s="559">
        <f t="shared" si="0"/>
        <v>0</v>
      </c>
    </row>
    <row r="19" spans="1:8" ht="15.75" customHeight="1">
      <c r="A19" s="563"/>
      <c r="B19" s="557"/>
      <c r="C19" s="558"/>
      <c r="D19" s="557"/>
      <c r="E19" s="557"/>
      <c r="F19" s="567"/>
      <c r="G19" s="567"/>
      <c r="H19" s="559">
        <f t="shared" si="0"/>
        <v>0</v>
      </c>
    </row>
    <row r="20" spans="1:8" ht="15.75" customHeight="1">
      <c r="A20" s="563"/>
      <c r="B20" s="557"/>
      <c r="C20" s="558"/>
      <c r="D20" s="557"/>
      <c r="E20" s="557"/>
      <c r="F20" s="567"/>
      <c r="G20" s="567"/>
      <c r="H20" s="559">
        <f t="shared" si="0"/>
        <v>0</v>
      </c>
    </row>
    <row r="21" spans="1:8" ht="15.75" customHeight="1">
      <c r="A21" s="563"/>
      <c r="B21" s="557"/>
      <c r="C21" s="558"/>
      <c r="D21" s="557"/>
      <c r="E21" s="557"/>
      <c r="F21" s="567"/>
      <c r="G21" s="567"/>
      <c r="H21" s="559">
        <f t="shared" si="0"/>
        <v>0</v>
      </c>
    </row>
    <row r="22" spans="1:8" ht="15.75" customHeight="1">
      <c r="A22" s="563"/>
      <c r="B22" s="557"/>
      <c r="C22" s="558"/>
      <c r="D22" s="557"/>
      <c r="E22" s="557"/>
      <c r="F22" s="567"/>
      <c r="G22" s="567"/>
      <c r="H22" s="559">
        <f t="shared" si="0"/>
        <v>0</v>
      </c>
    </row>
    <row r="23" spans="1:8" ht="15.75" customHeight="1">
      <c r="A23" s="563"/>
      <c r="B23" s="557"/>
      <c r="C23" s="558"/>
      <c r="D23" s="557"/>
      <c r="E23" s="557"/>
      <c r="F23" s="567"/>
      <c r="G23" s="567"/>
      <c r="H23" s="559">
        <f t="shared" si="0"/>
        <v>0</v>
      </c>
    </row>
    <row r="24" spans="1:8" ht="15.75" customHeight="1">
      <c r="A24" s="563"/>
      <c r="B24" s="557"/>
      <c r="C24" s="558"/>
      <c r="D24" s="557"/>
      <c r="E24" s="557"/>
      <c r="F24" s="567"/>
      <c r="G24" s="567"/>
      <c r="H24" s="559">
        <f t="shared" si="0"/>
        <v>0</v>
      </c>
    </row>
    <row r="25" spans="1:8" ht="15.75" customHeight="1">
      <c r="A25" s="563"/>
      <c r="B25" s="557"/>
      <c r="C25" s="558"/>
      <c r="D25" s="557"/>
      <c r="E25" s="557"/>
      <c r="F25" s="567"/>
      <c r="G25" s="567"/>
      <c r="H25" s="559">
        <f t="shared" si="0"/>
        <v>0</v>
      </c>
    </row>
    <row r="26" spans="1:8" ht="15.75" customHeight="1" thickBot="1">
      <c r="A26" s="563"/>
      <c r="B26" s="557"/>
      <c r="C26" s="558"/>
      <c r="D26" s="557"/>
      <c r="E26" s="557"/>
      <c r="F26" s="567"/>
      <c r="G26" s="567"/>
      <c r="H26" s="559">
        <f t="shared" si="0"/>
        <v>0</v>
      </c>
    </row>
    <row r="27" spans="1:8" s="56" customFormat="1" ht="18" customHeight="1" thickBot="1">
      <c r="A27" s="560" t="s">
        <v>543</v>
      </c>
      <c r="B27" s="561">
        <f aca="true" t="shared" si="1" ref="B27:H27">B14+B16</f>
        <v>296623752</v>
      </c>
      <c r="C27" s="561">
        <f t="shared" si="1"/>
        <v>0</v>
      </c>
      <c r="D27" s="561">
        <f t="shared" si="1"/>
        <v>0</v>
      </c>
      <c r="E27" s="561">
        <f t="shared" si="1"/>
        <v>181000000</v>
      </c>
      <c r="F27" s="561">
        <f t="shared" si="1"/>
        <v>115623752</v>
      </c>
      <c r="G27" s="561">
        <f t="shared" si="1"/>
        <v>283654789</v>
      </c>
      <c r="H27" s="562">
        <f t="shared" si="1"/>
        <v>0</v>
      </c>
    </row>
    <row r="28" spans="1:2" ht="12.75">
      <c r="A28" s="1159"/>
      <c r="B28" s="1160"/>
    </row>
    <row r="29" ht="12.75">
      <c r="A29" s="1089"/>
    </row>
    <row r="30" ht="12.75">
      <c r="A30" s="1089"/>
    </row>
    <row r="31" ht="12.75">
      <c r="A31" s="1089"/>
    </row>
    <row r="32" ht="12.75">
      <c r="A32" s="1089"/>
    </row>
    <row r="33" ht="12.75">
      <c r="A33" s="1089"/>
    </row>
    <row r="34" ht="12.75">
      <c r="A34" s="1089"/>
    </row>
    <row r="35" ht="12.75">
      <c r="A35" s="1089"/>
    </row>
    <row r="36" ht="12.75">
      <c r="A36" s="1089"/>
    </row>
    <row r="37" ht="12.75">
      <c r="A37" s="1089"/>
    </row>
    <row r="38" ht="12.75">
      <c r="A38" s="1089"/>
    </row>
    <row r="39" ht="12.75">
      <c r="A39" s="1089"/>
    </row>
    <row r="40" ht="12.75">
      <c r="A40" s="1089"/>
    </row>
    <row r="41" ht="12.75">
      <c r="A41" s="1089"/>
    </row>
    <row r="42" ht="12.75">
      <c r="A42" s="1089"/>
    </row>
    <row r="43" ht="12.75">
      <c r="A43" s="1089"/>
    </row>
    <row r="44" ht="12.75">
      <c r="A44" s="1089"/>
    </row>
    <row r="45" ht="12.75">
      <c r="A45" s="1089"/>
    </row>
    <row r="46" ht="12.75">
      <c r="A46" s="1089"/>
    </row>
    <row r="47" ht="12.75">
      <c r="A47" s="1089"/>
    </row>
    <row r="48" ht="12.75">
      <c r="A48" s="1089"/>
    </row>
    <row r="49" ht="12.75">
      <c r="A49" s="1089"/>
    </row>
    <row r="50" ht="12.75">
      <c r="A50" s="1089"/>
    </row>
    <row r="51" ht="12.75">
      <c r="A51" s="1089"/>
    </row>
    <row r="52" ht="12.75">
      <c r="A52" s="1089"/>
    </row>
  </sheetData>
  <sheetProtection/>
  <mergeCells count="2">
    <mergeCell ref="A1:H1"/>
    <mergeCell ref="A28:B28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8" r:id="rId1"/>
  <headerFooter alignWithMargins="0">
    <oddHeader xml:space="preserve">&amp;R&amp;"Times New Roman CE,Félkövér dőlt"&amp;12 &amp;11 7. melléklet az 1/2017. (II.7.)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38.625" style="45" customWidth="1"/>
    <col min="2" max="5" width="13.875" style="45" customWidth="1"/>
    <col min="6" max="16384" width="9.375" style="45" customWidth="1"/>
  </cols>
  <sheetData>
    <row r="1" spans="1:5" ht="12.75">
      <c r="A1" s="211"/>
      <c r="B1" s="211"/>
      <c r="C1" s="211"/>
      <c r="D1" s="211"/>
      <c r="E1" s="211"/>
    </row>
    <row r="2" spans="1:5" ht="15.75">
      <c r="A2" s="212" t="s">
        <v>615</v>
      </c>
      <c r="B2" s="1170" t="s">
        <v>366</v>
      </c>
      <c r="C2" s="1170"/>
      <c r="D2" s="1170"/>
      <c r="E2" s="1170"/>
    </row>
    <row r="3" spans="1:5" ht="14.25" thickBot="1">
      <c r="A3" s="211"/>
      <c r="B3" s="211"/>
      <c r="C3" s="211"/>
      <c r="D3" s="1171"/>
      <c r="E3" s="1171"/>
    </row>
    <row r="4" spans="1:5" ht="15" customHeight="1" thickBot="1">
      <c r="A4" s="213" t="s">
        <v>608</v>
      </c>
      <c r="B4" s="214" t="s">
        <v>729</v>
      </c>
      <c r="C4" s="214" t="s">
        <v>730</v>
      </c>
      <c r="D4" s="214" t="s">
        <v>233</v>
      </c>
      <c r="E4" s="215" t="s">
        <v>528</v>
      </c>
    </row>
    <row r="5" spans="1:5" ht="12.75">
      <c r="A5" s="216" t="s">
        <v>609</v>
      </c>
      <c r="B5" s="87"/>
      <c r="C5" s="87"/>
      <c r="D5" s="87"/>
      <c r="E5" s="217">
        <f aca="true" t="shared" si="0" ref="E5:E11">SUM(B5:D5)</f>
        <v>0</v>
      </c>
    </row>
    <row r="6" spans="1:5" ht="12.75">
      <c r="A6" s="218" t="s">
        <v>621</v>
      </c>
      <c r="B6" s="88"/>
      <c r="C6" s="88"/>
      <c r="D6" s="88"/>
      <c r="E6" s="219">
        <f t="shared" si="0"/>
        <v>0</v>
      </c>
    </row>
    <row r="7" spans="1:5" ht="12.75">
      <c r="A7" s="220" t="s">
        <v>610</v>
      </c>
      <c r="B7" s="89"/>
      <c r="C7" s="89"/>
      <c r="D7" s="89"/>
      <c r="E7" s="221">
        <f t="shared" si="0"/>
        <v>0</v>
      </c>
    </row>
    <row r="8" spans="1:5" ht="12.75">
      <c r="A8" s="220" t="s">
        <v>623</v>
      </c>
      <c r="B8" s="89"/>
      <c r="C8" s="89"/>
      <c r="D8" s="89"/>
      <c r="E8" s="221">
        <f t="shared" si="0"/>
        <v>0</v>
      </c>
    </row>
    <row r="9" spans="1:5" ht="12.75">
      <c r="A9" s="220" t="s">
        <v>611</v>
      </c>
      <c r="B9" s="89"/>
      <c r="C9" s="89"/>
      <c r="D9" s="89"/>
      <c r="E9" s="221">
        <f t="shared" si="0"/>
        <v>0</v>
      </c>
    </row>
    <row r="10" spans="1:5" ht="12.75">
      <c r="A10" s="220" t="s">
        <v>612</v>
      </c>
      <c r="B10" s="89"/>
      <c r="C10" s="89"/>
      <c r="D10" s="89"/>
      <c r="E10" s="221">
        <f t="shared" si="0"/>
        <v>0</v>
      </c>
    </row>
    <row r="11" spans="1:5" ht="13.5" thickBot="1">
      <c r="A11" s="90"/>
      <c r="B11" s="91"/>
      <c r="C11" s="91"/>
      <c r="D11" s="91"/>
      <c r="E11" s="221">
        <f t="shared" si="0"/>
        <v>0</v>
      </c>
    </row>
    <row r="12" spans="1:5" ht="13.5" thickBot="1">
      <c r="A12" s="222" t="s">
        <v>614</v>
      </c>
      <c r="B12" s="223">
        <f>B5+SUM(B7:B11)</f>
        <v>0</v>
      </c>
      <c r="C12" s="223">
        <f>C5+SUM(C7:C11)</f>
        <v>0</v>
      </c>
      <c r="D12" s="223">
        <f>D5+SUM(D7:D11)</f>
        <v>0</v>
      </c>
      <c r="E12" s="224">
        <f>E5+SUM(E7:E11)</f>
        <v>0</v>
      </c>
    </row>
    <row r="13" spans="1:5" ht="13.5" thickBot="1">
      <c r="A13" s="48"/>
      <c r="B13" s="48"/>
      <c r="C13" s="48"/>
      <c r="D13" s="48"/>
      <c r="E13" s="48"/>
    </row>
    <row r="14" spans="1:5" ht="15" customHeight="1" thickBot="1">
      <c r="A14" s="213" t="s">
        <v>613</v>
      </c>
      <c r="B14" s="214" t="s">
        <v>729</v>
      </c>
      <c r="C14" s="214" t="s">
        <v>730</v>
      </c>
      <c r="D14" s="214" t="s">
        <v>233</v>
      </c>
      <c r="E14" s="215" t="s">
        <v>528</v>
      </c>
    </row>
    <row r="15" spans="1:5" ht="12.75">
      <c r="A15" s="216" t="s">
        <v>617</v>
      </c>
      <c r="B15" s="87"/>
      <c r="C15" s="87"/>
      <c r="D15" s="87"/>
      <c r="E15" s="217">
        <f>SUM(B15:D15)</f>
        <v>0</v>
      </c>
    </row>
    <row r="16" spans="1:5" ht="12.75">
      <c r="A16" s="225" t="s">
        <v>618</v>
      </c>
      <c r="B16" s="89"/>
      <c r="C16" s="89"/>
      <c r="D16" s="89"/>
      <c r="E16" s="221">
        <f>SUM(B16:D16)</f>
        <v>0</v>
      </c>
    </row>
    <row r="17" spans="1:5" ht="12.75">
      <c r="A17" s="220" t="s">
        <v>619</v>
      </c>
      <c r="B17" s="89"/>
      <c r="C17" s="89"/>
      <c r="D17" s="89"/>
      <c r="E17" s="221">
        <f>SUM(B17:D17)</f>
        <v>0</v>
      </c>
    </row>
    <row r="18" spans="1:5" ht="13.5" thickBot="1">
      <c r="A18" s="220" t="s">
        <v>620</v>
      </c>
      <c r="B18" s="89"/>
      <c r="C18" s="89"/>
      <c r="D18" s="89"/>
      <c r="E18" s="221">
        <f>SUM(B18:D18)</f>
        <v>0</v>
      </c>
    </row>
    <row r="19" spans="1:5" ht="13.5" thickBot="1">
      <c r="A19" s="222" t="s">
        <v>529</v>
      </c>
      <c r="B19" s="223"/>
      <c r="C19" s="223">
        <f>SUM(C15:C18)</f>
        <v>0</v>
      </c>
      <c r="D19" s="223">
        <f>SUM(D15:D18)</f>
        <v>0</v>
      </c>
      <c r="E19" s="224">
        <f>SUM(E15:E18)</f>
        <v>0</v>
      </c>
    </row>
    <row r="20" spans="1:5" ht="12.75">
      <c r="A20" s="211"/>
      <c r="B20" s="211"/>
      <c r="C20" s="211"/>
      <c r="D20" s="211"/>
      <c r="E20" s="211"/>
    </row>
    <row r="21" spans="1:5" ht="12.75">
      <c r="A21" s="211"/>
      <c r="B21" s="211"/>
      <c r="C21" s="211"/>
      <c r="D21" s="211"/>
      <c r="E21" s="211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1/2017. (II.7.)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115">
      <selection activeCell="C81" sqref="C81:F82"/>
    </sheetView>
  </sheetViews>
  <sheetFormatPr defaultColWidth="9.00390625" defaultRowHeight="12.75"/>
  <cols>
    <col min="1" max="1" width="19.50390625" style="385" customWidth="1"/>
    <col min="2" max="2" width="76.00390625" style="386" customWidth="1"/>
    <col min="3" max="6" width="25.00390625" style="387" customWidth="1"/>
    <col min="7" max="16384" width="9.375" style="3" customWidth="1"/>
  </cols>
  <sheetData>
    <row r="1" spans="1:6" s="2" customFormat="1" ht="16.5" customHeight="1" thickBot="1">
      <c r="A1" s="226"/>
      <c r="B1" s="228"/>
      <c r="C1" s="251"/>
      <c r="D1" s="251"/>
      <c r="E1" s="251"/>
      <c r="F1" s="251" t="s">
        <v>881</v>
      </c>
    </row>
    <row r="2" spans="1:6" s="92" customFormat="1" ht="21" customHeight="1">
      <c r="A2" s="392" t="s">
        <v>541</v>
      </c>
      <c r="B2" s="354" t="s">
        <v>704</v>
      </c>
      <c r="C2" s="356"/>
      <c r="D2" s="356"/>
      <c r="E2" s="356"/>
      <c r="F2" s="356" t="s">
        <v>530</v>
      </c>
    </row>
    <row r="3" spans="1:6" s="92" customFormat="1" ht="16.5" thickBot="1">
      <c r="A3" s="229" t="s">
        <v>679</v>
      </c>
      <c r="B3" s="355" t="s">
        <v>120</v>
      </c>
      <c r="C3" s="357"/>
      <c r="D3" s="357"/>
      <c r="E3" s="357"/>
      <c r="F3" s="357">
        <v>1</v>
      </c>
    </row>
    <row r="4" spans="1:6" s="93" customFormat="1" ht="15.75" customHeight="1" thickBot="1">
      <c r="A4" s="230"/>
      <c r="B4" s="230"/>
      <c r="C4" s="231"/>
      <c r="D4" s="231"/>
      <c r="E4" s="231"/>
      <c r="F4" s="231"/>
    </row>
    <row r="5" spans="1:6" ht="13.5" thickBot="1">
      <c r="A5" s="393" t="s">
        <v>681</v>
      </c>
      <c r="B5" s="232" t="s">
        <v>531</v>
      </c>
      <c r="C5" s="358" t="s">
        <v>532</v>
      </c>
      <c r="D5" s="358" t="s">
        <v>532</v>
      </c>
      <c r="E5" s="358" t="s">
        <v>532</v>
      </c>
      <c r="F5" s="358" t="s">
        <v>532</v>
      </c>
    </row>
    <row r="6" spans="1:6" s="57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  <c r="F6" s="201">
        <v>6</v>
      </c>
    </row>
    <row r="7" spans="1:6" s="57" customFormat="1" ht="15.75" customHeight="1" thickBot="1">
      <c r="A7" s="234"/>
      <c r="B7" s="235" t="s">
        <v>533</v>
      </c>
      <c r="C7" s="359"/>
      <c r="D7" s="359"/>
      <c r="E7" s="359"/>
      <c r="F7" s="359"/>
    </row>
    <row r="8" spans="1:6" s="57" customFormat="1" ht="12" customHeight="1" thickBot="1">
      <c r="A8" s="30" t="s">
        <v>496</v>
      </c>
      <c r="B8" s="19" t="s">
        <v>737</v>
      </c>
      <c r="C8" s="296">
        <f>+C9+C10+C11+C12+C13+C14</f>
        <v>393077057</v>
      </c>
      <c r="D8" s="296">
        <f>+D9+D10+D11+D12+D13+D14</f>
        <v>399007587</v>
      </c>
      <c r="E8" s="296">
        <f>+E9+E10+E11+E12+E13+E14</f>
        <v>407038614</v>
      </c>
      <c r="F8" s="296">
        <f>+F9+F10+F11+F12+F13+F14</f>
        <v>421101135</v>
      </c>
    </row>
    <row r="9" spans="1:6" s="94" customFormat="1" ht="12" customHeight="1">
      <c r="A9" s="420" t="s">
        <v>579</v>
      </c>
      <c r="B9" s="402" t="s">
        <v>738</v>
      </c>
      <c r="C9" s="311">
        <v>126761325</v>
      </c>
      <c r="D9" s="311">
        <v>126761325</v>
      </c>
      <c r="E9" s="311">
        <v>126761325</v>
      </c>
      <c r="F9" s="311">
        <v>126761325</v>
      </c>
    </row>
    <row r="10" spans="1:6" s="95" customFormat="1" ht="12" customHeight="1">
      <c r="A10" s="421" t="s">
        <v>580</v>
      </c>
      <c r="B10" s="403" t="s">
        <v>739</v>
      </c>
      <c r="C10" s="298">
        <v>123139166</v>
      </c>
      <c r="D10" s="298">
        <v>123139166</v>
      </c>
      <c r="E10" s="298">
        <v>123139166</v>
      </c>
      <c r="F10" s="298">
        <v>123139166</v>
      </c>
    </row>
    <row r="11" spans="1:6" s="95" customFormat="1" ht="12" customHeight="1">
      <c r="A11" s="421" t="s">
        <v>581</v>
      </c>
      <c r="B11" s="403" t="s">
        <v>740</v>
      </c>
      <c r="C11" s="298">
        <v>136398531</v>
      </c>
      <c r="D11" s="298">
        <v>136398531</v>
      </c>
      <c r="E11" s="298">
        <v>136398531</v>
      </c>
      <c r="F11" s="298">
        <v>144294961</v>
      </c>
    </row>
    <row r="12" spans="1:6" s="95" customFormat="1" ht="12" customHeight="1">
      <c r="A12" s="421" t="s">
        <v>582</v>
      </c>
      <c r="B12" s="403" t="s">
        <v>741</v>
      </c>
      <c r="C12" s="298">
        <v>6271140</v>
      </c>
      <c r="D12" s="298">
        <v>6271140</v>
      </c>
      <c r="E12" s="298">
        <v>6271140</v>
      </c>
      <c r="F12" s="298">
        <v>6271140</v>
      </c>
    </row>
    <row r="13" spans="1:6" s="95" customFormat="1" ht="12" customHeight="1">
      <c r="A13" s="421" t="s">
        <v>624</v>
      </c>
      <c r="B13" s="403" t="s">
        <v>867</v>
      </c>
      <c r="C13" s="799">
        <v>506895</v>
      </c>
      <c r="D13" s="799">
        <v>2078807</v>
      </c>
      <c r="E13" s="799">
        <v>3244151</v>
      </c>
      <c r="F13" s="799">
        <v>4394977</v>
      </c>
    </row>
    <row r="14" spans="1:6" s="94" customFormat="1" ht="12" customHeight="1" thickBot="1">
      <c r="A14" s="422" t="s">
        <v>583</v>
      </c>
      <c r="B14" s="404" t="s">
        <v>869</v>
      </c>
      <c r="C14" s="800"/>
      <c r="D14" s="800">
        <v>4358618</v>
      </c>
      <c r="E14" s="800">
        <v>11224301</v>
      </c>
      <c r="F14" s="800">
        <v>16239566</v>
      </c>
    </row>
    <row r="15" spans="1:6" s="94" customFormat="1" ht="12" customHeight="1" thickBot="1">
      <c r="A15" s="30" t="s">
        <v>497</v>
      </c>
      <c r="B15" s="291" t="s">
        <v>744</v>
      </c>
      <c r="C15" s="296">
        <f>+C16+C17+C18+C19+C20</f>
        <v>10280000</v>
      </c>
      <c r="D15" s="296">
        <f>+D16+D17+D18+D19+D20</f>
        <v>15641485</v>
      </c>
      <c r="E15" s="296">
        <f>+E16+E17+E18+E19+E20</f>
        <v>20180814</v>
      </c>
      <c r="F15" s="296">
        <f>+F16+F17+F18+F19+F20</f>
        <v>24232699</v>
      </c>
    </row>
    <row r="16" spans="1:6" s="94" customFormat="1" ht="12" customHeight="1">
      <c r="A16" s="420" t="s">
        <v>585</v>
      </c>
      <c r="B16" s="402" t="s">
        <v>745</v>
      </c>
      <c r="C16" s="299"/>
      <c r="D16" s="299"/>
      <c r="E16" s="299"/>
      <c r="F16" s="299"/>
    </row>
    <row r="17" spans="1:6" s="94" customFormat="1" ht="12" customHeight="1">
      <c r="A17" s="421" t="s">
        <v>586</v>
      </c>
      <c r="B17" s="403" t="s">
        <v>746</v>
      </c>
      <c r="C17" s="298"/>
      <c r="D17" s="298"/>
      <c r="E17" s="298"/>
      <c r="F17" s="298"/>
    </row>
    <row r="18" spans="1:6" s="94" customFormat="1" ht="12" customHeight="1">
      <c r="A18" s="421" t="s">
        <v>587</v>
      </c>
      <c r="B18" s="403" t="s">
        <v>295</v>
      </c>
      <c r="C18" s="298"/>
      <c r="D18" s="298"/>
      <c r="E18" s="298">
        <v>807050</v>
      </c>
      <c r="F18" s="298">
        <v>1706575</v>
      </c>
    </row>
    <row r="19" spans="1:6" s="94" customFormat="1" ht="12" customHeight="1">
      <c r="A19" s="421" t="s">
        <v>588</v>
      </c>
      <c r="B19" s="894" t="s">
        <v>271</v>
      </c>
      <c r="C19" s="298">
        <v>10280000</v>
      </c>
      <c r="D19" s="298">
        <v>10280000</v>
      </c>
      <c r="E19" s="298">
        <v>10280000</v>
      </c>
      <c r="F19" s="298">
        <v>10280000</v>
      </c>
    </row>
    <row r="20" spans="1:6" s="94" customFormat="1" ht="12" customHeight="1">
      <c r="A20" s="421" t="s">
        <v>589</v>
      </c>
      <c r="B20" s="894" t="s">
        <v>868</v>
      </c>
      <c r="C20" s="298"/>
      <c r="D20" s="298">
        <v>5361485</v>
      </c>
      <c r="E20" s="298">
        <v>9093764</v>
      </c>
      <c r="F20" s="298">
        <v>12246124</v>
      </c>
    </row>
    <row r="21" spans="1:6" s="95" customFormat="1" ht="12" customHeight="1" thickBot="1">
      <c r="A21" s="422" t="s">
        <v>598</v>
      </c>
      <c r="B21" s="404" t="s">
        <v>748</v>
      </c>
      <c r="C21" s="300"/>
      <c r="D21" s="300"/>
      <c r="E21" s="300"/>
      <c r="F21" s="300"/>
    </row>
    <row r="22" spans="1:6" s="95" customFormat="1" ht="12" customHeight="1" thickBot="1">
      <c r="A22" s="30" t="s">
        <v>498</v>
      </c>
      <c r="B22" s="19" t="s">
        <v>749</v>
      </c>
      <c r="C22" s="296">
        <f>+C23+C24+C25+C26+C27</f>
        <v>157449027</v>
      </c>
      <c r="D22" s="296">
        <f>+D23+D24+D25+D26+D27</f>
        <v>157449027</v>
      </c>
      <c r="E22" s="296">
        <f>+E23+E24+E25+E26+E27</f>
        <v>682351933</v>
      </c>
      <c r="F22" s="296">
        <f>+F23+F24+F25+F26+F27</f>
        <v>682351933</v>
      </c>
    </row>
    <row r="23" spans="1:6" s="95" customFormat="1" ht="12" customHeight="1">
      <c r="A23" s="420" t="s">
        <v>568</v>
      </c>
      <c r="B23" s="402" t="s">
        <v>750</v>
      </c>
      <c r="C23" s="299"/>
      <c r="D23" s="299"/>
      <c r="E23" s="299"/>
      <c r="F23" s="299"/>
    </row>
    <row r="24" spans="1:6" s="94" customFormat="1" ht="12" customHeight="1">
      <c r="A24" s="421" t="s">
        <v>569</v>
      </c>
      <c r="B24" s="403" t="s">
        <v>751</v>
      </c>
      <c r="C24" s="298"/>
      <c r="D24" s="298"/>
      <c r="E24" s="298"/>
      <c r="F24" s="298"/>
    </row>
    <row r="25" spans="1:6" s="95" customFormat="1" ht="12" customHeight="1">
      <c r="A25" s="421" t="s">
        <v>570</v>
      </c>
      <c r="B25" s="403" t="s">
        <v>151</v>
      </c>
      <c r="C25" s="298"/>
      <c r="D25" s="298"/>
      <c r="E25" s="298"/>
      <c r="F25" s="298"/>
    </row>
    <row r="26" spans="1:6" s="95" customFormat="1" ht="12" customHeight="1">
      <c r="A26" s="421" t="s">
        <v>571</v>
      </c>
      <c r="B26" s="894" t="s">
        <v>844</v>
      </c>
      <c r="C26" s="298">
        <v>133390721</v>
      </c>
      <c r="D26" s="298">
        <v>133390721</v>
      </c>
      <c r="E26" s="298">
        <v>658293627</v>
      </c>
      <c r="F26" s="298">
        <v>658293627</v>
      </c>
    </row>
    <row r="27" spans="1:6" s="95" customFormat="1" ht="12" customHeight="1">
      <c r="A27" s="421" t="s">
        <v>647</v>
      </c>
      <c r="B27" s="894" t="s">
        <v>845</v>
      </c>
      <c r="C27" s="298">
        <v>24058306</v>
      </c>
      <c r="D27" s="298">
        <v>24058306</v>
      </c>
      <c r="E27" s="298">
        <v>24058306</v>
      </c>
      <c r="F27" s="298">
        <v>24058306</v>
      </c>
    </row>
    <row r="28" spans="1:6" s="95" customFormat="1" ht="12" customHeight="1" thickBot="1">
      <c r="A28" s="422" t="s">
        <v>648</v>
      </c>
      <c r="B28" s="404" t="s">
        <v>753</v>
      </c>
      <c r="C28" s="300"/>
      <c r="D28" s="300"/>
      <c r="E28" s="300"/>
      <c r="F28" s="300"/>
    </row>
    <row r="29" spans="1:6" s="95" customFormat="1" ht="12" customHeight="1" thickBot="1">
      <c r="A29" s="30" t="s">
        <v>649</v>
      </c>
      <c r="B29" s="19" t="s">
        <v>754</v>
      </c>
      <c r="C29" s="302">
        <f>+C30+C33+C34+C36+C35</f>
        <v>145800000</v>
      </c>
      <c r="D29" s="302">
        <f>+D30+D33+D34+D36+D35</f>
        <v>145800000</v>
      </c>
      <c r="E29" s="302">
        <f>+E30+E33+E34+E36+E35</f>
        <v>145800000</v>
      </c>
      <c r="F29" s="302">
        <f>+F30+F33+F34+F36+F35</f>
        <v>151250000</v>
      </c>
    </row>
    <row r="30" spans="1:6" s="95" customFormat="1" ht="12" customHeight="1">
      <c r="A30" s="420" t="s">
        <v>755</v>
      </c>
      <c r="B30" s="402" t="s">
        <v>761</v>
      </c>
      <c r="C30" s="397">
        <v>125800000</v>
      </c>
      <c r="D30" s="397">
        <v>125800000</v>
      </c>
      <c r="E30" s="397">
        <v>125800000</v>
      </c>
      <c r="F30" s="397">
        <v>125800000</v>
      </c>
    </row>
    <row r="31" spans="1:6" s="95" customFormat="1" ht="12" customHeight="1">
      <c r="A31" s="421" t="s">
        <v>756</v>
      </c>
      <c r="B31" s="633" t="s">
        <v>272</v>
      </c>
      <c r="C31" s="298">
        <v>5800000</v>
      </c>
      <c r="D31" s="298">
        <v>5800000</v>
      </c>
      <c r="E31" s="298">
        <v>5800000</v>
      </c>
      <c r="F31" s="298">
        <v>5800000</v>
      </c>
    </row>
    <row r="32" spans="1:6" s="95" customFormat="1" ht="12" customHeight="1">
      <c r="A32" s="421" t="s">
        <v>757</v>
      </c>
      <c r="B32" s="633" t="s">
        <v>277</v>
      </c>
      <c r="C32" s="298">
        <v>120000000</v>
      </c>
      <c r="D32" s="298">
        <v>120000000</v>
      </c>
      <c r="E32" s="298">
        <v>120000000</v>
      </c>
      <c r="F32" s="298">
        <v>120000000</v>
      </c>
    </row>
    <row r="33" spans="1:6" s="95" customFormat="1" ht="12" customHeight="1">
      <c r="A33" s="421" t="s">
        <v>758</v>
      </c>
      <c r="B33" s="403" t="s">
        <v>764</v>
      </c>
      <c r="C33" s="298">
        <v>18000000</v>
      </c>
      <c r="D33" s="298">
        <v>18000000</v>
      </c>
      <c r="E33" s="298">
        <v>18000000</v>
      </c>
      <c r="F33" s="298">
        <v>20000000</v>
      </c>
    </row>
    <row r="34" spans="1:6" s="95" customFormat="1" ht="12" customHeight="1">
      <c r="A34" s="421" t="s">
        <v>759</v>
      </c>
      <c r="B34" s="403" t="s">
        <v>273</v>
      </c>
      <c r="C34" s="298">
        <v>300000</v>
      </c>
      <c r="D34" s="298">
        <v>300000</v>
      </c>
      <c r="E34" s="298">
        <v>300000</v>
      </c>
      <c r="F34" s="298">
        <v>750000</v>
      </c>
    </row>
    <row r="35" spans="1:6" s="95" customFormat="1" ht="12" customHeight="1">
      <c r="A35" s="421" t="s">
        <v>760</v>
      </c>
      <c r="B35" s="404" t="s">
        <v>276</v>
      </c>
      <c r="C35" s="300">
        <v>900000</v>
      </c>
      <c r="D35" s="300">
        <v>900000</v>
      </c>
      <c r="E35" s="300">
        <v>900000</v>
      </c>
      <c r="F35" s="300">
        <v>2500000</v>
      </c>
    </row>
    <row r="36" spans="1:6" s="95" customFormat="1" ht="12" customHeight="1" thickBot="1">
      <c r="A36" s="421" t="s">
        <v>274</v>
      </c>
      <c r="B36" s="404" t="s">
        <v>275</v>
      </c>
      <c r="C36" s="300">
        <v>800000</v>
      </c>
      <c r="D36" s="300">
        <v>800000</v>
      </c>
      <c r="E36" s="300">
        <v>800000</v>
      </c>
      <c r="F36" s="300">
        <v>2200000</v>
      </c>
    </row>
    <row r="37" spans="1:6" s="95" customFormat="1" ht="12" customHeight="1" thickBot="1">
      <c r="A37" s="30" t="s">
        <v>500</v>
      </c>
      <c r="B37" s="19" t="s">
        <v>767</v>
      </c>
      <c r="C37" s="296">
        <f>SUM(C38:C47)</f>
        <v>32030000</v>
      </c>
      <c r="D37" s="296">
        <f>SUM(D38:D47)</f>
        <v>32030000</v>
      </c>
      <c r="E37" s="296">
        <f>SUM(E38:E47)</f>
        <v>32030000</v>
      </c>
      <c r="F37" s="296">
        <f>SUM(F38:F47)</f>
        <v>73182853</v>
      </c>
    </row>
    <row r="38" spans="1:6" s="95" customFormat="1" ht="12" customHeight="1">
      <c r="A38" s="420" t="s">
        <v>572</v>
      </c>
      <c r="B38" s="402" t="s">
        <v>770</v>
      </c>
      <c r="C38" s="299"/>
      <c r="D38" s="299"/>
      <c r="E38" s="299"/>
      <c r="F38" s="299"/>
    </row>
    <row r="39" spans="1:6" s="95" customFormat="1" ht="12" customHeight="1">
      <c r="A39" s="421" t="s">
        <v>573</v>
      </c>
      <c r="B39" s="403" t="s">
        <v>771</v>
      </c>
      <c r="C39" s="298">
        <v>6800000</v>
      </c>
      <c r="D39" s="298">
        <v>6800000</v>
      </c>
      <c r="E39" s="298">
        <v>6800000</v>
      </c>
      <c r="F39" s="298">
        <v>6800000</v>
      </c>
    </row>
    <row r="40" spans="1:6" s="95" customFormat="1" ht="12" customHeight="1">
      <c r="A40" s="421" t="s">
        <v>574</v>
      </c>
      <c r="B40" s="403" t="s">
        <v>772</v>
      </c>
      <c r="C40" s="298">
        <v>300000</v>
      </c>
      <c r="D40" s="298">
        <v>300000</v>
      </c>
      <c r="E40" s="298">
        <v>300000</v>
      </c>
      <c r="F40" s="298">
        <v>300000</v>
      </c>
    </row>
    <row r="41" spans="1:6" s="95" customFormat="1" ht="12" customHeight="1">
      <c r="A41" s="421" t="s">
        <v>651</v>
      </c>
      <c r="B41" s="403" t="s">
        <v>773</v>
      </c>
      <c r="C41" s="298">
        <v>3200000</v>
      </c>
      <c r="D41" s="298">
        <v>3200000</v>
      </c>
      <c r="E41" s="298">
        <v>3200000</v>
      </c>
      <c r="F41" s="298">
        <v>3200000</v>
      </c>
    </row>
    <row r="42" spans="1:6" s="95" customFormat="1" ht="12" customHeight="1">
      <c r="A42" s="421" t="s">
        <v>652</v>
      </c>
      <c r="B42" s="403" t="s">
        <v>774</v>
      </c>
      <c r="C42" s="298">
        <v>8150000</v>
      </c>
      <c r="D42" s="298">
        <v>8150000</v>
      </c>
      <c r="E42" s="298">
        <v>8150000</v>
      </c>
      <c r="F42" s="298">
        <v>8150000</v>
      </c>
    </row>
    <row r="43" spans="1:6" s="95" customFormat="1" ht="12" customHeight="1">
      <c r="A43" s="421" t="s">
        <v>653</v>
      </c>
      <c r="B43" s="403" t="s">
        <v>775</v>
      </c>
      <c r="C43" s="298">
        <v>3280000</v>
      </c>
      <c r="D43" s="298">
        <v>3280000</v>
      </c>
      <c r="E43" s="298">
        <v>3280000</v>
      </c>
      <c r="F43" s="298">
        <v>3280000</v>
      </c>
    </row>
    <row r="44" spans="1:6" s="95" customFormat="1" ht="12" customHeight="1">
      <c r="A44" s="421" t="s">
        <v>654</v>
      </c>
      <c r="B44" s="403" t="s">
        <v>776</v>
      </c>
      <c r="C44" s="298">
        <v>9300000</v>
      </c>
      <c r="D44" s="298">
        <v>9300000</v>
      </c>
      <c r="E44" s="298">
        <v>9300000</v>
      </c>
      <c r="F44" s="298">
        <v>9300000</v>
      </c>
    </row>
    <row r="45" spans="1:6" s="95" customFormat="1" ht="12" customHeight="1">
      <c r="A45" s="421" t="s">
        <v>655</v>
      </c>
      <c r="B45" s="403" t="s">
        <v>777</v>
      </c>
      <c r="C45" s="298">
        <v>1000000</v>
      </c>
      <c r="D45" s="298">
        <v>1000000</v>
      </c>
      <c r="E45" s="298">
        <v>1000000</v>
      </c>
      <c r="F45" s="298">
        <v>42152853</v>
      </c>
    </row>
    <row r="46" spans="1:6" s="95" customFormat="1" ht="12" customHeight="1">
      <c r="A46" s="421" t="s">
        <v>768</v>
      </c>
      <c r="B46" s="403" t="s">
        <v>778</v>
      </c>
      <c r="C46" s="301"/>
      <c r="D46" s="301"/>
      <c r="E46" s="301"/>
      <c r="F46" s="301"/>
    </row>
    <row r="47" spans="1:6" s="95" customFormat="1" ht="12" customHeight="1" thickBot="1">
      <c r="A47" s="422" t="s">
        <v>769</v>
      </c>
      <c r="B47" s="404" t="s">
        <v>779</v>
      </c>
      <c r="C47" s="391"/>
      <c r="D47" s="391"/>
      <c r="E47" s="391"/>
      <c r="F47" s="391"/>
    </row>
    <row r="48" spans="1:6" s="95" customFormat="1" ht="12" customHeight="1" thickBot="1">
      <c r="A48" s="30" t="s">
        <v>501</v>
      </c>
      <c r="B48" s="19" t="s">
        <v>780</v>
      </c>
      <c r="C48" s="296">
        <f>SUM(C49:C53)</f>
        <v>0</v>
      </c>
      <c r="D48" s="296">
        <f>SUM(D49:D53)</f>
        <v>0</v>
      </c>
      <c r="E48" s="296">
        <f>SUM(E49:E53)</f>
        <v>19403393</v>
      </c>
      <c r="F48" s="296">
        <f>SUM(F49:F53)</f>
        <v>37183393</v>
      </c>
    </row>
    <row r="49" spans="1:6" s="95" customFormat="1" ht="12" customHeight="1">
      <c r="A49" s="420" t="s">
        <v>575</v>
      </c>
      <c r="B49" s="402" t="s">
        <v>784</v>
      </c>
      <c r="C49" s="446"/>
      <c r="D49" s="446"/>
      <c r="E49" s="446"/>
      <c r="F49" s="446"/>
    </row>
    <row r="50" spans="1:6" s="95" customFormat="1" ht="12" customHeight="1">
      <c r="A50" s="421" t="s">
        <v>576</v>
      </c>
      <c r="B50" s="403" t="s">
        <v>785</v>
      </c>
      <c r="C50" s="301"/>
      <c r="D50" s="301"/>
      <c r="E50" s="301">
        <v>19403393</v>
      </c>
      <c r="F50" s="301">
        <v>37183393</v>
      </c>
    </row>
    <row r="51" spans="1:6" s="95" customFormat="1" ht="12" customHeight="1">
      <c r="A51" s="421" t="s">
        <v>781</v>
      </c>
      <c r="B51" s="403" t="s">
        <v>786</v>
      </c>
      <c r="C51" s="301"/>
      <c r="D51" s="301"/>
      <c r="E51" s="301"/>
      <c r="F51" s="301"/>
    </row>
    <row r="52" spans="1:6" s="95" customFormat="1" ht="12" customHeight="1">
      <c r="A52" s="421" t="s">
        <v>782</v>
      </c>
      <c r="B52" s="403" t="s">
        <v>787</v>
      </c>
      <c r="C52" s="301"/>
      <c r="D52" s="301"/>
      <c r="E52" s="301"/>
      <c r="F52" s="301"/>
    </row>
    <row r="53" spans="1:6" s="95" customFormat="1" ht="12" customHeight="1" thickBot="1">
      <c r="A53" s="422" t="s">
        <v>783</v>
      </c>
      <c r="B53" s="404" t="s">
        <v>788</v>
      </c>
      <c r="C53" s="391"/>
      <c r="D53" s="391"/>
      <c r="E53" s="391"/>
      <c r="F53" s="391"/>
    </row>
    <row r="54" spans="1:6" s="95" customFormat="1" ht="12" customHeight="1" thickBot="1">
      <c r="A54" s="30" t="s">
        <v>656</v>
      </c>
      <c r="B54" s="19" t="s">
        <v>789</v>
      </c>
      <c r="C54" s="296">
        <f>SUM(C55:C57)</f>
        <v>0</v>
      </c>
      <c r="D54" s="296">
        <f>SUM(D55:D57)</f>
        <v>2080298</v>
      </c>
      <c r="E54" s="296">
        <f>SUM(E55:E57)</f>
        <v>2080298</v>
      </c>
      <c r="F54" s="296">
        <f>SUM(F55:F57)</f>
        <v>2080298</v>
      </c>
    </row>
    <row r="55" spans="1:6" s="95" customFormat="1" ht="12" customHeight="1">
      <c r="A55" s="420" t="s">
        <v>577</v>
      </c>
      <c r="B55" s="402" t="s">
        <v>790</v>
      </c>
      <c r="C55" s="299"/>
      <c r="D55" s="299"/>
      <c r="E55" s="299"/>
      <c r="F55" s="299"/>
    </row>
    <row r="56" spans="1:6" s="95" customFormat="1" ht="12" customHeight="1">
      <c r="A56" s="421" t="s">
        <v>578</v>
      </c>
      <c r="B56" s="403" t="s">
        <v>872</v>
      </c>
      <c r="C56" s="298"/>
      <c r="D56" s="298">
        <v>1308533</v>
      </c>
      <c r="E56" s="298">
        <v>1308533</v>
      </c>
      <c r="F56" s="298">
        <v>1308533</v>
      </c>
    </row>
    <row r="57" spans="1:6" s="95" customFormat="1" ht="12" customHeight="1">
      <c r="A57" s="421" t="s">
        <v>793</v>
      </c>
      <c r="B57" s="403" t="s">
        <v>873</v>
      </c>
      <c r="C57" s="298"/>
      <c r="D57" s="298">
        <v>771765</v>
      </c>
      <c r="E57" s="298">
        <v>771765</v>
      </c>
      <c r="F57" s="298">
        <v>771765</v>
      </c>
    </row>
    <row r="58" spans="1:6" s="95" customFormat="1" ht="12" customHeight="1" thickBot="1">
      <c r="A58" s="422" t="s">
        <v>794</v>
      </c>
      <c r="B58" s="404" t="s">
        <v>792</v>
      </c>
      <c r="C58" s="300"/>
      <c r="D58" s="300"/>
      <c r="E58" s="300"/>
      <c r="F58" s="300"/>
    </row>
    <row r="59" spans="1:6" s="95" customFormat="1" ht="12" customHeight="1" thickBot="1">
      <c r="A59" s="30" t="s">
        <v>503</v>
      </c>
      <c r="B59" s="291" t="s">
        <v>795</v>
      </c>
      <c r="C59" s="296">
        <f>SUM(C60:C62)</f>
        <v>0</v>
      </c>
      <c r="D59" s="296">
        <f>SUM(D60:D62)</f>
        <v>0</v>
      </c>
      <c r="E59" s="296">
        <f>SUM(E60:E62)</f>
        <v>0</v>
      </c>
      <c r="F59" s="296">
        <f>SUM(F60:F62)</f>
        <v>0</v>
      </c>
    </row>
    <row r="60" spans="1:6" s="95" customFormat="1" ht="12" customHeight="1">
      <c r="A60" s="420" t="s">
        <v>657</v>
      </c>
      <c r="B60" s="402" t="s">
        <v>797</v>
      </c>
      <c r="C60" s="301"/>
      <c r="D60" s="301"/>
      <c r="E60" s="301"/>
      <c r="F60" s="301"/>
    </row>
    <row r="61" spans="1:6" s="95" customFormat="1" ht="12" customHeight="1">
      <c r="A61" s="421" t="s">
        <v>658</v>
      </c>
      <c r="B61" s="403" t="s">
        <v>154</v>
      </c>
      <c r="C61" s="301"/>
      <c r="D61" s="301"/>
      <c r="E61" s="301"/>
      <c r="F61" s="301"/>
    </row>
    <row r="62" spans="1:6" s="95" customFormat="1" ht="12" customHeight="1">
      <c r="A62" s="421" t="s">
        <v>709</v>
      </c>
      <c r="B62" s="403" t="s">
        <v>297</v>
      </c>
      <c r="C62" s="301"/>
      <c r="D62" s="301"/>
      <c r="E62" s="301"/>
      <c r="F62" s="301"/>
    </row>
    <row r="63" spans="1:6" s="95" customFormat="1" ht="12" customHeight="1" thickBot="1">
      <c r="A63" s="422" t="s">
        <v>796</v>
      </c>
      <c r="B63" s="404" t="s">
        <v>799</v>
      </c>
      <c r="C63" s="301"/>
      <c r="D63" s="301"/>
      <c r="E63" s="301"/>
      <c r="F63" s="301"/>
    </row>
    <row r="64" spans="1:6" s="95" customFormat="1" ht="12" customHeight="1" thickBot="1">
      <c r="A64" s="30" t="s">
        <v>504</v>
      </c>
      <c r="B64" s="19" t="s">
        <v>800</v>
      </c>
      <c r="C64" s="302">
        <f>+C8+C15+C22+C29+C37+C48+C54+C59</f>
        <v>738636084</v>
      </c>
      <c r="D64" s="302">
        <f>+D8+D15+D22+D29+D37+D48+D54+D59</f>
        <v>752008397</v>
      </c>
      <c r="E64" s="302">
        <f>+E8+E15+E22+E29+E37+E48+E54+E59</f>
        <v>1308885052</v>
      </c>
      <c r="F64" s="302">
        <f>+F8+F15+F22+F29+F37+F48+F54+F59</f>
        <v>1391382311</v>
      </c>
    </row>
    <row r="65" spans="1:6" s="95" customFormat="1" ht="12" customHeight="1" thickBot="1">
      <c r="A65" s="423" t="s">
        <v>115</v>
      </c>
      <c r="B65" s="291" t="s">
        <v>802</v>
      </c>
      <c r="C65" s="296">
        <f>SUM(C66:C68)</f>
        <v>0</v>
      </c>
      <c r="D65" s="296">
        <f>SUM(D66:D68)</f>
        <v>0</v>
      </c>
      <c r="E65" s="296">
        <f>SUM(E66:E68)</f>
        <v>0</v>
      </c>
      <c r="F65" s="296">
        <f>SUM(F66:F68)</f>
        <v>0</v>
      </c>
    </row>
    <row r="66" spans="1:6" s="95" customFormat="1" ht="12" customHeight="1">
      <c r="A66" s="420" t="s">
        <v>12</v>
      </c>
      <c r="B66" s="402" t="s">
        <v>803</v>
      </c>
      <c r="C66" s="301"/>
      <c r="D66" s="301"/>
      <c r="E66" s="301"/>
      <c r="F66" s="301"/>
    </row>
    <row r="67" spans="1:6" s="95" customFormat="1" ht="12" customHeight="1">
      <c r="A67" s="421" t="s">
        <v>21</v>
      </c>
      <c r="B67" s="403" t="s">
        <v>804</v>
      </c>
      <c r="C67" s="301"/>
      <c r="D67" s="301"/>
      <c r="E67" s="301"/>
      <c r="F67" s="301"/>
    </row>
    <row r="68" spans="1:6" s="95" customFormat="1" ht="12" customHeight="1" thickBot="1">
      <c r="A68" s="422" t="s">
        <v>22</v>
      </c>
      <c r="B68" s="406" t="s">
        <v>805</v>
      </c>
      <c r="C68" s="301"/>
      <c r="D68" s="301"/>
      <c r="E68" s="301"/>
      <c r="F68" s="301"/>
    </row>
    <row r="69" spans="1:6" s="95" customFormat="1" ht="12" customHeight="1" thickBot="1">
      <c r="A69" s="423" t="s">
        <v>806</v>
      </c>
      <c r="B69" s="291" t="s">
        <v>807</v>
      </c>
      <c r="C69" s="296">
        <f>SUM(C70:C73)</f>
        <v>295000000</v>
      </c>
      <c r="D69" s="296">
        <f>SUM(D70:D73)</f>
        <v>295000000</v>
      </c>
      <c r="E69" s="296">
        <f>SUM(E70:E73)</f>
        <v>295000000</v>
      </c>
      <c r="F69" s="296">
        <f>SUM(F70:F73)</f>
        <v>515027147</v>
      </c>
    </row>
    <row r="70" spans="1:6" s="95" customFormat="1" ht="12" customHeight="1">
      <c r="A70" s="420" t="s">
        <v>625</v>
      </c>
      <c r="B70" s="402" t="s">
        <v>808</v>
      </c>
      <c r="C70" s="301">
        <v>295000000</v>
      </c>
      <c r="D70" s="301">
        <v>295000000</v>
      </c>
      <c r="E70" s="301">
        <v>295000000</v>
      </c>
      <c r="F70" s="301">
        <v>515027147</v>
      </c>
    </row>
    <row r="71" spans="1:6" s="95" customFormat="1" ht="12" customHeight="1">
      <c r="A71" s="421" t="s">
        <v>626</v>
      </c>
      <c r="B71" s="403" t="s">
        <v>809</v>
      </c>
      <c r="C71" s="301"/>
      <c r="D71" s="301"/>
      <c r="E71" s="301"/>
      <c r="F71" s="301"/>
    </row>
    <row r="72" spans="1:6" s="95" customFormat="1" ht="12" customHeight="1">
      <c r="A72" s="421" t="s">
        <v>13</v>
      </c>
      <c r="B72" s="403" t="s">
        <v>810</v>
      </c>
      <c r="C72" s="301"/>
      <c r="D72" s="301"/>
      <c r="E72" s="301"/>
      <c r="F72" s="301"/>
    </row>
    <row r="73" spans="1:6" s="95" customFormat="1" ht="12" customHeight="1" thickBot="1">
      <c r="A73" s="422" t="s">
        <v>14</v>
      </c>
      <c r="B73" s="404" t="s">
        <v>811</v>
      </c>
      <c r="C73" s="301"/>
      <c r="D73" s="301"/>
      <c r="E73" s="301"/>
      <c r="F73" s="301"/>
    </row>
    <row r="74" spans="1:6" s="95" customFormat="1" ht="12" customHeight="1" thickBot="1">
      <c r="A74" s="423" t="s">
        <v>812</v>
      </c>
      <c r="B74" s="291" t="s">
        <v>813</v>
      </c>
      <c r="C74" s="296">
        <f>SUM(C75:C76)</f>
        <v>199880000</v>
      </c>
      <c r="D74" s="296">
        <f>SUM(D75:D76)</f>
        <v>204433772</v>
      </c>
      <c r="E74" s="296">
        <f>SUM(E75:E76)</f>
        <v>204433772</v>
      </c>
      <c r="F74" s="296">
        <f>SUM(F75:F76)</f>
        <v>204433772</v>
      </c>
    </row>
    <row r="75" spans="1:6" s="95" customFormat="1" ht="12" customHeight="1">
      <c r="A75" s="420" t="s">
        <v>15</v>
      </c>
      <c r="B75" s="402" t="s">
        <v>300</v>
      </c>
      <c r="C75" s="301">
        <v>199880000</v>
      </c>
      <c r="D75" s="301">
        <v>204433772</v>
      </c>
      <c r="E75" s="301">
        <v>204433772</v>
      </c>
      <c r="F75" s="301">
        <v>204433772</v>
      </c>
    </row>
    <row r="76" spans="1:6" s="95" customFormat="1" ht="12" customHeight="1" thickBot="1">
      <c r="A76" s="422" t="s">
        <v>16</v>
      </c>
      <c r="B76" s="404" t="s">
        <v>815</v>
      </c>
      <c r="C76" s="301"/>
      <c r="D76" s="301"/>
      <c r="E76" s="301"/>
      <c r="F76" s="301"/>
    </row>
    <row r="77" spans="1:6" s="94" customFormat="1" ht="12" customHeight="1" thickBot="1">
      <c r="A77" s="423" t="s">
        <v>816</v>
      </c>
      <c r="B77" s="291" t="s">
        <v>817</v>
      </c>
      <c r="C77" s="296">
        <f>SUM(C78:C80)</f>
        <v>0</v>
      </c>
      <c r="D77" s="296">
        <f>SUM(D78:D80)</f>
        <v>0</v>
      </c>
      <c r="E77" s="296">
        <f>SUM(E78:E80)</f>
        <v>0</v>
      </c>
      <c r="F77" s="296">
        <f>SUM(F78:F80)</f>
        <v>0</v>
      </c>
    </row>
    <row r="78" spans="1:6" s="95" customFormat="1" ht="12" customHeight="1">
      <c r="A78" s="420" t="s">
        <v>17</v>
      </c>
      <c r="B78" s="402" t="s">
        <v>818</v>
      </c>
      <c r="C78" s="301"/>
      <c r="D78" s="301"/>
      <c r="E78" s="301"/>
      <c r="F78" s="301"/>
    </row>
    <row r="79" spans="1:6" s="95" customFormat="1" ht="12" customHeight="1">
      <c r="A79" s="421" t="s">
        <v>18</v>
      </c>
      <c r="B79" s="403" t="s">
        <v>819</v>
      </c>
      <c r="C79" s="301"/>
      <c r="D79" s="301"/>
      <c r="E79" s="301"/>
      <c r="F79" s="301"/>
    </row>
    <row r="80" spans="1:6" s="95" customFormat="1" ht="12" customHeight="1" thickBot="1">
      <c r="A80" s="422" t="s">
        <v>19</v>
      </c>
      <c r="B80" s="404" t="s">
        <v>820</v>
      </c>
      <c r="C80" s="301"/>
      <c r="D80" s="301"/>
      <c r="E80" s="301"/>
      <c r="F80" s="301"/>
    </row>
    <row r="81" spans="1:6" s="95" customFormat="1" ht="12" customHeight="1" thickBot="1">
      <c r="A81" s="423" t="s">
        <v>821</v>
      </c>
      <c r="B81" s="291" t="s">
        <v>20</v>
      </c>
      <c r="C81" s="296"/>
      <c r="D81" s="296"/>
      <c r="E81" s="296"/>
      <c r="F81" s="296"/>
    </row>
    <row r="82" spans="1:6" s="95" customFormat="1" ht="12" customHeight="1">
      <c r="A82" s="424" t="s">
        <v>822</v>
      </c>
      <c r="B82" s="402" t="s">
        <v>0</v>
      </c>
      <c r="C82" s="301"/>
      <c r="D82" s="301"/>
      <c r="E82" s="301"/>
      <c r="F82" s="301"/>
    </row>
    <row r="83" spans="1:6" s="95" customFormat="1" ht="12" customHeight="1">
      <c r="A83" s="425" t="s">
        <v>1</v>
      </c>
      <c r="B83" s="403" t="s">
        <v>2</v>
      </c>
      <c r="C83" s="301"/>
      <c r="D83" s="301"/>
      <c r="E83" s="301"/>
      <c r="F83" s="301"/>
    </row>
    <row r="84" spans="1:6" s="95" customFormat="1" ht="12" customHeight="1">
      <c r="A84" s="425" t="s">
        <v>3</v>
      </c>
      <c r="B84" s="403" t="s">
        <v>4</v>
      </c>
      <c r="C84" s="301"/>
      <c r="D84" s="301"/>
      <c r="E84" s="301"/>
      <c r="F84" s="301"/>
    </row>
    <row r="85" spans="1:6" s="94" customFormat="1" ht="12" customHeight="1" thickBot="1">
      <c r="A85" s="426" t="s">
        <v>5</v>
      </c>
      <c r="B85" s="404" t="s">
        <v>6</v>
      </c>
      <c r="C85" s="301"/>
      <c r="D85" s="301"/>
      <c r="E85" s="301"/>
      <c r="F85" s="301"/>
    </row>
    <row r="86" spans="1:6" s="94" customFormat="1" ht="12" customHeight="1" thickBot="1">
      <c r="A86" s="423" t="s">
        <v>7</v>
      </c>
      <c r="B86" s="291" t="s">
        <v>8</v>
      </c>
      <c r="C86" s="447"/>
      <c r="D86" s="447"/>
      <c r="E86" s="447"/>
      <c r="F86" s="447"/>
    </row>
    <row r="87" spans="1:6" s="94" customFormat="1" ht="12" customHeight="1" thickBot="1">
      <c r="A87" s="423" t="s">
        <v>9</v>
      </c>
      <c r="B87" s="410" t="s">
        <v>10</v>
      </c>
      <c r="C87" s="302">
        <f>+C65+C69+C74+C77+C81+C86</f>
        <v>494880000</v>
      </c>
      <c r="D87" s="302">
        <f>+D65+D69+D74+D77+D81+D86</f>
        <v>499433772</v>
      </c>
      <c r="E87" s="302">
        <f>+E65+E69+E74+E77+E81+E86</f>
        <v>499433772</v>
      </c>
      <c r="F87" s="302">
        <f>+F65+F69+F74+F77+F81+F86</f>
        <v>719460919</v>
      </c>
    </row>
    <row r="88" spans="1:6" s="94" customFormat="1" ht="12" customHeight="1" thickBot="1">
      <c r="A88" s="427" t="s">
        <v>23</v>
      </c>
      <c r="B88" s="412" t="s">
        <v>142</v>
      </c>
      <c r="C88" s="302">
        <f>+C64+C87</f>
        <v>1233516084</v>
      </c>
      <c r="D88" s="302">
        <f>+D64+D87</f>
        <v>1251442169</v>
      </c>
      <c r="E88" s="302">
        <f>+E64+E87</f>
        <v>1808318824</v>
      </c>
      <c r="F88" s="302">
        <f>+F64+F87</f>
        <v>2110843230</v>
      </c>
    </row>
    <row r="89" spans="1:6" s="95" customFormat="1" ht="15" customHeight="1">
      <c r="A89" s="240"/>
      <c r="B89" s="241"/>
      <c r="C89" s="364"/>
      <c r="D89" s="364"/>
      <c r="E89" s="364"/>
      <c r="F89" s="364"/>
    </row>
    <row r="90" spans="1:6" ht="13.5" thickBot="1">
      <c r="A90" s="428"/>
      <c r="B90" s="243"/>
      <c r="C90" s="365"/>
      <c r="D90" s="365"/>
      <c r="E90" s="365"/>
      <c r="F90" s="365"/>
    </row>
    <row r="91" spans="1:6" s="57" customFormat="1" ht="16.5" customHeight="1" thickBot="1">
      <c r="A91" s="244"/>
      <c r="B91" s="245" t="s">
        <v>535</v>
      </c>
      <c r="C91" s="366"/>
      <c r="D91" s="366"/>
      <c r="E91" s="366"/>
      <c r="F91" s="366"/>
    </row>
    <row r="92" spans="1:6" s="96" customFormat="1" ht="12" customHeight="1" thickBot="1">
      <c r="A92" s="394" t="s">
        <v>496</v>
      </c>
      <c r="B92" s="29" t="s">
        <v>26</v>
      </c>
      <c r="C92" s="295">
        <f>SUM(C93:C97)</f>
        <v>337871192</v>
      </c>
      <c r="D92" s="295">
        <f>SUM(D93:D97)</f>
        <v>351846040</v>
      </c>
      <c r="E92" s="295">
        <v>363849020</v>
      </c>
      <c r="F92" s="295">
        <v>376764000</v>
      </c>
    </row>
    <row r="93" spans="1:6" ht="12" customHeight="1">
      <c r="A93" s="429" t="s">
        <v>579</v>
      </c>
      <c r="B93" s="8" t="s">
        <v>526</v>
      </c>
      <c r="C93" s="297">
        <v>39848800</v>
      </c>
      <c r="D93" s="297">
        <v>45704659</v>
      </c>
      <c r="E93" s="297">
        <v>51704045</v>
      </c>
      <c r="F93" s="297">
        <v>54551346</v>
      </c>
    </row>
    <row r="94" spans="1:6" ht="12" customHeight="1">
      <c r="A94" s="421" t="s">
        <v>580</v>
      </c>
      <c r="B94" s="6" t="s">
        <v>659</v>
      </c>
      <c r="C94" s="298">
        <v>8963751</v>
      </c>
      <c r="D94" s="298">
        <v>10349801</v>
      </c>
      <c r="E94" s="298">
        <v>11669668</v>
      </c>
      <c r="F94" s="298">
        <v>12296075</v>
      </c>
    </row>
    <row r="95" spans="1:6" ht="12" customHeight="1">
      <c r="A95" s="421" t="s">
        <v>581</v>
      </c>
      <c r="B95" s="6" t="s">
        <v>358</v>
      </c>
      <c r="C95" s="300">
        <v>135305000</v>
      </c>
      <c r="D95" s="300">
        <v>135305000</v>
      </c>
      <c r="E95" s="300">
        <v>135305000</v>
      </c>
      <c r="F95" s="300">
        <v>147803669</v>
      </c>
    </row>
    <row r="96" spans="1:6" ht="12" customHeight="1">
      <c r="A96" s="421" t="s">
        <v>582</v>
      </c>
      <c r="B96" s="9" t="s">
        <v>660</v>
      </c>
      <c r="C96" s="300">
        <v>9611000</v>
      </c>
      <c r="D96" s="300">
        <v>11611000</v>
      </c>
      <c r="E96" s="300">
        <v>11611000</v>
      </c>
      <c r="F96" s="300">
        <v>5107000</v>
      </c>
    </row>
    <row r="97" spans="1:6" ht="12" customHeight="1">
      <c r="A97" s="421" t="s">
        <v>593</v>
      </c>
      <c r="B97" s="17" t="s">
        <v>661</v>
      </c>
      <c r="C97" s="300">
        <f>C102+C98+C103+C107</f>
        <v>144142641</v>
      </c>
      <c r="D97" s="300">
        <f>D102+D98+D103+D107</f>
        <v>148875580</v>
      </c>
      <c r="E97" s="300">
        <v>153559307</v>
      </c>
      <c r="F97" s="300">
        <v>157005910</v>
      </c>
    </row>
    <row r="98" spans="1:6" ht="12" customHeight="1">
      <c r="A98" s="421" t="s">
        <v>583</v>
      </c>
      <c r="B98" s="6" t="s">
        <v>27</v>
      </c>
      <c r="C98" s="300"/>
      <c r="D98" s="300"/>
      <c r="E98" s="300"/>
      <c r="F98" s="300"/>
    </row>
    <row r="99" spans="1:6" ht="12" customHeight="1">
      <c r="A99" s="421" t="s">
        <v>584</v>
      </c>
      <c r="B99" s="139" t="s">
        <v>28</v>
      </c>
      <c r="C99" s="300"/>
      <c r="D99" s="300"/>
      <c r="E99" s="300"/>
      <c r="F99" s="300"/>
    </row>
    <row r="100" spans="1:6" ht="12" customHeight="1">
      <c r="A100" s="421" t="s">
        <v>594</v>
      </c>
      <c r="B100" s="140" t="s">
        <v>29</v>
      </c>
      <c r="C100" s="300"/>
      <c r="D100" s="300"/>
      <c r="E100" s="300"/>
      <c r="F100" s="300"/>
    </row>
    <row r="101" spans="1:6" ht="12" customHeight="1">
      <c r="A101" s="421" t="s">
        <v>595</v>
      </c>
      <c r="B101" s="140" t="s">
        <v>30</v>
      </c>
      <c r="C101" s="300"/>
      <c r="D101" s="300"/>
      <c r="E101" s="300"/>
      <c r="F101" s="300"/>
    </row>
    <row r="102" spans="1:6" ht="12" customHeight="1">
      <c r="A102" s="421" t="s">
        <v>596</v>
      </c>
      <c r="B102" s="139" t="s">
        <v>359</v>
      </c>
      <c r="C102" s="300">
        <v>138942641</v>
      </c>
      <c r="D102" s="300">
        <v>145675580</v>
      </c>
      <c r="E102" s="300">
        <v>150359307</v>
      </c>
      <c r="F102" s="300">
        <v>153305910</v>
      </c>
    </row>
    <row r="103" spans="1:6" ht="12" customHeight="1">
      <c r="A103" s="421" t="s">
        <v>597</v>
      </c>
      <c r="B103" s="139" t="s">
        <v>360</v>
      </c>
      <c r="C103" s="300">
        <v>2000000</v>
      </c>
      <c r="D103" s="300"/>
      <c r="E103" s="300"/>
      <c r="F103" s="300"/>
    </row>
    <row r="104" spans="1:6" ht="12" customHeight="1">
      <c r="A104" s="421" t="s">
        <v>599</v>
      </c>
      <c r="B104" s="140" t="s">
        <v>33</v>
      </c>
      <c r="C104" s="300"/>
      <c r="D104" s="300"/>
      <c r="E104" s="300"/>
      <c r="F104" s="300"/>
    </row>
    <row r="105" spans="1:6" ht="12.75">
      <c r="A105" s="430" t="s">
        <v>662</v>
      </c>
      <c r="B105" s="141" t="s">
        <v>34</v>
      </c>
      <c r="C105" s="300"/>
      <c r="D105" s="300"/>
      <c r="E105" s="300"/>
      <c r="F105" s="300"/>
    </row>
    <row r="106" spans="1:6" ht="12.75">
      <c r="A106" s="421" t="s">
        <v>24</v>
      </c>
      <c r="B106" s="140" t="s">
        <v>325</v>
      </c>
      <c r="C106" s="300"/>
      <c r="D106" s="300"/>
      <c r="E106" s="300"/>
      <c r="F106" s="300"/>
    </row>
    <row r="107" spans="1:6" ht="23.25" thickBot="1">
      <c r="A107" s="431" t="s">
        <v>25</v>
      </c>
      <c r="B107" s="667" t="s">
        <v>361</v>
      </c>
      <c r="C107" s="303">
        <v>3200000</v>
      </c>
      <c r="D107" s="303">
        <v>3200000</v>
      </c>
      <c r="E107" s="303">
        <v>3200000</v>
      </c>
      <c r="F107" s="303">
        <v>3700000</v>
      </c>
    </row>
    <row r="108" spans="1:6" ht="12" customHeight="1" thickBot="1">
      <c r="A108" s="30" t="s">
        <v>497</v>
      </c>
      <c r="B108" s="28" t="s">
        <v>37</v>
      </c>
      <c r="C108" s="296">
        <f>+C109+C111+C113</f>
        <v>321411285</v>
      </c>
      <c r="D108" s="296">
        <f>+D109+D111+D113</f>
        <v>337926285</v>
      </c>
      <c r="E108" s="296">
        <f>+E109+E111+E113</f>
        <v>904285367</v>
      </c>
      <c r="F108" s="296">
        <f>+F109+F111+F113</f>
        <v>919285367</v>
      </c>
    </row>
    <row r="109" spans="1:6" ht="12" customHeight="1">
      <c r="A109" s="420" t="s">
        <v>585</v>
      </c>
      <c r="B109" s="6" t="s">
        <v>708</v>
      </c>
      <c r="C109" s="299">
        <v>140411285</v>
      </c>
      <c r="D109" s="299">
        <v>140411285</v>
      </c>
      <c r="E109" s="299">
        <v>591146615</v>
      </c>
      <c r="F109" s="299">
        <v>606146615</v>
      </c>
    </row>
    <row r="110" spans="1:6" ht="12" customHeight="1">
      <c r="A110" s="420" t="s">
        <v>586</v>
      </c>
      <c r="B110" s="10" t="s">
        <v>41</v>
      </c>
      <c r="C110" s="299"/>
      <c r="D110" s="299"/>
      <c r="E110" s="299"/>
      <c r="F110" s="299"/>
    </row>
    <row r="111" spans="1:6" ht="12" customHeight="1">
      <c r="A111" s="420" t="s">
        <v>587</v>
      </c>
      <c r="B111" s="10" t="s">
        <v>663</v>
      </c>
      <c r="C111" s="298">
        <v>181000000</v>
      </c>
      <c r="D111" s="298">
        <v>181000000</v>
      </c>
      <c r="E111" s="298">
        <v>296623752</v>
      </c>
      <c r="F111" s="298">
        <v>296623752</v>
      </c>
    </row>
    <row r="112" spans="1:6" ht="12" customHeight="1">
      <c r="A112" s="420" t="s">
        <v>588</v>
      </c>
      <c r="B112" s="10" t="s">
        <v>42</v>
      </c>
      <c r="C112" s="269"/>
      <c r="D112" s="269"/>
      <c r="E112" s="269"/>
      <c r="F112" s="269"/>
    </row>
    <row r="113" spans="1:6" ht="12" customHeight="1">
      <c r="A113" s="420" t="s">
        <v>589</v>
      </c>
      <c r="B113" s="293" t="s">
        <v>710</v>
      </c>
      <c r="C113" s="269"/>
      <c r="D113" s="269">
        <f>D121</f>
        <v>16515000</v>
      </c>
      <c r="E113" s="269">
        <f>E121</f>
        <v>16515000</v>
      </c>
      <c r="F113" s="269">
        <f>F121</f>
        <v>16515000</v>
      </c>
    </row>
    <row r="114" spans="1:6" ht="12" customHeight="1">
      <c r="A114" s="420" t="s">
        <v>598</v>
      </c>
      <c r="B114" s="292" t="s">
        <v>155</v>
      </c>
      <c r="C114" s="269"/>
      <c r="D114" s="269"/>
      <c r="E114" s="269"/>
      <c r="F114" s="269"/>
    </row>
    <row r="115" spans="1:6" ht="12" customHeight="1">
      <c r="A115" s="420" t="s">
        <v>600</v>
      </c>
      <c r="B115" s="398" t="s">
        <v>47</v>
      </c>
      <c r="C115" s="269"/>
      <c r="D115" s="269"/>
      <c r="E115" s="269"/>
      <c r="F115" s="269"/>
    </row>
    <row r="116" spans="1:6" ht="12" customHeight="1">
      <c r="A116" s="420" t="s">
        <v>664</v>
      </c>
      <c r="B116" s="717" t="s">
        <v>345</v>
      </c>
      <c r="C116" s="269"/>
      <c r="D116" s="269"/>
      <c r="E116" s="269"/>
      <c r="F116" s="269"/>
    </row>
    <row r="117" spans="1:6" ht="18.75" customHeight="1">
      <c r="A117" s="420" t="s">
        <v>665</v>
      </c>
      <c r="B117" s="958" t="s">
        <v>346</v>
      </c>
      <c r="C117" s="269"/>
      <c r="D117" s="269"/>
      <c r="E117" s="269"/>
      <c r="F117" s="269"/>
    </row>
    <row r="118" spans="1:6" ht="12" customHeight="1">
      <c r="A118" s="420" t="s">
        <v>666</v>
      </c>
      <c r="B118" s="140" t="s">
        <v>45</v>
      </c>
      <c r="C118" s="269"/>
      <c r="D118" s="269"/>
      <c r="E118" s="269"/>
      <c r="F118" s="269"/>
    </row>
    <row r="119" spans="1:6" ht="12" customHeight="1">
      <c r="A119" s="420" t="s">
        <v>38</v>
      </c>
      <c r="B119" s="140" t="s">
        <v>33</v>
      </c>
      <c r="C119" s="269"/>
      <c r="D119" s="269"/>
      <c r="E119" s="269"/>
      <c r="F119" s="269"/>
    </row>
    <row r="120" spans="1:6" ht="12" customHeight="1">
      <c r="A120" s="420" t="s">
        <v>39</v>
      </c>
      <c r="B120" s="140" t="s">
        <v>44</v>
      </c>
      <c r="C120" s="269"/>
      <c r="D120" s="269"/>
      <c r="E120" s="269"/>
      <c r="F120" s="269"/>
    </row>
    <row r="121" spans="1:6" ht="21" customHeight="1" thickBot="1">
      <c r="A121" s="430" t="s">
        <v>40</v>
      </c>
      <c r="B121" s="140" t="s">
        <v>871</v>
      </c>
      <c r="C121" s="270"/>
      <c r="D121" s="270">
        <v>16515000</v>
      </c>
      <c r="E121" s="270">
        <v>16515000</v>
      </c>
      <c r="F121" s="270">
        <v>16515000</v>
      </c>
    </row>
    <row r="122" spans="1:6" ht="12" customHeight="1" thickBot="1">
      <c r="A122" s="30" t="s">
        <v>498</v>
      </c>
      <c r="B122" s="122" t="s">
        <v>48</v>
      </c>
      <c r="C122" s="296">
        <f>+C123+C124</f>
        <v>369260504</v>
      </c>
      <c r="D122" s="296">
        <f>+D123+D124</f>
        <v>236050964</v>
      </c>
      <c r="E122" s="296">
        <f>+E123+E124</f>
        <v>206289199</v>
      </c>
      <c r="F122" s="296">
        <f>+F123+F124</f>
        <v>327931485</v>
      </c>
    </row>
    <row r="123" spans="1:6" ht="12" customHeight="1">
      <c r="A123" s="420" t="s">
        <v>568</v>
      </c>
      <c r="B123" s="7" t="s">
        <v>363</v>
      </c>
      <c r="C123" s="299">
        <v>38342762</v>
      </c>
      <c r="D123" s="299">
        <v>21648222</v>
      </c>
      <c r="E123" s="299">
        <v>17204866</v>
      </c>
      <c r="F123" s="299">
        <v>20922905</v>
      </c>
    </row>
    <row r="124" spans="1:6" ht="12" customHeight="1" thickBot="1">
      <c r="A124" s="422" t="s">
        <v>569</v>
      </c>
      <c r="B124" s="10" t="s">
        <v>364</v>
      </c>
      <c r="C124" s="300">
        <v>330917742</v>
      </c>
      <c r="D124" s="300">
        <v>214402742</v>
      </c>
      <c r="E124" s="300">
        <v>189084333</v>
      </c>
      <c r="F124" s="300">
        <v>307008580</v>
      </c>
    </row>
    <row r="125" spans="1:6" ht="12" customHeight="1" thickBot="1">
      <c r="A125" s="30" t="s">
        <v>499</v>
      </c>
      <c r="B125" s="122" t="s">
        <v>49</v>
      </c>
      <c r="C125" s="296">
        <f>+C92+C108+C122</f>
        <v>1028542981</v>
      </c>
      <c r="D125" s="296">
        <f>+D92+D108+D122</f>
        <v>925823289</v>
      </c>
      <c r="E125" s="296">
        <f>+E92+E108+E122</f>
        <v>1474423586</v>
      </c>
      <c r="F125" s="296">
        <f>+F92+F108+F122</f>
        <v>1623980852</v>
      </c>
    </row>
    <row r="126" spans="1:6" ht="12" customHeight="1" thickBot="1">
      <c r="A126" s="30" t="s">
        <v>500</v>
      </c>
      <c r="B126" s="122" t="s">
        <v>50</v>
      </c>
      <c r="C126" s="296">
        <f>+C127+C128+C129</f>
        <v>0</v>
      </c>
      <c r="D126" s="296">
        <f>+D127+D128+D129</f>
        <v>0</v>
      </c>
      <c r="E126" s="296">
        <f>+E127+E128+E129</f>
        <v>0</v>
      </c>
      <c r="F126" s="296">
        <f>+F127+F128+F129</f>
        <v>0</v>
      </c>
    </row>
    <row r="127" spans="1:6" s="96" customFormat="1" ht="12" customHeight="1">
      <c r="A127" s="420" t="s">
        <v>572</v>
      </c>
      <c r="B127" s="7" t="s">
        <v>51</v>
      </c>
      <c r="C127" s="269"/>
      <c r="D127" s="269"/>
      <c r="E127" s="269"/>
      <c r="F127" s="269"/>
    </row>
    <row r="128" spans="1:6" ht="12" customHeight="1">
      <c r="A128" s="420" t="s">
        <v>573</v>
      </c>
      <c r="B128" s="7" t="s">
        <v>52</v>
      </c>
      <c r="C128" s="269"/>
      <c r="D128" s="269"/>
      <c r="E128" s="269"/>
      <c r="F128" s="269"/>
    </row>
    <row r="129" spans="1:6" ht="12" customHeight="1" thickBot="1">
      <c r="A129" s="430" t="s">
        <v>574</v>
      </c>
      <c r="B129" s="5" t="s">
        <v>53</v>
      </c>
      <c r="C129" s="269"/>
      <c r="D129" s="269"/>
      <c r="E129" s="269"/>
      <c r="F129" s="269"/>
    </row>
    <row r="130" spans="1:6" ht="12" customHeight="1" thickBot="1">
      <c r="A130" s="30" t="s">
        <v>501</v>
      </c>
      <c r="B130" s="122" t="s">
        <v>114</v>
      </c>
      <c r="C130" s="296">
        <f>+C131+C132+C133+C134</f>
        <v>0</v>
      </c>
      <c r="D130" s="296">
        <f>+D131+D132+D133+D134</f>
        <v>100000000</v>
      </c>
      <c r="E130" s="296">
        <f>+E131+E132+E133+E134</f>
        <v>100000000</v>
      </c>
      <c r="F130" s="296">
        <f>+F131+F132+F133+F134</f>
        <v>250000000</v>
      </c>
    </row>
    <row r="131" spans="1:6" ht="12" customHeight="1">
      <c r="A131" s="420" t="s">
        <v>575</v>
      </c>
      <c r="B131" s="7" t="s">
        <v>54</v>
      </c>
      <c r="C131" s="269"/>
      <c r="D131" s="269">
        <v>100000000</v>
      </c>
      <c r="E131" s="269">
        <v>100000000</v>
      </c>
      <c r="F131" s="269">
        <v>250000000</v>
      </c>
    </row>
    <row r="132" spans="1:6" ht="12" customHeight="1">
      <c r="A132" s="420" t="s">
        <v>576</v>
      </c>
      <c r="B132" s="7" t="s">
        <v>55</v>
      </c>
      <c r="C132" s="269"/>
      <c r="D132" s="269"/>
      <c r="E132" s="269"/>
      <c r="F132" s="269"/>
    </row>
    <row r="133" spans="1:6" ht="12" customHeight="1">
      <c r="A133" s="420" t="s">
        <v>781</v>
      </c>
      <c r="B133" s="7" t="s">
        <v>56</v>
      </c>
      <c r="C133" s="269"/>
      <c r="D133" s="269"/>
      <c r="E133" s="269"/>
      <c r="F133" s="269"/>
    </row>
    <row r="134" spans="1:6" s="96" customFormat="1" ht="12" customHeight="1" thickBot="1">
      <c r="A134" s="430" t="s">
        <v>782</v>
      </c>
      <c r="B134" s="5" t="s">
        <v>57</v>
      </c>
      <c r="C134" s="269"/>
      <c r="D134" s="269"/>
      <c r="E134" s="269"/>
      <c r="F134" s="269"/>
    </row>
    <row r="135" spans="1:11" ht="12" customHeight="1" thickBot="1">
      <c r="A135" s="30" t="s">
        <v>502</v>
      </c>
      <c r="B135" s="122" t="s">
        <v>58</v>
      </c>
      <c r="C135" s="302">
        <f>+C136+C137+C138+C139</f>
        <v>204973103</v>
      </c>
      <c r="D135" s="302">
        <f>+D136+D137+D138+D139</f>
        <v>225618880</v>
      </c>
      <c r="E135" s="302">
        <f>+E136+E137+E138+E139</f>
        <v>233895238</v>
      </c>
      <c r="F135" s="302">
        <f>+F136+F137+F138+F139</f>
        <v>236862378</v>
      </c>
      <c r="K135" s="252"/>
    </row>
    <row r="136" spans="1:6" ht="12.75">
      <c r="A136" s="420" t="s">
        <v>577</v>
      </c>
      <c r="B136" s="7" t="s">
        <v>59</v>
      </c>
      <c r="C136" s="269"/>
      <c r="D136" s="269">
        <v>14042123</v>
      </c>
      <c r="E136" s="269">
        <v>14042123</v>
      </c>
      <c r="F136" s="269">
        <v>14042123</v>
      </c>
    </row>
    <row r="137" spans="1:6" ht="12" customHeight="1">
      <c r="A137" s="420" t="s">
        <v>578</v>
      </c>
      <c r="B137" s="7" t="s">
        <v>870</v>
      </c>
      <c r="C137" s="269"/>
      <c r="D137" s="269">
        <v>2006764</v>
      </c>
      <c r="E137" s="269">
        <v>2006764</v>
      </c>
      <c r="F137" s="269">
        <v>2006764</v>
      </c>
    </row>
    <row r="138" spans="1:6" s="96" customFormat="1" ht="12" customHeight="1">
      <c r="A138" s="420" t="s">
        <v>793</v>
      </c>
      <c r="B138" s="7" t="s">
        <v>362</v>
      </c>
      <c r="C138" s="269">
        <v>204973103</v>
      </c>
      <c r="D138" s="269">
        <v>209569993</v>
      </c>
      <c r="E138" s="269">
        <v>217846351</v>
      </c>
      <c r="F138" s="269">
        <v>220813491</v>
      </c>
    </row>
    <row r="139" spans="1:6" s="96" customFormat="1" ht="12" customHeight="1" thickBot="1">
      <c r="A139" s="430" t="s">
        <v>794</v>
      </c>
      <c r="B139" s="5" t="s">
        <v>61</v>
      </c>
      <c r="C139" s="269"/>
      <c r="D139" s="269"/>
      <c r="E139" s="269"/>
      <c r="F139" s="269"/>
    </row>
    <row r="140" spans="1:6" s="96" customFormat="1" ht="12" customHeight="1" thickBot="1">
      <c r="A140" s="30" t="s">
        <v>503</v>
      </c>
      <c r="B140" s="122" t="s">
        <v>62</v>
      </c>
      <c r="C140" s="304">
        <f>+C141+C142+C143+C144</f>
        <v>0</v>
      </c>
      <c r="D140" s="304">
        <f>+D141+D142+D143+D144</f>
        <v>0</v>
      </c>
      <c r="E140" s="304">
        <f>+E141+E142+E143+E144</f>
        <v>0</v>
      </c>
      <c r="F140" s="304">
        <f>+F141+F142+F143+F144</f>
        <v>0</v>
      </c>
    </row>
    <row r="141" spans="1:6" s="96" customFormat="1" ht="12" customHeight="1">
      <c r="A141" s="420" t="s">
        <v>657</v>
      </c>
      <c r="B141" s="7" t="s">
        <v>63</v>
      </c>
      <c r="C141" s="269"/>
      <c r="D141" s="269"/>
      <c r="E141" s="269"/>
      <c r="F141" s="269"/>
    </row>
    <row r="142" spans="1:6" s="96" customFormat="1" ht="12" customHeight="1">
      <c r="A142" s="420" t="s">
        <v>658</v>
      </c>
      <c r="B142" s="7" t="s">
        <v>64</v>
      </c>
      <c r="C142" s="269"/>
      <c r="D142" s="269"/>
      <c r="E142" s="269"/>
      <c r="F142" s="269"/>
    </row>
    <row r="143" spans="1:6" s="96" customFormat="1" ht="12" customHeight="1">
      <c r="A143" s="420" t="s">
        <v>709</v>
      </c>
      <c r="B143" s="7" t="s">
        <v>65</v>
      </c>
      <c r="C143" s="269"/>
      <c r="D143" s="269"/>
      <c r="E143" s="269"/>
      <c r="F143" s="269"/>
    </row>
    <row r="144" spans="1:6" ht="12.75" customHeight="1" thickBot="1">
      <c r="A144" s="420" t="s">
        <v>796</v>
      </c>
      <c r="B144" s="7" t="s">
        <v>66</v>
      </c>
      <c r="C144" s="269"/>
      <c r="D144" s="269"/>
      <c r="E144" s="269"/>
      <c r="F144" s="269"/>
    </row>
    <row r="145" spans="1:6" ht="12" customHeight="1" thickBot="1">
      <c r="A145" s="30" t="s">
        <v>504</v>
      </c>
      <c r="B145" s="122" t="s">
        <v>67</v>
      </c>
      <c r="C145" s="414">
        <f>+C126+C130+C135+C140</f>
        <v>204973103</v>
      </c>
      <c r="D145" s="414">
        <f>+D126+D130+D135+D140</f>
        <v>325618880</v>
      </c>
      <c r="E145" s="414">
        <f>+E126+E130+E135+E140</f>
        <v>333895238</v>
      </c>
      <c r="F145" s="414">
        <f>+F126+F130+F135+F140</f>
        <v>486862378</v>
      </c>
    </row>
    <row r="146" spans="1:6" ht="15" customHeight="1" thickBot="1">
      <c r="A146" s="432" t="s">
        <v>505</v>
      </c>
      <c r="B146" s="375" t="s">
        <v>68</v>
      </c>
      <c r="C146" s="414">
        <f>+C125+C145</f>
        <v>1233516084</v>
      </c>
      <c r="D146" s="414">
        <f>+D125+D145</f>
        <v>1251442169</v>
      </c>
      <c r="E146" s="414">
        <f>+E125+E145</f>
        <v>1808318824</v>
      </c>
      <c r="F146" s="414">
        <f>+F125+F145</f>
        <v>2110843230</v>
      </c>
    </row>
    <row r="147" spans="1:6" ht="13.5" thickBot="1">
      <c r="A147" s="382"/>
      <c r="B147" s="383"/>
      <c r="C147" s="384"/>
      <c r="D147" s="384"/>
      <c r="E147" s="384"/>
      <c r="F147" s="384"/>
    </row>
    <row r="148" spans="1:6" ht="15" customHeight="1" thickBot="1">
      <c r="A148" s="249" t="s">
        <v>682</v>
      </c>
      <c r="B148" s="250"/>
      <c r="C148" s="119">
        <v>17</v>
      </c>
      <c r="D148" s="119">
        <v>17</v>
      </c>
      <c r="E148" s="119">
        <v>17</v>
      </c>
      <c r="F148" s="119">
        <v>17</v>
      </c>
    </row>
    <row r="149" spans="1:6" ht="14.25" customHeight="1" thickBot="1">
      <c r="A149" s="249" t="s">
        <v>683</v>
      </c>
      <c r="B149" s="250"/>
      <c r="C149" s="119">
        <v>15</v>
      </c>
      <c r="D149" s="119">
        <v>15</v>
      </c>
      <c r="E149" s="119">
        <v>15</v>
      </c>
      <c r="F149" s="119">
        <v>15</v>
      </c>
    </row>
    <row r="150" spans="1:2" ht="12.75">
      <c r="A150" s="1159" t="s">
        <v>912</v>
      </c>
      <c r="B150" s="1160"/>
    </row>
  </sheetData>
  <sheetProtection formatCells="0"/>
  <mergeCells count="1">
    <mergeCell ref="A150:B1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8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117">
      <selection activeCell="D81" sqref="D81:F82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6" width="25.00390625" style="387" customWidth="1"/>
    <col min="7" max="16384" width="9.375" style="3" customWidth="1"/>
  </cols>
  <sheetData>
    <row r="1" spans="1:6" s="2" customFormat="1" ht="16.5" customHeight="1" thickBot="1">
      <c r="A1" s="226"/>
      <c r="B1" s="228"/>
      <c r="C1" s="251"/>
      <c r="D1" s="251"/>
      <c r="E1" s="251"/>
      <c r="F1" s="251" t="s">
        <v>881</v>
      </c>
    </row>
    <row r="2" spans="1:6" s="92" customFormat="1" ht="21" customHeight="1">
      <c r="A2" s="392" t="s">
        <v>541</v>
      </c>
      <c r="B2" s="354" t="s">
        <v>704</v>
      </c>
      <c r="C2" s="356"/>
      <c r="D2" s="356"/>
      <c r="E2" s="356"/>
      <c r="F2" s="356" t="s">
        <v>530</v>
      </c>
    </row>
    <row r="3" spans="1:6" s="92" customFormat="1" ht="16.5" thickBot="1">
      <c r="A3" s="229" t="s">
        <v>679</v>
      </c>
      <c r="B3" s="355" t="s">
        <v>156</v>
      </c>
      <c r="C3" s="357"/>
      <c r="D3" s="357"/>
      <c r="E3" s="357"/>
      <c r="F3" s="357">
        <v>1</v>
      </c>
    </row>
    <row r="4" spans="1:6" s="93" customFormat="1" ht="15.75" customHeight="1" thickBot="1">
      <c r="A4" s="230"/>
      <c r="B4" s="230"/>
      <c r="C4" s="231"/>
      <c r="D4" s="231"/>
      <c r="E4" s="231"/>
      <c r="F4" s="231"/>
    </row>
    <row r="5" spans="1:6" ht="13.5" thickBot="1">
      <c r="A5" s="393" t="s">
        <v>681</v>
      </c>
      <c r="B5" s="232" t="s">
        <v>531</v>
      </c>
      <c r="C5" s="358" t="s">
        <v>532</v>
      </c>
      <c r="D5" s="358" t="s">
        <v>532</v>
      </c>
      <c r="E5" s="358" t="s">
        <v>532</v>
      </c>
      <c r="F5" s="358" t="s">
        <v>532</v>
      </c>
    </row>
    <row r="6" spans="1:6" s="57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  <c r="F6" s="201">
        <v>6</v>
      </c>
    </row>
    <row r="7" spans="1:6" s="57" customFormat="1" ht="15.75" customHeight="1" thickBot="1">
      <c r="A7" s="234"/>
      <c r="B7" s="235" t="s">
        <v>533</v>
      </c>
      <c r="C7" s="359"/>
      <c r="D7" s="359"/>
      <c r="E7" s="359"/>
      <c r="F7" s="359"/>
    </row>
    <row r="8" spans="1:6" s="57" customFormat="1" ht="12" customHeight="1" thickBot="1">
      <c r="A8" s="30" t="s">
        <v>496</v>
      </c>
      <c r="B8" s="19" t="s">
        <v>737</v>
      </c>
      <c r="C8" s="296">
        <f>+C9+C10+C11+C12+C13+C14</f>
        <v>293199529</v>
      </c>
      <c r="D8" s="296">
        <f>+D9+D10+D11+D12+D13+D14</f>
        <v>299307851</v>
      </c>
      <c r="E8" s="296">
        <f>+E9+E10+E11+E12+E13+E14</f>
        <v>307338878</v>
      </c>
      <c r="F8" s="296">
        <f>+F9+F10+F11+F12+F13+F14</f>
        <v>421101135</v>
      </c>
    </row>
    <row r="9" spans="1:6" s="94" customFormat="1" ht="12" customHeight="1">
      <c r="A9" s="420" t="s">
        <v>579</v>
      </c>
      <c r="B9" s="402" t="s">
        <v>738</v>
      </c>
      <c r="C9" s="299">
        <f>'9.1. melléklet'!C9-'[2]8'!C9</f>
        <v>26883797</v>
      </c>
      <c r="D9" s="311">
        <v>27061589</v>
      </c>
      <c r="E9" s="311">
        <v>27061589</v>
      </c>
      <c r="F9" s="311">
        <v>126761325</v>
      </c>
    </row>
    <row r="10" spans="1:6" s="95" customFormat="1" ht="12" customHeight="1">
      <c r="A10" s="421" t="s">
        <v>580</v>
      </c>
      <c r="B10" s="403" t="s">
        <v>739</v>
      </c>
      <c r="C10" s="299">
        <f>'9.1. melléklet'!C10-'9.1.2.melléklet'!C10-'[2]8'!C10</f>
        <v>123139166</v>
      </c>
      <c r="D10" s="298">
        <v>123139166</v>
      </c>
      <c r="E10" s="298">
        <v>123139166</v>
      </c>
      <c r="F10" s="298">
        <v>123139166</v>
      </c>
    </row>
    <row r="11" spans="1:6" s="95" customFormat="1" ht="12" customHeight="1">
      <c r="A11" s="421" t="s">
        <v>581</v>
      </c>
      <c r="B11" s="403" t="s">
        <v>740</v>
      </c>
      <c r="C11" s="299">
        <f>'9.1. melléklet'!C11-'9.1.2.melléklet'!C11-'[2]8'!C11</f>
        <v>136398531</v>
      </c>
      <c r="D11" s="298">
        <v>136398531</v>
      </c>
      <c r="E11" s="298">
        <v>136398531</v>
      </c>
      <c r="F11" s="298">
        <v>144294961</v>
      </c>
    </row>
    <row r="12" spans="1:6" s="95" customFormat="1" ht="12" customHeight="1">
      <c r="A12" s="421" t="s">
        <v>582</v>
      </c>
      <c r="B12" s="403" t="s">
        <v>741</v>
      </c>
      <c r="C12" s="299">
        <f>'9.1. melléklet'!C12-'9.1.2.melléklet'!C12-'[2]8'!C12</f>
        <v>6271140</v>
      </c>
      <c r="D12" s="298">
        <v>6271140</v>
      </c>
      <c r="E12" s="298">
        <v>6271140</v>
      </c>
      <c r="F12" s="298">
        <v>6271140</v>
      </c>
    </row>
    <row r="13" spans="1:6" s="95" customFormat="1" ht="12" customHeight="1">
      <c r="A13" s="421" t="s">
        <v>624</v>
      </c>
      <c r="B13" s="403" t="s">
        <v>742</v>
      </c>
      <c r="C13" s="299">
        <v>506895</v>
      </c>
      <c r="D13" s="799">
        <v>2078807</v>
      </c>
      <c r="E13" s="799">
        <v>3244151</v>
      </c>
      <c r="F13" s="799">
        <v>4394977</v>
      </c>
    </row>
    <row r="14" spans="1:6" s="94" customFormat="1" ht="12" customHeight="1" thickBot="1">
      <c r="A14" s="422" t="s">
        <v>583</v>
      </c>
      <c r="B14" s="404" t="s">
        <v>743</v>
      </c>
      <c r="C14" s="895">
        <f>'9.1. melléklet'!C14-'9.1.2.melléklet'!C14-'[2]8'!C14</f>
        <v>0</v>
      </c>
      <c r="D14" s="800">
        <v>4358618</v>
      </c>
      <c r="E14" s="800">
        <v>11224301</v>
      </c>
      <c r="F14" s="800">
        <v>16239566</v>
      </c>
    </row>
    <row r="15" spans="1:6" s="94" customFormat="1" ht="12" customHeight="1" thickBot="1">
      <c r="A15" s="30" t="s">
        <v>497</v>
      </c>
      <c r="B15" s="291" t="s">
        <v>744</v>
      </c>
      <c r="C15" s="896">
        <f>'9.1. melléklet'!C15-'9.1.2.melléklet'!C15-'[2]8'!C15</f>
        <v>10280000</v>
      </c>
      <c r="D15" s="296">
        <f>+D16+D17+D18+D19+D20</f>
        <v>15641485</v>
      </c>
      <c r="E15" s="296">
        <f>+E16+E17+E18+E19+E20</f>
        <v>20180814</v>
      </c>
      <c r="F15" s="296">
        <f>+F16+F17+F18+F19+F20</f>
        <v>24232699</v>
      </c>
    </row>
    <row r="16" spans="1:6" s="94" customFormat="1" ht="12" customHeight="1">
      <c r="A16" s="420" t="s">
        <v>585</v>
      </c>
      <c r="B16" s="402" t="s">
        <v>745</v>
      </c>
      <c r="C16" s="299">
        <f>'9.1. melléklet'!C16-'9.1.2.melléklet'!C16-'[2]8'!C16</f>
        <v>0</v>
      </c>
      <c r="D16" s="299"/>
      <c r="E16" s="299"/>
      <c r="F16" s="299"/>
    </row>
    <row r="17" spans="1:6" s="94" customFormat="1" ht="12" customHeight="1">
      <c r="A17" s="421" t="s">
        <v>586</v>
      </c>
      <c r="B17" s="403" t="s">
        <v>746</v>
      </c>
      <c r="C17" s="299">
        <f>'9.1. melléklet'!C17-'9.1.2.melléklet'!C17-'[2]8'!C17</f>
        <v>0</v>
      </c>
      <c r="D17" s="298"/>
      <c r="E17" s="298"/>
      <c r="F17" s="298"/>
    </row>
    <row r="18" spans="1:6" s="94" customFormat="1" ht="12" customHeight="1">
      <c r="A18" s="421" t="s">
        <v>587</v>
      </c>
      <c r="B18" s="403" t="s">
        <v>295</v>
      </c>
      <c r="C18" s="299">
        <f>'9.1. melléklet'!C18-'9.1.2.melléklet'!C18-'[2]8'!C18</f>
        <v>0</v>
      </c>
      <c r="D18" s="298"/>
      <c r="E18" s="298">
        <v>807050</v>
      </c>
      <c r="F18" s="298">
        <v>1706575</v>
      </c>
    </row>
    <row r="19" spans="1:6" s="94" customFormat="1" ht="12" customHeight="1">
      <c r="A19" s="421" t="s">
        <v>588</v>
      </c>
      <c r="B19" s="403" t="s">
        <v>271</v>
      </c>
      <c r="C19" s="299">
        <f>'9.1. melléklet'!C19-'9.1.2.melléklet'!C19-'[2]8'!C19</f>
        <v>10280000</v>
      </c>
      <c r="D19" s="298">
        <v>10280000</v>
      </c>
      <c r="E19" s="298">
        <v>10280000</v>
      </c>
      <c r="F19" s="298">
        <v>10280000</v>
      </c>
    </row>
    <row r="20" spans="1:6" s="94" customFormat="1" ht="12" customHeight="1">
      <c r="A20" s="421" t="s">
        <v>589</v>
      </c>
      <c r="B20" s="718" t="s">
        <v>279</v>
      </c>
      <c r="C20" s="299">
        <f>'9.1. melléklet'!C20-'9.1.2.melléklet'!C20-'[2]8'!C20</f>
        <v>0</v>
      </c>
      <c r="D20" s="298">
        <v>5361485</v>
      </c>
      <c r="E20" s="298">
        <v>9093764</v>
      </c>
      <c r="F20" s="298">
        <v>12246124</v>
      </c>
    </row>
    <row r="21" spans="1:6" s="95" customFormat="1" ht="12" customHeight="1" thickBot="1">
      <c r="A21" s="422" t="s">
        <v>598</v>
      </c>
      <c r="B21" s="404" t="s">
        <v>748</v>
      </c>
      <c r="C21" s="895">
        <f>'9.1. melléklet'!C21-'9.1.2.melléklet'!C21-'[2]8'!C21</f>
        <v>0</v>
      </c>
      <c r="D21" s="300"/>
      <c r="E21" s="300"/>
      <c r="F21" s="300"/>
    </row>
    <row r="22" spans="1:6" s="95" customFormat="1" ht="12" customHeight="1" thickBot="1">
      <c r="A22" s="30" t="s">
        <v>498</v>
      </c>
      <c r="B22" s="19" t="s">
        <v>749</v>
      </c>
      <c r="C22" s="896">
        <f>'9.1. melléklet'!C22-'9.1.2.melléklet'!C22-'[2]8'!C22</f>
        <v>157449027</v>
      </c>
      <c r="D22" s="296">
        <f>+D23+D24+D25+D26+D27</f>
        <v>157449027</v>
      </c>
      <c r="E22" s="296">
        <f>+E23+E24+E25+E26+E27</f>
        <v>682351933</v>
      </c>
      <c r="F22" s="296">
        <f>+F23+F24+F25+F26+F27</f>
        <v>682351933</v>
      </c>
    </row>
    <row r="23" spans="1:6" s="95" customFormat="1" ht="12" customHeight="1">
      <c r="A23" s="420" t="s">
        <v>568</v>
      </c>
      <c r="B23" s="402" t="s">
        <v>750</v>
      </c>
      <c r="C23" s="299">
        <f>'9.1. melléklet'!C23-'9.1.2.melléklet'!C23-'[2]8'!C23</f>
        <v>0</v>
      </c>
      <c r="D23" s="299"/>
      <c r="E23" s="299"/>
      <c r="F23" s="299"/>
    </row>
    <row r="24" spans="1:6" s="94" customFormat="1" ht="12" customHeight="1">
      <c r="A24" s="421" t="s">
        <v>569</v>
      </c>
      <c r="B24" s="403" t="s">
        <v>751</v>
      </c>
      <c r="C24" s="299">
        <f>'9.1. melléklet'!C24-'9.1.2.melléklet'!C24-'[2]8'!C24</f>
        <v>0</v>
      </c>
      <c r="D24" s="298"/>
      <c r="E24" s="298"/>
      <c r="F24" s="298"/>
    </row>
    <row r="25" spans="1:6" s="95" customFormat="1" ht="12" customHeight="1">
      <c r="A25" s="421" t="s">
        <v>570</v>
      </c>
      <c r="B25" s="403" t="s">
        <v>151</v>
      </c>
      <c r="C25" s="299">
        <f>'9.1. melléklet'!C25-'9.1.2.melléklet'!C25-'[2]8'!C25</f>
        <v>0</v>
      </c>
      <c r="D25" s="298"/>
      <c r="E25" s="298"/>
      <c r="F25" s="298"/>
    </row>
    <row r="26" spans="1:6" s="95" customFormat="1" ht="12" customHeight="1">
      <c r="A26" s="421" t="s">
        <v>571</v>
      </c>
      <c r="B26" s="718" t="s">
        <v>301</v>
      </c>
      <c r="C26" s="299">
        <f>'9.1. melléklet'!C26-'9.1.2.melléklet'!C26-'[2]8'!C26</f>
        <v>133390721</v>
      </c>
      <c r="D26" s="298">
        <v>133390721</v>
      </c>
      <c r="E26" s="298">
        <v>658293627</v>
      </c>
      <c r="F26" s="298">
        <v>658293627</v>
      </c>
    </row>
    <row r="27" spans="1:6" s="95" customFormat="1" ht="12" customHeight="1">
      <c r="A27" s="421" t="s">
        <v>647</v>
      </c>
      <c r="B27" s="718" t="s">
        <v>278</v>
      </c>
      <c r="C27" s="299">
        <f>'9.1. melléklet'!C27-'9.1.2.melléklet'!C27-'[2]8'!C27</f>
        <v>24058306</v>
      </c>
      <c r="D27" s="298">
        <v>24058306</v>
      </c>
      <c r="E27" s="298">
        <v>24058306</v>
      </c>
      <c r="F27" s="298">
        <v>24058306</v>
      </c>
    </row>
    <row r="28" spans="1:6" s="95" customFormat="1" ht="12" customHeight="1" thickBot="1">
      <c r="A28" s="422" t="s">
        <v>648</v>
      </c>
      <c r="B28" s="404" t="s">
        <v>753</v>
      </c>
      <c r="C28" s="895">
        <f>'9.1. melléklet'!C28-'9.1.2.melléklet'!C28-'[2]8'!C28</f>
        <v>0</v>
      </c>
      <c r="D28" s="300"/>
      <c r="E28" s="300"/>
      <c r="F28" s="300"/>
    </row>
    <row r="29" spans="1:6" s="95" customFormat="1" ht="12" customHeight="1" thickBot="1">
      <c r="A29" s="30" t="s">
        <v>649</v>
      </c>
      <c r="B29" s="19" t="s">
        <v>754</v>
      </c>
      <c r="C29" s="896">
        <f>'9.1. melléklet'!C29-'9.1.2.melléklet'!C29-'[2]8'!C29</f>
        <v>145800000</v>
      </c>
      <c r="D29" s="302">
        <f>+D30+D33+D34+D36+D35</f>
        <v>145800000</v>
      </c>
      <c r="E29" s="302">
        <f>+E30+E33+E34+E36+E35</f>
        <v>145800000</v>
      </c>
      <c r="F29" s="302">
        <f>+F30+F33+F34+F36+F35</f>
        <v>151250000</v>
      </c>
    </row>
    <row r="30" spans="1:6" s="95" customFormat="1" ht="12" customHeight="1">
      <c r="A30" s="420" t="s">
        <v>755</v>
      </c>
      <c r="B30" s="402" t="s">
        <v>761</v>
      </c>
      <c r="C30" s="299">
        <f>'9.1. melléklet'!C30-'9.1.2.melléklet'!C30-'[2]8'!C30</f>
        <v>125800000</v>
      </c>
      <c r="D30" s="397">
        <v>125800000</v>
      </c>
      <c r="E30" s="397">
        <v>125800000</v>
      </c>
      <c r="F30" s="397">
        <v>125800000</v>
      </c>
    </row>
    <row r="31" spans="1:6" s="95" customFormat="1" ht="12" customHeight="1">
      <c r="A31" s="421" t="s">
        <v>756</v>
      </c>
      <c r="B31" s="633" t="s">
        <v>272</v>
      </c>
      <c r="C31" s="299">
        <f>'9.1. melléklet'!C31-'9.1.2.melléklet'!C31-'[2]8'!C31</f>
        <v>5800000</v>
      </c>
      <c r="D31" s="298">
        <v>5800000</v>
      </c>
      <c r="E31" s="298">
        <v>5800000</v>
      </c>
      <c r="F31" s="298">
        <v>5800000</v>
      </c>
    </row>
    <row r="32" spans="1:6" s="95" customFormat="1" ht="12" customHeight="1">
      <c r="A32" s="421" t="s">
        <v>757</v>
      </c>
      <c r="B32" s="633" t="s">
        <v>277</v>
      </c>
      <c r="C32" s="299">
        <f>'9.1. melléklet'!C32-'9.1.2.melléklet'!C32-'[2]8'!C32</f>
        <v>120000000</v>
      </c>
      <c r="D32" s="298">
        <v>120000000</v>
      </c>
      <c r="E32" s="298">
        <v>120000000</v>
      </c>
      <c r="F32" s="298">
        <v>120000000</v>
      </c>
    </row>
    <row r="33" spans="1:6" s="95" customFormat="1" ht="12" customHeight="1">
      <c r="A33" s="421" t="s">
        <v>758</v>
      </c>
      <c r="B33" s="403" t="s">
        <v>764</v>
      </c>
      <c r="C33" s="299">
        <f>'9.1. melléklet'!C33-'9.1.2.melléklet'!C33-'[2]8'!C33</f>
        <v>18000000</v>
      </c>
      <c r="D33" s="298">
        <v>18000000</v>
      </c>
      <c r="E33" s="298">
        <v>18000000</v>
      </c>
      <c r="F33" s="298">
        <v>20000000</v>
      </c>
    </row>
    <row r="34" spans="1:6" s="95" customFormat="1" ht="12" customHeight="1">
      <c r="A34" s="421" t="s">
        <v>759</v>
      </c>
      <c r="B34" s="403" t="s">
        <v>273</v>
      </c>
      <c r="C34" s="299">
        <f>'9.1. melléklet'!C34-'9.1.2.melléklet'!C34-'[2]8'!C34</f>
        <v>300000</v>
      </c>
      <c r="D34" s="298">
        <v>300000</v>
      </c>
      <c r="E34" s="298">
        <v>300000</v>
      </c>
      <c r="F34" s="298">
        <v>750000</v>
      </c>
    </row>
    <row r="35" spans="1:6" s="95" customFormat="1" ht="12" customHeight="1">
      <c r="A35" s="421" t="s">
        <v>760</v>
      </c>
      <c r="B35" s="404" t="s">
        <v>276</v>
      </c>
      <c r="C35" s="299">
        <f>'9.1. melléklet'!C35-'9.1.2.melléklet'!C35-'[2]8'!C35</f>
        <v>900000</v>
      </c>
      <c r="D35" s="300">
        <v>900000</v>
      </c>
      <c r="E35" s="300">
        <v>900000</v>
      </c>
      <c r="F35" s="300">
        <v>2500000</v>
      </c>
    </row>
    <row r="36" spans="1:6" s="95" customFormat="1" ht="12" customHeight="1" thickBot="1">
      <c r="A36" s="421" t="s">
        <v>274</v>
      </c>
      <c r="B36" s="404" t="s">
        <v>275</v>
      </c>
      <c r="C36" s="895">
        <v>1000</v>
      </c>
      <c r="D36" s="300">
        <v>800000</v>
      </c>
      <c r="E36" s="300">
        <v>800000</v>
      </c>
      <c r="F36" s="300">
        <v>2200000</v>
      </c>
    </row>
    <row r="37" spans="1:6" s="95" customFormat="1" ht="12" customHeight="1" thickBot="1">
      <c r="A37" s="30" t="s">
        <v>500</v>
      </c>
      <c r="B37" s="19" t="s">
        <v>767</v>
      </c>
      <c r="C37" s="896">
        <f>C47+C46+C45+C44+C43+C42+C41+C40+C39</f>
        <v>28580000</v>
      </c>
      <c r="D37" s="296">
        <f>SUM(D38:D47)</f>
        <v>32030000</v>
      </c>
      <c r="E37" s="296">
        <f>SUM(E38:E47)</f>
        <v>32030000</v>
      </c>
      <c r="F37" s="296">
        <f>SUM(F38:F47)</f>
        <v>73182853</v>
      </c>
    </row>
    <row r="38" spans="1:6" s="95" customFormat="1" ht="12" customHeight="1">
      <c r="A38" s="420" t="s">
        <v>572</v>
      </c>
      <c r="B38" s="402" t="s">
        <v>770</v>
      </c>
      <c r="C38" s="299"/>
      <c r="D38" s="299"/>
      <c r="E38" s="299"/>
      <c r="F38" s="299"/>
    </row>
    <row r="39" spans="1:6" s="95" customFormat="1" ht="12" customHeight="1">
      <c r="A39" s="421" t="s">
        <v>573</v>
      </c>
      <c r="B39" s="403" t="s">
        <v>771</v>
      </c>
      <c r="C39" s="299">
        <f>'9.1. melléklet'!C39-'9.1.2.melléklet'!C38</f>
        <v>3350000</v>
      </c>
      <c r="D39" s="298">
        <v>6800000</v>
      </c>
      <c r="E39" s="298">
        <v>6800000</v>
      </c>
      <c r="F39" s="298">
        <v>6800000</v>
      </c>
    </row>
    <row r="40" spans="1:6" s="95" customFormat="1" ht="12" customHeight="1">
      <c r="A40" s="421" t="s">
        <v>574</v>
      </c>
      <c r="B40" s="403" t="s">
        <v>772</v>
      </c>
      <c r="C40" s="299">
        <f>'9.1. melléklet'!C40-'9.1.2.melléklet'!C40-'[2]8'!C40</f>
        <v>300000</v>
      </c>
      <c r="D40" s="298">
        <v>300000</v>
      </c>
      <c r="E40" s="298">
        <v>300000</v>
      </c>
      <c r="F40" s="298">
        <v>300000</v>
      </c>
    </row>
    <row r="41" spans="1:6" s="95" customFormat="1" ht="12" customHeight="1">
      <c r="A41" s="421" t="s">
        <v>651</v>
      </c>
      <c r="B41" s="403" t="s">
        <v>773</v>
      </c>
      <c r="C41" s="299">
        <f>'9.1. melléklet'!C41-'9.1.2.melléklet'!C41-'[2]8'!C41</f>
        <v>3200000</v>
      </c>
      <c r="D41" s="298">
        <v>3200000</v>
      </c>
      <c r="E41" s="298">
        <v>3200000</v>
      </c>
      <c r="F41" s="298">
        <v>3200000</v>
      </c>
    </row>
    <row r="42" spans="1:6" s="95" customFormat="1" ht="12" customHeight="1">
      <c r="A42" s="421" t="s">
        <v>652</v>
      </c>
      <c r="B42" s="403" t="s">
        <v>774</v>
      </c>
      <c r="C42" s="299">
        <f>'9.1. melléklet'!C42-'9.1.2.melléklet'!C42-'[2]8'!C42</f>
        <v>8150000</v>
      </c>
      <c r="D42" s="298">
        <v>8150000</v>
      </c>
      <c r="E42" s="298">
        <v>8150000</v>
      </c>
      <c r="F42" s="298">
        <v>8150000</v>
      </c>
    </row>
    <row r="43" spans="1:6" s="95" customFormat="1" ht="12" customHeight="1">
      <c r="A43" s="421" t="s">
        <v>653</v>
      </c>
      <c r="B43" s="403" t="s">
        <v>775</v>
      </c>
      <c r="C43" s="299">
        <f>'9.1. melléklet'!C43-'9.1.2.melléklet'!C43-'[2]8'!C43</f>
        <v>3280000</v>
      </c>
      <c r="D43" s="298">
        <v>3280000</v>
      </c>
      <c r="E43" s="298">
        <v>3280000</v>
      </c>
      <c r="F43" s="298">
        <v>3280000</v>
      </c>
    </row>
    <row r="44" spans="1:6" s="95" customFormat="1" ht="12" customHeight="1">
      <c r="A44" s="421" t="s">
        <v>654</v>
      </c>
      <c r="B44" s="403" t="s">
        <v>776</v>
      </c>
      <c r="C44" s="299">
        <f>'9.1. melléklet'!C44-'9.1.2.melléklet'!C44-'[2]8'!C44</f>
        <v>9300000</v>
      </c>
      <c r="D44" s="298">
        <v>9300000</v>
      </c>
      <c r="E44" s="298">
        <v>9300000</v>
      </c>
      <c r="F44" s="298">
        <v>9300000</v>
      </c>
    </row>
    <row r="45" spans="1:6" s="95" customFormat="1" ht="12" customHeight="1">
      <c r="A45" s="421" t="s">
        <v>655</v>
      </c>
      <c r="B45" s="403" t="s">
        <v>777</v>
      </c>
      <c r="C45" s="299">
        <f>'9.1. melléklet'!C45-'9.1.2.melléklet'!C45-'[2]8'!C45</f>
        <v>1000000</v>
      </c>
      <c r="D45" s="298">
        <v>1000000</v>
      </c>
      <c r="E45" s="298">
        <v>1000000</v>
      </c>
      <c r="F45" s="298">
        <v>42152853</v>
      </c>
    </row>
    <row r="46" spans="1:6" s="95" customFormat="1" ht="12" customHeight="1">
      <c r="A46" s="421" t="s">
        <v>768</v>
      </c>
      <c r="B46" s="403" t="s">
        <v>778</v>
      </c>
      <c r="C46" s="299">
        <f>'9.1. melléklet'!C46-'9.1.2.melléklet'!C46-'[2]8'!C46</f>
        <v>0</v>
      </c>
      <c r="D46" s="301"/>
      <c r="E46" s="301"/>
      <c r="F46" s="301"/>
    </row>
    <row r="47" spans="1:6" s="95" customFormat="1" ht="12" customHeight="1" thickBot="1">
      <c r="A47" s="422" t="s">
        <v>769</v>
      </c>
      <c r="B47" s="404" t="s">
        <v>779</v>
      </c>
      <c r="C47" s="895">
        <f>'9.1. melléklet'!C47-'9.1.2.melléklet'!C47-'[2]8'!C47</f>
        <v>0</v>
      </c>
      <c r="D47" s="391"/>
      <c r="E47" s="391"/>
      <c r="F47" s="391"/>
    </row>
    <row r="48" spans="1:6" s="95" customFormat="1" ht="12" customHeight="1" thickBot="1">
      <c r="A48" s="30" t="s">
        <v>501</v>
      </c>
      <c r="B48" s="19" t="s">
        <v>780</v>
      </c>
      <c r="C48" s="896">
        <f>'9.1. melléklet'!C48-'9.1.2.melléklet'!C48-'[2]8'!C48</f>
        <v>0</v>
      </c>
      <c r="D48" s="296">
        <f>SUM(D49:D53)</f>
        <v>0</v>
      </c>
      <c r="E48" s="296">
        <f>SUM(E49:E53)</f>
        <v>19403393</v>
      </c>
      <c r="F48" s="296">
        <f>SUM(F49:F53)</f>
        <v>37183393</v>
      </c>
    </row>
    <row r="49" spans="1:6" s="95" customFormat="1" ht="12" customHeight="1">
      <c r="A49" s="420" t="s">
        <v>575</v>
      </c>
      <c r="B49" s="402" t="s">
        <v>784</v>
      </c>
      <c r="C49" s="299">
        <f>'9.1. melléklet'!C49-'9.1.2.melléklet'!C49-'[2]8'!C49</f>
        <v>0</v>
      </c>
      <c r="D49" s="446"/>
      <c r="E49" s="446"/>
      <c r="F49" s="446"/>
    </row>
    <row r="50" spans="1:6" s="95" customFormat="1" ht="12" customHeight="1">
      <c r="A50" s="421" t="s">
        <v>576</v>
      </c>
      <c r="B50" s="403" t="s">
        <v>785</v>
      </c>
      <c r="C50" s="299">
        <f>'9.1. melléklet'!C50-'9.1.2.melléklet'!C50-'[2]8'!C50</f>
        <v>0</v>
      </c>
      <c r="D50" s="301"/>
      <c r="E50" s="301">
        <v>19403393</v>
      </c>
      <c r="F50" s="301">
        <v>37183393</v>
      </c>
    </row>
    <row r="51" spans="1:6" s="95" customFormat="1" ht="12" customHeight="1">
      <c r="A51" s="421" t="s">
        <v>781</v>
      </c>
      <c r="B51" s="403" t="s">
        <v>786</v>
      </c>
      <c r="C51" s="299">
        <f>'9.1. melléklet'!C51-'9.1.2.melléklet'!C51-'[2]8'!C51</f>
        <v>0</v>
      </c>
      <c r="D51" s="301"/>
      <c r="E51" s="301"/>
      <c r="F51" s="301"/>
    </row>
    <row r="52" spans="1:6" s="95" customFormat="1" ht="12" customHeight="1">
      <c r="A52" s="421" t="s">
        <v>782</v>
      </c>
      <c r="B52" s="403" t="s">
        <v>787</v>
      </c>
      <c r="C52" s="299">
        <f>'9.1. melléklet'!C52-'9.1.2.melléklet'!C52-'[2]8'!C52</f>
        <v>0</v>
      </c>
      <c r="D52" s="301"/>
      <c r="E52" s="301"/>
      <c r="F52" s="301"/>
    </row>
    <row r="53" spans="1:6" s="95" customFormat="1" ht="12" customHeight="1" thickBot="1">
      <c r="A53" s="422" t="s">
        <v>783</v>
      </c>
      <c r="B53" s="404" t="s">
        <v>788</v>
      </c>
      <c r="C53" s="895">
        <f>'9.1. melléklet'!C53-'9.1.2.melléklet'!C53-'[2]8'!C53</f>
        <v>0</v>
      </c>
      <c r="D53" s="391"/>
      <c r="E53" s="391"/>
      <c r="F53" s="391"/>
    </row>
    <row r="54" spans="1:6" s="95" customFormat="1" ht="12" customHeight="1" thickBot="1">
      <c r="A54" s="30" t="s">
        <v>656</v>
      </c>
      <c r="B54" s="19" t="s">
        <v>789</v>
      </c>
      <c r="C54" s="896">
        <f>'9.1. melléklet'!C54-'9.1.2.melléklet'!C54-'[2]8'!C54</f>
        <v>0</v>
      </c>
      <c r="D54" s="296">
        <f>SUM(D55:D57)</f>
        <v>2080298</v>
      </c>
      <c r="E54" s="296">
        <f>SUM(E55:E57)</f>
        <v>2080298</v>
      </c>
      <c r="F54" s="296">
        <f>SUM(F55:F57)</f>
        <v>2080298</v>
      </c>
    </row>
    <row r="55" spans="1:6" s="95" customFormat="1" ht="12" customHeight="1">
      <c r="A55" s="420" t="s">
        <v>577</v>
      </c>
      <c r="B55" s="402" t="s">
        <v>790</v>
      </c>
      <c r="C55" s="299">
        <f>'9.1. melléklet'!C55-'9.1.2.melléklet'!C55-'[2]8'!C55</f>
        <v>0</v>
      </c>
      <c r="D55" s="299"/>
      <c r="E55" s="299"/>
      <c r="F55" s="299"/>
    </row>
    <row r="56" spans="1:6" s="95" customFormat="1" ht="12" customHeight="1">
      <c r="A56" s="421" t="s">
        <v>578</v>
      </c>
      <c r="B56" s="403" t="s">
        <v>294</v>
      </c>
      <c r="C56" s="299">
        <f>'9.1. melléklet'!C56-'9.1.2.melléklet'!C56-'[2]8'!C56</f>
        <v>0</v>
      </c>
      <c r="D56" s="298">
        <v>1308533</v>
      </c>
      <c r="E56" s="298">
        <v>1308533</v>
      </c>
      <c r="F56" s="298">
        <v>1308533</v>
      </c>
    </row>
    <row r="57" spans="1:6" s="95" customFormat="1" ht="12" customHeight="1">
      <c r="A57" s="421" t="s">
        <v>793</v>
      </c>
      <c r="B57" s="403" t="s">
        <v>296</v>
      </c>
      <c r="C57" s="299">
        <f>'9.1. melléklet'!C57-'9.1.2.melléklet'!C57-'[2]8'!C57</f>
        <v>0</v>
      </c>
      <c r="D57" s="298">
        <v>771765</v>
      </c>
      <c r="E57" s="298">
        <v>771765</v>
      </c>
      <c r="F57" s="298">
        <v>771765</v>
      </c>
    </row>
    <row r="58" spans="1:6" s="95" customFormat="1" ht="12" customHeight="1" thickBot="1">
      <c r="A58" s="422" t="s">
        <v>794</v>
      </c>
      <c r="B58" s="404" t="s">
        <v>792</v>
      </c>
      <c r="C58" s="895">
        <f>'9.1. melléklet'!C58-'9.1.2.melléklet'!C58-'[2]8'!C58</f>
        <v>0</v>
      </c>
      <c r="D58" s="300"/>
      <c r="E58" s="300"/>
      <c r="F58" s="300"/>
    </row>
    <row r="59" spans="1:6" s="95" customFormat="1" ht="12" customHeight="1" thickBot="1">
      <c r="A59" s="30" t="s">
        <v>503</v>
      </c>
      <c r="B59" s="291" t="s">
        <v>795</v>
      </c>
      <c r="C59" s="896">
        <f>'9.1. melléklet'!C59-'9.1.2.melléklet'!C59-'[2]8'!C59</f>
        <v>0</v>
      </c>
      <c r="D59" s="296">
        <f>SUM(D60:D62)</f>
        <v>0</v>
      </c>
      <c r="E59" s="296">
        <f>SUM(E60:E62)</f>
        <v>0</v>
      </c>
      <c r="F59" s="296">
        <f>SUM(F60:F62)</f>
        <v>0</v>
      </c>
    </row>
    <row r="60" spans="1:6" s="95" customFormat="1" ht="12" customHeight="1">
      <c r="A60" s="420" t="s">
        <v>657</v>
      </c>
      <c r="B60" s="402" t="s">
        <v>797</v>
      </c>
      <c r="C60" s="299">
        <f>'9.1. melléklet'!C60-'9.1.2.melléklet'!C60-'[2]8'!C60</f>
        <v>0</v>
      </c>
      <c r="D60" s="301"/>
      <c r="E60" s="301"/>
      <c r="F60" s="301"/>
    </row>
    <row r="61" spans="1:6" s="95" customFormat="1" ht="12" customHeight="1">
      <c r="A61" s="421" t="s">
        <v>658</v>
      </c>
      <c r="B61" s="403" t="s">
        <v>154</v>
      </c>
      <c r="C61" s="299">
        <f>'9.1. melléklet'!C61-'9.1.2.melléklet'!C61-'[2]8'!C61</f>
        <v>0</v>
      </c>
      <c r="D61" s="301"/>
      <c r="E61" s="301"/>
      <c r="F61" s="301"/>
    </row>
    <row r="62" spans="1:6" s="95" customFormat="1" ht="12" customHeight="1">
      <c r="A62" s="421" t="s">
        <v>709</v>
      </c>
      <c r="B62" s="403" t="s">
        <v>297</v>
      </c>
      <c r="C62" s="299">
        <f>'9.1. melléklet'!C62-'9.1.2.melléklet'!C62-'[2]8'!C62</f>
        <v>0</v>
      </c>
      <c r="D62" s="301"/>
      <c r="E62" s="301"/>
      <c r="F62" s="301"/>
    </row>
    <row r="63" spans="1:6" s="95" customFormat="1" ht="12" customHeight="1" thickBot="1">
      <c r="A63" s="422" t="s">
        <v>796</v>
      </c>
      <c r="B63" s="404" t="s">
        <v>799</v>
      </c>
      <c r="C63" s="895"/>
      <c r="D63" s="301"/>
      <c r="E63" s="301"/>
      <c r="F63" s="301"/>
    </row>
    <row r="64" spans="1:6" s="95" customFormat="1" ht="12" customHeight="1" thickBot="1">
      <c r="A64" s="30" t="s">
        <v>504</v>
      </c>
      <c r="B64" s="19" t="s">
        <v>800</v>
      </c>
      <c r="C64" s="896">
        <f>C8+C15+C22+C29+C37+C48+C54+C59</f>
        <v>635308556</v>
      </c>
      <c r="D64" s="302">
        <f>+D8+D15+D22+D29+D37+D48+D54+D59</f>
        <v>652308661</v>
      </c>
      <c r="E64" s="302">
        <f>+E8+E15+E22+E29+E37+E48+E54+E59</f>
        <v>1209185316</v>
      </c>
      <c r="F64" s="302">
        <f>+F8+F15+F22+F29+F37+F48+F54+F59</f>
        <v>1391382311</v>
      </c>
    </row>
    <row r="65" spans="1:6" s="95" customFormat="1" ht="12" customHeight="1" thickBot="1">
      <c r="A65" s="423" t="s">
        <v>115</v>
      </c>
      <c r="B65" s="291" t="s">
        <v>802</v>
      </c>
      <c r="C65" s="896">
        <f>'9.1. melléklet'!C65-'9.1.2.melléklet'!C65-'[2]8'!C65</f>
        <v>0</v>
      </c>
      <c r="D65" s="296">
        <f>SUM(D66:D68)</f>
        <v>0</v>
      </c>
      <c r="E65" s="296">
        <f>SUM(E66:E68)</f>
        <v>0</v>
      </c>
      <c r="F65" s="296">
        <f>SUM(F66:F68)</f>
        <v>0</v>
      </c>
    </row>
    <row r="66" spans="1:6" s="95" customFormat="1" ht="12" customHeight="1">
      <c r="A66" s="420" t="s">
        <v>12</v>
      </c>
      <c r="B66" s="402" t="s">
        <v>803</v>
      </c>
      <c r="C66" s="299">
        <f>'9.1. melléklet'!C66-'9.1.2.melléklet'!C66-'[2]8'!C66</f>
        <v>0</v>
      </c>
      <c r="D66" s="301"/>
      <c r="E66" s="301"/>
      <c r="F66" s="301"/>
    </row>
    <row r="67" spans="1:6" s="95" customFormat="1" ht="12" customHeight="1">
      <c r="A67" s="421" t="s">
        <v>21</v>
      </c>
      <c r="B67" s="403" t="s">
        <v>804</v>
      </c>
      <c r="C67" s="299">
        <f>'9.1. melléklet'!C67-'9.1.2.melléklet'!C67-'[2]8'!C67</f>
        <v>0</v>
      </c>
      <c r="D67" s="301"/>
      <c r="E67" s="301"/>
      <c r="F67" s="301"/>
    </row>
    <row r="68" spans="1:6" s="95" customFormat="1" ht="12" customHeight="1" thickBot="1">
      <c r="A68" s="422" t="s">
        <v>22</v>
      </c>
      <c r="B68" s="406" t="s">
        <v>805</v>
      </c>
      <c r="C68" s="895">
        <f>'9.1. melléklet'!C68-'9.1.2.melléklet'!C68-'[2]8'!C68</f>
        <v>0</v>
      </c>
      <c r="D68" s="301"/>
      <c r="E68" s="301"/>
      <c r="F68" s="301"/>
    </row>
    <row r="69" spans="1:6" s="95" customFormat="1" ht="12" customHeight="1" thickBot="1">
      <c r="A69" s="423" t="s">
        <v>806</v>
      </c>
      <c r="B69" s="291" t="s">
        <v>807</v>
      </c>
      <c r="C69" s="896">
        <f>'9.1. melléklet'!C69-'9.1.2.melléklet'!C69-'[2]8'!C69</f>
        <v>295000000</v>
      </c>
      <c r="D69" s="296">
        <f>SUM(D70:D73)</f>
        <v>295000000</v>
      </c>
      <c r="E69" s="296">
        <f>SUM(E70:E73)</f>
        <v>295000000</v>
      </c>
      <c r="F69" s="296">
        <f>SUM(F70:F73)</f>
        <v>515027147</v>
      </c>
    </row>
    <row r="70" spans="1:6" s="95" customFormat="1" ht="12" customHeight="1">
      <c r="A70" s="420" t="s">
        <v>625</v>
      </c>
      <c r="B70" s="402" t="s">
        <v>808</v>
      </c>
      <c r="C70" s="299">
        <f>'9.1. melléklet'!C70-'9.1.2.melléklet'!C70-'[2]8'!C70</f>
        <v>295000000</v>
      </c>
      <c r="D70" s="301">
        <v>295000000</v>
      </c>
      <c r="E70" s="301">
        <v>295000000</v>
      </c>
      <c r="F70" s="301">
        <v>515027147</v>
      </c>
    </row>
    <row r="71" spans="1:6" s="95" customFormat="1" ht="12" customHeight="1">
      <c r="A71" s="421" t="s">
        <v>626</v>
      </c>
      <c r="B71" s="403" t="s">
        <v>809</v>
      </c>
      <c r="C71" s="299">
        <f>'9.1. melléklet'!C71-'9.1.2.melléklet'!C71-'[2]8'!C71</f>
        <v>0</v>
      </c>
      <c r="D71" s="301"/>
      <c r="E71" s="301"/>
      <c r="F71" s="301"/>
    </row>
    <row r="72" spans="1:6" s="95" customFormat="1" ht="12" customHeight="1">
      <c r="A72" s="421" t="s">
        <v>13</v>
      </c>
      <c r="B72" s="403" t="s">
        <v>810</v>
      </c>
      <c r="C72" s="299">
        <f>'9.1. melléklet'!C72-'9.1.2.melléklet'!C72-'[2]8'!C72</f>
        <v>0</v>
      </c>
      <c r="D72" s="301"/>
      <c r="E72" s="301"/>
      <c r="F72" s="301"/>
    </row>
    <row r="73" spans="1:6" s="95" customFormat="1" ht="12" customHeight="1" thickBot="1">
      <c r="A73" s="422" t="s">
        <v>14</v>
      </c>
      <c r="B73" s="404" t="s">
        <v>811</v>
      </c>
      <c r="C73" s="895">
        <f>'9.1. melléklet'!C73-'9.1.2.melléklet'!C73-'[2]8'!C73</f>
        <v>0</v>
      </c>
      <c r="D73" s="301"/>
      <c r="E73" s="301"/>
      <c r="F73" s="301"/>
    </row>
    <row r="74" spans="1:6" s="95" customFormat="1" ht="12" customHeight="1" thickBot="1">
      <c r="A74" s="423" t="s">
        <v>812</v>
      </c>
      <c r="B74" s="291" t="s">
        <v>813</v>
      </c>
      <c r="C74" s="896">
        <f>'9.1. melléklet'!C74-'9.1.2.melléklet'!C74-'[2]8'!C74</f>
        <v>199880000</v>
      </c>
      <c r="D74" s="296">
        <f>SUM(D75:D76)</f>
        <v>204433772</v>
      </c>
      <c r="E74" s="296">
        <f>SUM(E75:E76)</f>
        <v>204433772</v>
      </c>
      <c r="F74" s="296">
        <f>SUM(F75:F76)</f>
        <v>204433772</v>
      </c>
    </row>
    <row r="75" spans="1:6" s="95" customFormat="1" ht="12" customHeight="1">
      <c r="A75" s="420" t="s">
        <v>15</v>
      </c>
      <c r="B75" s="402" t="s">
        <v>814</v>
      </c>
      <c r="C75" s="299">
        <f>'9.1. melléklet'!C75-'9.1.2.melléklet'!C75-'[2]8'!C75</f>
        <v>199880000</v>
      </c>
      <c r="D75" s="301">
        <v>204433772</v>
      </c>
      <c r="E75" s="301">
        <v>204433772</v>
      </c>
      <c r="F75" s="301">
        <v>204433772</v>
      </c>
    </row>
    <row r="76" spans="1:6" s="95" customFormat="1" ht="12" customHeight="1" thickBot="1">
      <c r="A76" s="422" t="s">
        <v>16</v>
      </c>
      <c r="B76" s="404" t="s">
        <v>815</v>
      </c>
      <c r="C76" s="895">
        <f>'9.1. melléklet'!C76-'9.1.2.melléklet'!C76-'[2]8'!C76</f>
        <v>0</v>
      </c>
      <c r="D76" s="301"/>
      <c r="E76" s="301"/>
      <c r="F76" s="301"/>
    </row>
    <row r="77" spans="1:6" s="94" customFormat="1" ht="12" customHeight="1" thickBot="1">
      <c r="A77" s="423" t="s">
        <v>816</v>
      </c>
      <c r="B77" s="291" t="s">
        <v>817</v>
      </c>
      <c r="C77" s="896">
        <f>'9.1. melléklet'!C77-'9.1.2.melléklet'!C77-'[2]8'!C77</f>
        <v>0</v>
      </c>
      <c r="D77" s="296">
        <f>SUM(D78:D80)</f>
        <v>0</v>
      </c>
      <c r="E77" s="296">
        <f>SUM(E78:E80)</f>
        <v>0</v>
      </c>
      <c r="F77" s="296">
        <f>SUM(F78:F80)</f>
        <v>0</v>
      </c>
    </row>
    <row r="78" spans="1:6" s="95" customFormat="1" ht="12" customHeight="1">
      <c r="A78" s="420" t="s">
        <v>17</v>
      </c>
      <c r="B78" s="402" t="s">
        <v>818</v>
      </c>
      <c r="C78" s="299">
        <f>'9.1. melléklet'!C78-'9.1.2.melléklet'!C78-'[2]8'!C78</f>
        <v>0</v>
      </c>
      <c r="D78" s="301"/>
      <c r="E78" s="301"/>
      <c r="F78" s="301"/>
    </row>
    <row r="79" spans="1:6" s="95" customFormat="1" ht="12" customHeight="1">
      <c r="A79" s="421" t="s">
        <v>18</v>
      </c>
      <c r="B79" s="403" t="s">
        <v>819</v>
      </c>
      <c r="C79" s="299">
        <f>'9.1. melléklet'!C79-'9.1.2.melléklet'!C79-'[2]8'!C79</f>
        <v>0</v>
      </c>
      <c r="D79" s="301"/>
      <c r="E79" s="301"/>
      <c r="F79" s="301"/>
    </row>
    <row r="80" spans="1:6" s="95" customFormat="1" ht="12" customHeight="1" thickBot="1">
      <c r="A80" s="422" t="s">
        <v>19</v>
      </c>
      <c r="B80" s="404" t="s">
        <v>820</v>
      </c>
      <c r="C80" s="895">
        <f>'9.1. melléklet'!C80-'9.1.2.melléklet'!C80-'[2]8'!C80</f>
        <v>0</v>
      </c>
      <c r="D80" s="301"/>
      <c r="E80" s="301"/>
      <c r="F80" s="301"/>
    </row>
    <row r="81" spans="1:6" s="95" customFormat="1" ht="12" customHeight="1" thickBot="1">
      <c r="A81" s="423" t="s">
        <v>821</v>
      </c>
      <c r="B81" s="291" t="s">
        <v>20</v>
      </c>
      <c r="C81" s="896">
        <f>'9.1. melléklet'!C81-'9.1.2.melléklet'!C81-'[2]8'!C81</f>
        <v>0</v>
      </c>
      <c r="D81" s="296"/>
      <c r="E81" s="296"/>
      <c r="F81" s="296"/>
    </row>
    <row r="82" spans="1:6" s="95" customFormat="1" ht="12" customHeight="1">
      <c r="A82" s="424" t="s">
        <v>822</v>
      </c>
      <c r="B82" s="402" t="s">
        <v>0</v>
      </c>
      <c r="C82" s="299">
        <f>'9.1. melléklet'!C82-'9.1.2.melléklet'!C82-'[2]8'!C82</f>
        <v>0</v>
      </c>
      <c r="D82" s="301"/>
      <c r="E82" s="301"/>
      <c r="F82" s="301"/>
    </row>
    <row r="83" spans="1:6" s="95" customFormat="1" ht="12" customHeight="1">
      <c r="A83" s="425" t="s">
        <v>1</v>
      </c>
      <c r="B83" s="403" t="s">
        <v>2</v>
      </c>
      <c r="C83" s="299">
        <f>'9.1. melléklet'!C83-'9.1.2.melléklet'!C83-'[2]8'!C83</f>
        <v>0</v>
      </c>
      <c r="D83" s="301"/>
      <c r="E83" s="301"/>
      <c r="F83" s="301"/>
    </row>
    <row r="84" spans="1:6" s="95" customFormat="1" ht="12" customHeight="1">
      <c r="A84" s="425" t="s">
        <v>3</v>
      </c>
      <c r="B84" s="403" t="s">
        <v>4</v>
      </c>
      <c r="C84" s="299">
        <f>'9.1. melléklet'!C84-'9.1.2.melléklet'!C84-'[2]8'!C84</f>
        <v>0</v>
      </c>
      <c r="D84" s="301"/>
      <c r="E84" s="301"/>
      <c r="F84" s="301"/>
    </row>
    <row r="85" spans="1:6" s="94" customFormat="1" ht="12" customHeight="1" thickBot="1">
      <c r="A85" s="426" t="s">
        <v>5</v>
      </c>
      <c r="B85" s="404" t="s">
        <v>6</v>
      </c>
      <c r="C85" s="895">
        <f>'9.1. melléklet'!C85-'9.1.2.melléklet'!C85-'[2]8'!C85</f>
        <v>0</v>
      </c>
      <c r="D85" s="301"/>
      <c r="E85" s="301"/>
      <c r="F85" s="301"/>
    </row>
    <row r="86" spans="1:6" s="94" customFormat="1" ht="12" customHeight="1" thickBot="1">
      <c r="A86" s="423" t="s">
        <v>7</v>
      </c>
      <c r="B86" s="291" t="s">
        <v>8</v>
      </c>
      <c r="C86" s="896">
        <f>'9.1. melléklet'!C86-'9.1.2.melléklet'!C86-'[2]8'!C86</f>
        <v>0</v>
      </c>
      <c r="D86" s="447"/>
      <c r="E86" s="447"/>
      <c r="F86" s="447"/>
    </row>
    <row r="87" spans="1:6" s="94" customFormat="1" ht="12" customHeight="1" thickBot="1">
      <c r="A87" s="423" t="s">
        <v>9</v>
      </c>
      <c r="B87" s="410" t="s">
        <v>10</v>
      </c>
      <c r="C87" s="896">
        <f>C65+C69+C74+C77+C81+C86</f>
        <v>494880000</v>
      </c>
      <c r="D87" s="302">
        <f>+D65+D69+D74+D77+D81+D86</f>
        <v>499433772</v>
      </c>
      <c r="E87" s="302">
        <f>+E65+E69+E74+E77+E81+E86</f>
        <v>499433772</v>
      </c>
      <c r="F87" s="302">
        <f>+F65+F69+F74+F77+F81+F86</f>
        <v>719460919</v>
      </c>
    </row>
    <row r="88" spans="1:6" s="94" customFormat="1" ht="12" customHeight="1" thickBot="1">
      <c r="A88" s="427" t="s">
        <v>23</v>
      </c>
      <c r="B88" s="412" t="s">
        <v>142</v>
      </c>
      <c r="C88" s="896">
        <f>C87+C64</f>
        <v>1130188556</v>
      </c>
      <c r="D88" s="302">
        <f>+D64+D87</f>
        <v>1151742433</v>
      </c>
      <c r="E88" s="302">
        <f>+E64+E87</f>
        <v>1708619088</v>
      </c>
      <c r="F88" s="302">
        <f>+F64+F87</f>
        <v>2110843230</v>
      </c>
    </row>
    <row r="89" spans="1:6" s="95" customFormat="1" ht="15" customHeight="1">
      <c r="A89" s="240"/>
      <c r="B89" s="241"/>
      <c r="C89" s="364"/>
      <c r="D89" s="364"/>
      <c r="E89" s="364"/>
      <c r="F89" s="364"/>
    </row>
    <row r="90" spans="1:6" ht="13.5" thickBot="1">
      <c r="A90" s="428"/>
      <c r="B90" s="243"/>
      <c r="C90" s="365"/>
      <c r="D90" s="365"/>
      <c r="E90" s="365"/>
      <c r="F90" s="365"/>
    </row>
    <row r="91" spans="1:6" s="57" customFormat="1" ht="16.5" customHeight="1" thickBot="1">
      <c r="A91" s="244"/>
      <c r="B91" s="245" t="s">
        <v>535</v>
      </c>
      <c r="C91" s="366"/>
      <c r="D91" s="366"/>
      <c r="E91" s="366"/>
      <c r="F91" s="366"/>
    </row>
    <row r="92" spans="1:6" s="96" customFormat="1" ht="12" customHeight="1" thickBot="1">
      <c r="A92" s="394" t="s">
        <v>496</v>
      </c>
      <c r="B92" s="29" t="s">
        <v>26</v>
      </c>
      <c r="C92" s="295">
        <f>SUM(C93:C97)</f>
        <v>334421192</v>
      </c>
      <c r="D92" s="295">
        <f>SUM(D93:D97)</f>
        <v>351846040</v>
      </c>
      <c r="E92" s="295">
        <v>363849020</v>
      </c>
      <c r="F92" s="295">
        <v>376764000</v>
      </c>
    </row>
    <row r="93" spans="1:6" ht="12" customHeight="1">
      <c r="A93" s="429" t="s">
        <v>579</v>
      </c>
      <c r="B93" s="8" t="s">
        <v>526</v>
      </c>
      <c r="C93" s="297">
        <v>39848800</v>
      </c>
      <c r="D93" s="297">
        <v>45704659</v>
      </c>
      <c r="E93" s="297">
        <v>51704045</v>
      </c>
      <c r="F93" s="297">
        <v>54551346</v>
      </c>
    </row>
    <row r="94" spans="1:6" ht="12" customHeight="1">
      <c r="A94" s="421" t="s">
        <v>580</v>
      </c>
      <c r="B94" s="6" t="s">
        <v>659</v>
      </c>
      <c r="C94" s="298">
        <v>8963751</v>
      </c>
      <c r="D94" s="298">
        <v>10349801</v>
      </c>
      <c r="E94" s="298">
        <v>11669668</v>
      </c>
      <c r="F94" s="298">
        <v>12296075</v>
      </c>
    </row>
    <row r="95" spans="1:6" ht="12" customHeight="1">
      <c r="A95" s="421" t="s">
        <v>581</v>
      </c>
      <c r="B95" s="6" t="s">
        <v>616</v>
      </c>
      <c r="C95" s="298">
        <v>135305000</v>
      </c>
      <c r="D95" s="300">
        <v>135305000</v>
      </c>
      <c r="E95" s="300">
        <v>135305000</v>
      </c>
      <c r="F95" s="300">
        <v>147803669</v>
      </c>
    </row>
    <row r="96" spans="1:6" ht="12" customHeight="1">
      <c r="A96" s="421" t="s">
        <v>582</v>
      </c>
      <c r="B96" s="9" t="s">
        <v>660</v>
      </c>
      <c r="C96" s="298">
        <f>'9.1. melléklet'!C96-'9.1.2.melléklet'!C95</f>
        <v>9611000</v>
      </c>
      <c r="D96" s="300">
        <v>11611000</v>
      </c>
      <c r="E96" s="300">
        <v>11611000</v>
      </c>
      <c r="F96" s="300">
        <v>5107000</v>
      </c>
    </row>
    <row r="97" spans="1:6" ht="12" customHeight="1">
      <c r="A97" s="421" t="s">
        <v>593</v>
      </c>
      <c r="B97" s="17" t="s">
        <v>661</v>
      </c>
      <c r="C97" s="298">
        <f>C102+C103+C107</f>
        <v>140692641</v>
      </c>
      <c r="D97" s="300">
        <f>D102+D98+D103+D107</f>
        <v>148875580</v>
      </c>
      <c r="E97" s="300">
        <v>153559307</v>
      </c>
      <c r="F97" s="300">
        <v>157005910</v>
      </c>
    </row>
    <row r="98" spans="1:6" ht="12" customHeight="1">
      <c r="A98" s="421" t="s">
        <v>583</v>
      </c>
      <c r="B98" s="6" t="s">
        <v>27</v>
      </c>
      <c r="C98" s="298">
        <f>'9.1. melléklet'!C98-'9.1.2.melléklet'!C97</f>
        <v>0</v>
      </c>
      <c r="D98" s="300"/>
      <c r="E98" s="300"/>
      <c r="F98" s="300"/>
    </row>
    <row r="99" spans="1:6" ht="12" customHeight="1">
      <c r="A99" s="421" t="s">
        <v>584</v>
      </c>
      <c r="B99" s="139" t="s">
        <v>28</v>
      </c>
      <c r="C99" s="298">
        <f>'9.1. melléklet'!C99-'9.1.2.melléklet'!C98</f>
        <v>0</v>
      </c>
      <c r="D99" s="300"/>
      <c r="E99" s="300"/>
      <c r="F99" s="300"/>
    </row>
    <row r="100" spans="1:6" ht="12" customHeight="1">
      <c r="A100" s="421" t="s">
        <v>594</v>
      </c>
      <c r="B100" s="140" t="s">
        <v>29</v>
      </c>
      <c r="C100" s="298">
        <f>'9.1. melléklet'!C100-'9.1.2.melléklet'!C99</f>
        <v>0</v>
      </c>
      <c r="D100" s="300"/>
      <c r="E100" s="300"/>
      <c r="F100" s="300"/>
    </row>
    <row r="101" spans="1:6" ht="12" customHeight="1">
      <c r="A101" s="421" t="s">
        <v>595</v>
      </c>
      <c r="B101" s="140" t="s">
        <v>30</v>
      </c>
      <c r="C101" s="298">
        <f>'9.1. melléklet'!C101-'9.1.2.melléklet'!C100</f>
        <v>0</v>
      </c>
      <c r="D101" s="300"/>
      <c r="E101" s="300"/>
      <c r="F101" s="300"/>
    </row>
    <row r="102" spans="1:6" ht="12" customHeight="1">
      <c r="A102" s="421" t="s">
        <v>596</v>
      </c>
      <c r="B102" s="139" t="s">
        <v>313</v>
      </c>
      <c r="C102" s="298">
        <v>138942641</v>
      </c>
      <c r="D102" s="300">
        <v>145675580</v>
      </c>
      <c r="E102" s="300">
        <v>150359307</v>
      </c>
      <c r="F102" s="300">
        <v>153305910</v>
      </c>
    </row>
    <row r="103" spans="1:6" ht="12" customHeight="1">
      <c r="A103" s="421" t="s">
        <v>597</v>
      </c>
      <c r="B103" s="139" t="s">
        <v>298</v>
      </c>
      <c r="C103" s="298"/>
      <c r="D103" s="300"/>
      <c r="E103" s="300"/>
      <c r="F103" s="300"/>
    </row>
    <row r="104" spans="1:6" ht="12" customHeight="1">
      <c r="A104" s="421" t="s">
        <v>599</v>
      </c>
      <c r="B104" s="140" t="s">
        <v>33</v>
      </c>
      <c r="C104" s="298">
        <f>'9.1. melléklet'!C104-'9.1.2.melléklet'!C103</f>
        <v>0</v>
      </c>
      <c r="D104" s="300"/>
      <c r="E104" s="300"/>
      <c r="F104" s="300"/>
    </row>
    <row r="105" spans="1:6" ht="12" customHeight="1">
      <c r="A105" s="430" t="s">
        <v>662</v>
      </c>
      <c r="B105" s="141" t="s">
        <v>34</v>
      </c>
      <c r="C105" s="298">
        <f>'9.1. melléklet'!C105-'9.1.2.melléklet'!C104</f>
        <v>0</v>
      </c>
      <c r="D105" s="300"/>
      <c r="E105" s="300"/>
      <c r="F105" s="300"/>
    </row>
    <row r="106" spans="1:6" ht="12" customHeight="1">
      <c r="A106" s="421" t="s">
        <v>24</v>
      </c>
      <c r="B106" s="140" t="s">
        <v>299</v>
      </c>
      <c r="C106" s="298">
        <f>'9.1. melléklet'!C106-'9.1.2.melléklet'!C105</f>
        <v>0</v>
      </c>
      <c r="D106" s="300"/>
      <c r="E106" s="300"/>
      <c r="F106" s="300"/>
    </row>
    <row r="107" spans="1:6" ht="12" customHeight="1" thickBot="1">
      <c r="A107" s="431" t="s">
        <v>25</v>
      </c>
      <c r="B107" s="142" t="s">
        <v>36</v>
      </c>
      <c r="C107" s="303">
        <f>'9.1. melléklet'!C107-'9.1.2.melléklet'!C106</f>
        <v>1750000</v>
      </c>
      <c r="D107" s="303">
        <v>3200000</v>
      </c>
      <c r="E107" s="303">
        <v>3200000</v>
      </c>
      <c r="F107" s="303">
        <v>3700000</v>
      </c>
    </row>
    <row r="108" spans="1:6" ht="12" customHeight="1" thickBot="1">
      <c r="A108" s="30" t="s">
        <v>497</v>
      </c>
      <c r="B108" s="28" t="s">
        <v>37</v>
      </c>
      <c r="C108" s="297">
        <f>C109+C111+C113</f>
        <v>321411285</v>
      </c>
      <c r="D108" s="296">
        <f>+D109+D111+D113</f>
        <v>337926285</v>
      </c>
      <c r="E108" s="296">
        <f>+E109+E111+E113</f>
        <v>904285367</v>
      </c>
      <c r="F108" s="296">
        <f>+F109+F111+F113</f>
        <v>919285367</v>
      </c>
    </row>
    <row r="109" spans="1:6" ht="12" customHeight="1">
      <c r="A109" s="420" t="s">
        <v>585</v>
      </c>
      <c r="B109" s="6" t="s">
        <v>708</v>
      </c>
      <c r="C109" s="297">
        <f>'9.1. melléklet'!C109-'9.1.2.melléklet'!C108</f>
        <v>140411285</v>
      </c>
      <c r="D109" s="299">
        <v>140411285</v>
      </c>
      <c r="E109" s="299">
        <v>591146615</v>
      </c>
      <c r="F109" s="299">
        <v>606146615</v>
      </c>
    </row>
    <row r="110" spans="1:6" ht="12" customHeight="1">
      <c r="A110" s="420" t="s">
        <v>586</v>
      </c>
      <c r="B110" s="10" t="s">
        <v>41</v>
      </c>
      <c r="C110" s="298">
        <f>'9.1. melléklet'!C110-'9.1.2.melléklet'!C109</f>
        <v>0</v>
      </c>
      <c r="D110" s="299"/>
      <c r="E110" s="299"/>
      <c r="F110" s="299"/>
    </row>
    <row r="111" spans="1:6" ht="12" customHeight="1">
      <c r="A111" s="420" t="s">
        <v>587</v>
      </c>
      <c r="B111" s="10" t="s">
        <v>663</v>
      </c>
      <c r="C111" s="298">
        <v>181000000</v>
      </c>
      <c r="D111" s="298">
        <v>181000000</v>
      </c>
      <c r="E111" s="298">
        <v>296623752</v>
      </c>
      <c r="F111" s="298">
        <v>296623752</v>
      </c>
    </row>
    <row r="112" spans="1:6" ht="12" customHeight="1">
      <c r="A112" s="420" t="s">
        <v>588</v>
      </c>
      <c r="B112" s="10" t="s">
        <v>42</v>
      </c>
      <c r="C112" s="298">
        <f>'9.1. melléklet'!C112-'9.1.2.melléklet'!C111</f>
        <v>0</v>
      </c>
      <c r="D112" s="269"/>
      <c r="E112" s="269"/>
      <c r="F112" s="269"/>
    </row>
    <row r="113" spans="1:6" ht="12" customHeight="1">
      <c r="A113" s="420" t="s">
        <v>589</v>
      </c>
      <c r="B113" s="293" t="s">
        <v>710</v>
      </c>
      <c r="C113" s="298">
        <f>C116+C117</f>
        <v>0</v>
      </c>
      <c r="D113" s="269">
        <f>D121</f>
        <v>16515000</v>
      </c>
      <c r="E113" s="269">
        <f>E121</f>
        <v>16515000</v>
      </c>
      <c r="F113" s="269">
        <f>F121</f>
        <v>16515000</v>
      </c>
    </row>
    <row r="114" spans="1:6" ht="12" customHeight="1">
      <c r="A114" s="420" t="s">
        <v>598</v>
      </c>
      <c r="B114" s="292" t="s">
        <v>155</v>
      </c>
      <c r="C114" s="298">
        <f>'9.1. melléklet'!C114-'9.1.2.melléklet'!C113</f>
        <v>0</v>
      </c>
      <c r="D114" s="269"/>
      <c r="E114" s="269"/>
      <c r="F114" s="269"/>
    </row>
    <row r="115" spans="1:6" ht="12" customHeight="1">
      <c r="A115" s="420" t="s">
        <v>600</v>
      </c>
      <c r="B115" s="398" t="s">
        <v>47</v>
      </c>
      <c r="C115" s="298">
        <f>'9.1. melléklet'!C115-'9.1.2.melléklet'!C114</f>
        <v>0</v>
      </c>
      <c r="D115" s="269"/>
      <c r="E115" s="269"/>
      <c r="F115" s="269"/>
    </row>
    <row r="116" spans="1:6" ht="12" customHeight="1">
      <c r="A116" s="420" t="s">
        <v>664</v>
      </c>
      <c r="B116" s="717" t="s">
        <v>345</v>
      </c>
      <c r="C116" s="298">
        <f>'9.1. melléklet'!C116-'9.1.2.melléklet'!C115</f>
        <v>0</v>
      </c>
      <c r="D116" s="269"/>
      <c r="E116" s="269"/>
      <c r="F116" s="269"/>
    </row>
    <row r="117" spans="1:6" ht="12" customHeight="1">
      <c r="A117" s="420" t="s">
        <v>665</v>
      </c>
      <c r="B117" s="958" t="s">
        <v>346</v>
      </c>
      <c r="C117" s="298">
        <f>'9.1. melléklet'!C117-'9.1.2.melléklet'!C116</f>
        <v>0</v>
      </c>
      <c r="D117" s="269"/>
      <c r="E117" s="269"/>
      <c r="F117" s="269"/>
    </row>
    <row r="118" spans="1:6" ht="12" customHeight="1">
      <c r="A118" s="420" t="s">
        <v>666</v>
      </c>
      <c r="B118" s="140" t="s">
        <v>312</v>
      </c>
      <c r="C118" s="298">
        <f>'9.1. melléklet'!C118-'9.1.2.melléklet'!C117</f>
        <v>0</v>
      </c>
      <c r="D118" s="269"/>
      <c r="E118" s="269"/>
      <c r="F118" s="269"/>
    </row>
    <row r="119" spans="1:6" ht="12" customHeight="1">
      <c r="A119" s="420" t="s">
        <v>38</v>
      </c>
      <c r="B119" s="140" t="s">
        <v>33</v>
      </c>
      <c r="C119" s="298">
        <f>'9.1. melléklet'!C119-'9.1.2.melléklet'!C118</f>
        <v>0</v>
      </c>
      <c r="D119" s="269"/>
      <c r="E119" s="269"/>
      <c r="F119" s="269"/>
    </row>
    <row r="120" spans="1:6" ht="12" customHeight="1">
      <c r="A120" s="420" t="s">
        <v>39</v>
      </c>
      <c r="B120" s="140" t="s">
        <v>44</v>
      </c>
      <c r="C120" s="298">
        <f>'9.1. melléklet'!C120-'9.1.2.melléklet'!C119</f>
        <v>0</v>
      </c>
      <c r="D120" s="269"/>
      <c r="E120" s="269"/>
      <c r="F120" s="269"/>
    </row>
    <row r="121" spans="1:6" ht="12" customHeight="1" thickBot="1">
      <c r="A121" s="430" t="s">
        <v>40</v>
      </c>
      <c r="B121" s="140" t="s">
        <v>43</v>
      </c>
      <c r="C121" s="303"/>
      <c r="D121" s="270">
        <v>16515000</v>
      </c>
      <c r="E121" s="270">
        <v>16515000</v>
      </c>
      <c r="F121" s="270">
        <v>16515000</v>
      </c>
    </row>
    <row r="122" spans="1:6" ht="12" customHeight="1" thickBot="1">
      <c r="A122" s="30" t="s">
        <v>498</v>
      </c>
      <c r="B122" s="122" t="s">
        <v>48</v>
      </c>
      <c r="C122" s="297">
        <f>'9.1. melléklet'!C122-'9.1.2.melléklet'!C121</f>
        <v>369260504</v>
      </c>
      <c r="D122" s="296">
        <f>+D123+D124</f>
        <v>236050964</v>
      </c>
      <c r="E122" s="296">
        <f>+E123+E124</f>
        <v>206289199</v>
      </c>
      <c r="F122" s="296">
        <f>+F123+F124</f>
        <v>327931485</v>
      </c>
    </row>
    <row r="123" spans="1:6" ht="12" customHeight="1">
      <c r="A123" s="420" t="s">
        <v>568</v>
      </c>
      <c r="B123" s="7" t="s">
        <v>537</v>
      </c>
      <c r="C123" s="297">
        <f>'9.1. melléklet'!C123-'9.1.2.melléklet'!C122</f>
        <v>38342762</v>
      </c>
      <c r="D123" s="299">
        <v>21648222</v>
      </c>
      <c r="E123" s="299">
        <v>17204866</v>
      </c>
      <c r="F123" s="299">
        <v>20922905</v>
      </c>
    </row>
    <row r="124" spans="1:6" ht="12" customHeight="1" thickBot="1">
      <c r="A124" s="422" t="s">
        <v>569</v>
      </c>
      <c r="B124" s="10" t="s">
        <v>538</v>
      </c>
      <c r="C124" s="303">
        <f>'9.1. melléklet'!C124-'9.1.2.melléklet'!C123</f>
        <v>330917742</v>
      </c>
      <c r="D124" s="300">
        <v>214402742</v>
      </c>
      <c r="E124" s="300">
        <v>189084333</v>
      </c>
      <c r="F124" s="300">
        <v>307008580</v>
      </c>
    </row>
    <row r="125" spans="1:6" ht="12" customHeight="1" thickBot="1">
      <c r="A125" s="30" t="s">
        <v>499</v>
      </c>
      <c r="B125" s="122" t="s">
        <v>49</v>
      </c>
      <c r="C125" s="297">
        <f>C122+C108+C92</f>
        <v>1025092981</v>
      </c>
      <c r="D125" s="296">
        <f>+D92+D108+D122</f>
        <v>925823289</v>
      </c>
      <c r="E125" s="296">
        <f>+E92+E108+E122</f>
        <v>1474423586</v>
      </c>
      <c r="F125" s="296">
        <f>+F92+F108+F122</f>
        <v>1623980852</v>
      </c>
    </row>
    <row r="126" spans="1:6" ht="12" customHeight="1" thickBot="1">
      <c r="A126" s="30" t="s">
        <v>500</v>
      </c>
      <c r="B126" s="122" t="s">
        <v>50</v>
      </c>
      <c r="C126" s="297">
        <f>'9.1. melléklet'!C126-'9.1.2.melléklet'!C125</f>
        <v>0</v>
      </c>
      <c r="D126" s="296">
        <f>+D127+D128+D129</f>
        <v>0</v>
      </c>
      <c r="E126" s="296">
        <f>+E127+E128+E129</f>
        <v>0</v>
      </c>
      <c r="F126" s="296">
        <f>+F127+F128+F129</f>
        <v>0</v>
      </c>
    </row>
    <row r="127" spans="1:6" s="96" customFormat="1" ht="12" customHeight="1">
      <c r="A127" s="420" t="s">
        <v>572</v>
      </c>
      <c r="B127" s="7" t="s">
        <v>51</v>
      </c>
      <c r="C127" s="297">
        <f>'9.1. melléklet'!C127-'9.1.2.melléklet'!C126</f>
        <v>0</v>
      </c>
      <c r="D127" s="269"/>
      <c r="E127" s="269"/>
      <c r="F127" s="269"/>
    </row>
    <row r="128" spans="1:6" ht="12" customHeight="1">
      <c r="A128" s="420" t="s">
        <v>573</v>
      </c>
      <c r="B128" s="7" t="s">
        <v>52</v>
      </c>
      <c r="C128" s="298">
        <f>'9.1. melléklet'!C128-'9.1.2.melléklet'!C127</f>
        <v>0</v>
      </c>
      <c r="D128" s="269"/>
      <c r="E128" s="269"/>
      <c r="F128" s="269"/>
    </row>
    <row r="129" spans="1:6" ht="12" customHeight="1" thickBot="1">
      <c r="A129" s="430" t="s">
        <v>574</v>
      </c>
      <c r="B129" s="5" t="s">
        <v>53</v>
      </c>
      <c r="C129" s="303">
        <f>'9.1. melléklet'!C129-'9.1.2.melléklet'!C128</f>
        <v>0</v>
      </c>
      <c r="D129" s="269"/>
      <c r="E129" s="269"/>
      <c r="F129" s="269"/>
    </row>
    <row r="130" spans="1:6" ht="12" customHeight="1" thickBot="1">
      <c r="A130" s="30" t="s">
        <v>501</v>
      </c>
      <c r="B130" s="122" t="s">
        <v>114</v>
      </c>
      <c r="C130" s="297">
        <f>'9.1. melléklet'!C130-'9.1.2.melléklet'!C129</f>
        <v>0</v>
      </c>
      <c r="D130" s="296">
        <f>+D131+D132+D133+D134</f>
        <v>100000000</v>
      </c>
      <c r="E130" s="296">
        <f>+E131+E132+E133+E134</f>
        <v>100000000</v>
      </c>
      <c r="F130" s="296">
        <f>+F131+F132+F133+F134</f>
        <v>250000000</v>
      </c>
    </row>
    <row r="131" spans="1:6" ht="12" customHeight="1">
      <c r="A131" s="420" t="s">
        <v>575</v>
      </c>
      <c r="B131" s="7" t="s">
        <v>54</v>
      </c>
      <c r="C131" s="297">
        <f>'9.1. melléklet'!C131-'9.1.2.melléklet'!C130</f>
        <v>0</v>
      </c>
      <c r="D131" s="269">
        <v>100000000</v>
      </c>
      <c r="E131" s="269">
        <v>100000000</v>
      </c>
      <c r="F131" s="269">
        <v>250000000</v>
      </c>
    </row>
    <row r="132" spans="1:6" ht="12" customHeight="1">
      <c r="A132" s="420" t="s">
        <v>576</v>
      </c>
      <c r="B132" s="7" t="s">
        <v>55</v>
      </c>
      <c r="C132" s="298">
        <f>'9.1. melléklet'!C132-'9.1.2.melléklet'!C131</f>
        <v>0</v>
      </c>
      <c r="D132" s="269"/>
      <c r="E132" s="269"/>
      <c r="F132" s="269"/>
    </row>
    <row r="133" spans="1:6" ht="12" customHeight="1">
      <c r="A133" s="420" t="s">
        <v>781</v>
      </c>
      <c r="B133" s="7" t="s">
        <v>56</v>
      </c>
      <c r="C133" s="298">
        <f>'9.1. melléklet'!C133-'9.1.2.melléklet'!C132</f>
        <v>0</v>
      </c>
      <c r="D133" s="269"/>
      <c r="E133" s="269"/>
      <c r="F133" s="269"/>
    </row>
    <row r="134" spans="1:6" s="96" customFormat="1" ht="12" customHeight="1" thickBot="1">
      <c r="A134" s="430" t="s">
        <v>782</v>
      </c>
      <c r="B134" s="5" t="s">
        <v>57</v>
      </c>
      <c r="C134" s="303">
        <f>'9.1. melléklet'!C134-'9.1.2.melléklet'!C133</f>
        <v>0</v>
      </c>
      <c r="D134" s="269"/>
      <c r="E134" s="269"/>
      <c r="F134" s="269"/>
    </row>
    <row r="135" spans="1:11" ht="12" customHeight="1" thickBot="1">
      <c r="A135" s="30" t="s">
        <v>502</v>
      </c>
      <c r="B135" s="122" t="s">
        <v>58</v>
      </c>
      <c r="C135" s="297">
        <f>C138</f>
        <v>105095575</v>
      </c>
      <c r="D135" s="302">
        <f>+D136+D137+D138+D139</f>
        <v>125919144</v>
      </c>
      <c r="E135" s="302">
        <f>+E136+E137+E138+E139</f>
        <v>134195502</v>
      </c>
      <c r="F135" s="302">
        <f>+F136+F137+F138+F139</f>
        <v>236862378</v>
      </c>
      <c r="K135" s="252"/>
    </row>
    <row r="136" spans="1:6" ht="12.75">
      <c r="A136" s="420" t="s">
        <v>577</v>
      </c>
      <c r="B136" s="7" t="s">
        <v>59</v>
      </c>
      <c r="C136" s="297">
        <f>'9.1. melléklet'!C136-'9.1.2.melléklet'!C135</f>
        <v>0</v>
      </c>
      <c r="D136" s="269">
        <v>14042123</v>
      </c>
      <c r="E136" s="269">
        <v>14042123</v>
      </c>
      <c r="F136" s="269">
        <v>14042123</v>
      </c>
    </row>
    <row r="137" spans="1:6" ht="12" customHeight="1">
      <c r="A137" s="420" t="s">
        <v>578</v>
      </c>
      <c r="B137" s="7" t="s">
        <v>69</v>
      </c>
      <c r="C137" s="298">
        <f>'9.1. melléklet'!C137-'9.1.2.melléklet'!C136</f>
        <v>0</v>
      </c>
      <c r="D137" s="269">
        <v>2006764</v>
      </c>
      <c r="E137" s="269">
        <v>2006764</v>
      </c>
      <c r="F137" s="269">
        <v>2006764</v>
      </c>
    </row>
    <row r="138" spans="1:6" s="96" customFormat="1" ht="12" customHeight="1">
      <c r="A138" s="420" t="s">
        <v>793</v>
      </c>
      <c r="B138" s="7" t="s">
        <v>362</v>
      </c>
      <c r="C138" s="298">
        <v>105095575</v>
      </c>
      <c r="D138" s="269">
        <v>109870257</v>
      </c>
      <c r="E138" s="269">
        <v>118146615</v>
      </c>
      <c r="F138" s="269">
        <v>220813491</v>
      </c>
    </row>
    <row r="139" spans="1:6" s="96" customFormat="1" ht="12" customHeight="1" thickBot="1">
      <c r="A139" s="430" t="s">
        <v>794</v>
      </c>
      <c r="B139" s="5" t="s">
        <v>61</v>
      </c>
      <c r="C139" s="303">
        <f>'9.1. melléklet'!C139-'9.1.2.melléklet'!C138</f>
        <v>0</v>
      </c>
      <c r="D139" s="269"/>
      <c r="E139" s="269"/>
      <c r="F139" s="269"/>
    </row>
    <row r="140" spans="1:6" s="96" customFormat="1" ht="12" customHeight="1" thickBot="1">
      <c r="A140" s="30" t="s">
        <v>503</v>
      </c>
      <c r="B140" s="122" t="s">
        <v>62</v>
      </c>
      <c r="C140" s="297">
        <f>'9.1. melléklet'!C140-'9.1.2.melléklet'!C139</f>
        <v>0</v>
      </c>
      <c r="D140" s="304">
        <f>+D141+D142+D143+D144</f>
        <v>0</v>
      </c>
      <c r="E140" s="304">
        <f>+E141+E142+E143+E144</f>
        <v>0</v>
      </c>
      <c r="F140" s="304">
        <f>+F141+F142+F143+F144</f>
        <v>0</v>
      </c>
    </row>
    <row r="141" spans="1:6" s="96" customFormat="1" ht="12" customHeight="1">
      <c r="A141" s="420" t="s">
        <v>657</v>
      </c>
      <c r="B141" s="7" t="s">
        <v>63</v>
      </c>
      <c r="C141" s="297">
        <f>'9.1. melléklet'!C141-'9.1.2.melléklet'!C140</f>
        <v>0</v>
      </c>
      <c r="D141" s="269"/>
      <c r="E141" s="269"/>
      <c r="F141" s="269"/>
    </row>
    <row r="142" spans="1:6" s="96" customFormat="1" ht="12" customHeight="1">
      <c r="A142" s="420" t="s">
        <v>658</v>
      </c>
      <c r="B142" s="7" t="s">
        <v>64</v>
      </c>
      <c r="C142" s="298">
        <f>'9.1. melléklet'!C142-'9.1.2.melléklet'!C141</f>
        <v>0</v>
      </c>
      <c r="D142" s="269"/>
      <c r="E142" s="269"/>
      <c r="F142" s="269"/>
    </row>
    <row r="143" spans="1:6" s="96" customFormat="1" ht="12" customHeight="1">
      <c r="A143" s="420" t="s">
        <v>709</v>
      </c>
      <c r="B143" s="7" t="s">
        <v>65</v>
      </c>
      <c r="C143" s="298">
        <f>'9.1. melléklet'!C143-'9.1.2.melléklet'!C142</f>
        <v>0</v>
      </c>
      <c r="D143" s="269"/>
      <c r="E143" s="269"/>
      <c r="F143" s="269"/>
    </row>
    <row r="144" spans="1:6" ht="12.75" customHeight="1" thickBot="1">
      <c r="A144" s="420" t="s">
        <v>796</v>
      </c>
      <c r="B144" s="7" t="s">
        <v>66</v>
      </c>
      <c r="C144" s="303">
        <f>'9.1. melléklet'!C144-'9.1.2.melléklet'!C143</f>
        <v>0</v>
      </c>
      <c r="D144" s="269"/>
      <c r="E144" s="269"/>
      <c r="F144" s="269"/>
    </row>
    <row r="145" spans="1:6" ht="12" customHeight="1" thickBot="1">
      <c r="A145" s="30" t="s">
        <v>504</v>
      </c>
      <c r="B145" s="122" t="s">
        <v>67</v>
      </c>
      <c r="C145" s="297">
        <f>C140+C135+C130+C126</f>
        <v>105095575</v>
      </c>
      <c r="D145" s="414">
        <f>+D126+D130+D135+D140</f>
        <v>225919144</v>
      </c>
      <c r="E145" s="414">
        <f>+E126+E130+E135+E140</f>
        <v>234195502</v>
      </c>
      <c r="F145" s="414">
        <f>+F126+F130+F135+F140</f>
        <v>486862378</v>
      </c>
    </row>
    <row r="146" spans="1:6" ht="15" customHeight="1" thickBot="1">
      <c r="A146" s="432" t="s">
        <v>505</v>
      </c>
      <c r="B146" s="375" t="s">
        <v>68</v>
      </c>
      <c r="C146" s="896">
        <f>C125+C145</f>
        <v>1130188556</v>
      </c>
      <c r="D146" s="414">
        <f>+D125+D145</f>
        <v>1151742433</v>
      </c>
      <c r="E146" s="414">
        <f>+E125+E145</f>
        <v>1708619088</v>
      </c>
      <c r="F146" s="414">
        <f>+F125+F145</f>
        <v>2110843230</v>
      </c>
    </row>
    <row r="147" spans="1:6" ht="13.5" thickBot="1">
      <c r="A147" s="382"/>
      <c r="B147" s="383"/>
      <c r="C147" s="384"/>
      <c r="D147" s="384"/>
      <c r="E147" s="384"/>
      <c r="F147" s="384"/>
    </row>
    <row r="148" spans="1:6" ht="15" customHeight="1" thickBot="1">
      <c r="A148" s="249" t="s">
        <v>682</v>
      </c>
      <c r="B148" s="250"/>
      <c r="C148" s="119">
        <v>17</v>
      </c>
      <c r="D148" s="119">
        <v>17</v>
      </c>
      <c r="E148" s="119">
        <v>17</v>
      </c>
      <c r="F148" s="119">
        <v>17</v>
      </c>
    </row>
    <row r="149" spans="1:6" ht="14.25" customHeight="1" thickBot="1">
      <c r="A149" s="249" t="s">
        <v>683</v>
      </c>
      <c r="B149" s="250"/>
      <c r="C149" s="119">
        <v>15</v>
      </c>
      <c r="D149" s="119">
        <v>15</v>
      </c>
      <c r="E149" s="119">
        <v>15</v>
      </c>
      <c r="F149" s="119">
        <v>15</v>
      </c>
    </row>
    <row r="150" spans="1:2" ht="12.75">
      <c r="A150" s="1159" t="s">
        <v>898</v>
      </c>
      <c r="B150" s="1160"/>
    </row>
  </sheetData>
  <sheetProtection formatCells="0"/>
  <mergeCells count="1">
    <mergeCell ref="A150:B1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">
      <selection activeCell="D39" sqref="D39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5" width="25.00390625" style="387" customWidth="1"/>
    <col min="6" max="16384" width="9.375" style="3" customWidth="1"/>
  </cols>
  <sheetData>
    <row r="1" spans="1:5" s="2" customFormat="1" ht="16.5" customHeight="1" thickBot="1">
      <c r="A1" s="226"/>
      <c r="B1" s="228"/>
      <c r="C1" s="251"/>
      <c r="D1" s="251"/>
      <c r="E1" s="251" t="s">
        <v>882</v>
      </c>
    </row>
    <row r="2" spans="1:5" s="92" customFormat="1" ht="21" customHeight="1">
      <c r="A2" s="392" t="s">
        <v>541</v>
      </c>
      <c r="B2" s="354" t="s">
        <v>704</v>
      </c>
      <c r="C2" s="356"/>
      <c r="D2" s="356"/>
      <c r="E2" s="356" t="s">
        <v>530</v>
      </c>
    </row>
    <row r="3" spans="1:5" s="92" customFormat="1" ht="16.5" thickBot="1">
      <c r="A3" s="229" t="s">
        <v>679</v>
      </c>
      <c r="B3" s="355" t="s">
        <v>157</v>
      </c>
      <c r="C3" s="357"/>
      <c r="D3" s="357"/>
      <c r="E3" s="357">
        <v>3</v>
      </c>
    </row>
    <row r="4" spans="1:5" s="93" customFormat="1" ht="15.75" customHeight="1" thickBot="1">
      <c r="A4" s="230"/>
      <c r="B4" s="230"/>
      <c r="C4" s="231"/>
      <c r="D4" s="231"/>
      <c r="E4" s="231"/>
    </row>
    <row r="5" spans="1:5" ht="13.5" thickBot="1">
      <c r="A5" s="393" t="s">
        <v>681</v>
      </c>
      <c r="B5" s="232" t="s">
        <v>531</v>
      </c>
      <c r="C5" s="358" t="s">
        <v>532</v>
      </c>
      <c r="D5" s="358" t="s">
        <v>532</v>
      </c>
      <c r="E5" s="358" t="s">
        <v>532</v>
      </c>
    </row>
    <row r="6" spans="1:5" s="57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</row>
    <row r="7" spans="1:5" s="57" customFormat="1" ht="15.75" customHeight="1" thickBot="1">
      <c r="A7" s="234"/>
      <c r="B7" s="235" t="s">
        <v>533</v>
      </c>
      <c r="C7" s="359"/>
      <c r="D7" s="359"/>
      <c r="E7" s="359"/>
    </row>
    <row r="8" spans="1:5" s="57" customFormat="1" ht="12" customHeight="1" thickBot="1">
      <c r="A8" s="30" t="s">
        <v>496</v>
      </c>
      <c r="B8" s="19" t="s">
        <v>737</v>
      </c>
      <c r="C8" s="296">
        <f>+C9+C10+C11+C12+C13+C14</f>
        <v>0</v>
      </c>
      <c r="D8" s="296">
        <f>+D9+D10+D11+D12+D13+D14</f>
        <v>0</v>
      </c>
      <c r="E8" s="296">
        <f>+E9+E10+E11+E12+E13+E14</f>
        <v>0</v>
      </c>
    </row>
    <row r="9" spans="1:5" s="94" customFormat="1" ht="12" customHeight="1">
      <c r="A9" s="420" t="s">
        <v>579</v>
      </c>
      <c r="B9" s="402" t="s">
        <v>738</v>
      </c>
      <c r="C9" s="299"/>
      <c r="D9" s="299"/>
      <c r="E9" s="299"/>
    </row>
    <row r="10" spans="1:5" s="95" customFormat="1" ht="12" customHeight="1">
      <c r="A10" s="421" t="s">
        <v>580</v>
      </c>
      <c r="B10" s="403" t="s">
        <v>739</v>
      </c>
      <c r="C10" s="298"/>
      <c r="D10" s="298"/>
      <c r="E10" s="298"/>
    </row>
    <row r="11" spans="1:5" s="95" customFormat="1" ht="12" customHeight="1">
      <c r="A11" s="421" t="s">
        <v>581</v>
      </c>
      <c r="B11" s="403" t="s">
        <v>740</v>
      </c>
      <c r="C11" s="298"/>
      <c r="D11" s="298"/>
      <c r="E11" s="298"/>
    </row>
    <row r="12" spans="1:5" s="95" customFormat="1" ht="12" customHeight="1">
      <c r="A12" s="421" t="s">
        <v>582</v>
      </c>
      <c r="B12" s="403" t="s">
        <v>741</v>
      </c>
      <c r="C12" s="298"/>
      <c r="D12" s="298"/>
      <c r="E12" s="298"/>
    </row>
    <row r="13" spans="1:5" s="95" customFormat="1" ht="12" customHeight="1">
      <c r="A13" s="421" t="s">
        <v>624</v>
      </c>
      <c r="B13" s="403" t="s">
        <v>742</v>
      </c>
      <c r="C13" s="799"/>
      <c r="D13" s="799"/>
      <c r="E13" s="799"/>
    </row>
    <row r="14" spans="1:5" s="94" customFormat="1" ht="12" customHeight="1" thickBot="1">
      <c r="A14" s="422" t="s">
        <v>583</v>
      </c>
      <c r="B14" s="404" t="s">
        <v>743</v>
      </c>
      <c r="C14" s="800"/>
      <c r="D14" s="800"/>
      <c r="E14" s="800"/>
    </row>
    <row r="15" spans="1:5" s="94" customFormat="1" ht="12" customHeight="1" thickBot="1">
      <c r="A15" s="30" t="s">
        <v>497</v>
      </c>
      <c r="B15" s="291" t="s">
        <v>744</v>
      </c>
      <c r="C15" s="296">
        <f>+C16+C17+C18+C19+C20</f>
        <v>0</v>
      </c>
      <c r="D15" s="296">
        <f>+D16+D17+D18+D19+D20</f>
        <v>0</v>
      </c>
      <c r="E15" s="296">
        <f>+E16+E17+E18+E19+E20</f>
        <v>0</v>
      </c>
    </row>
    <row r="16" spans="1:5" s="94" customFormat="1" ht="12" customHeight="1">
      <c r="A16" s="420" t="s">
        <v>585</v>
      </c>
      <c r="B16" s="402" t="s">
        <v>745</v>
      </c>
      <c r="C16" s="299"/>
      <c r="D16" s="299"/>
      <c r="E16" s="299"/>
    </row>
    <row r="17" spans="1:5" s="94" customFormat="1" ht="12" customHeight="1">
      <c r="A17" s="421" t="s">
        <v>586</v>
      </c>
      <c r="B17" s="403" t="s">
        <v>746</v>
      </c>
      <c r="C17" s="298"/>
      <c r="D17" s="298"/>
      <c r="E17" s="298"/>
    </row>
    <row r="18" spans="1:5" s="94" customFormat="1" ht="12" customHeight="1">
      <c r="A18" s="421" t="s">
        <v>587</v>
      </c>
      <c r="B18" s="403" t="s">
        <v>149</v>
      </c>
      <c r="C18" s="298"/>
      <c r="D18" s="298"/>
      <c r="E18" s="298"/>
    </row>
    <row r="19" spans="1:5" s="94" customFormat="1" ht="12" customHeight="1">
      <c r="A19" s="421" t="s">
        <v>588</v>
      </c>
      <c r="B19" s="403" t="s">
        <v>150</v>
      </c>
      <c r="C19" s="298"/>
      <c r="D19" s="298"/>
      <c r="E19" s="298"/>
    </row>
    <row r="20" spans="1:5" s="94" customFormat="1" ht="12" customHeight="1">
      <c r="A20" s="421" t="s">
        <v>589</v>
      </c>
      <c r="B20" s="403" t="s">
        <v>747</v>
      </c>
      <c r="C20" s="298"/>
      <c r="D20" s="298"/>
      <c r="E20" s="298"/>
    </row>
    <row r="21" spans="1:5" s="95" customFormat="1" ht="12" customHeight="1" thickBot="1">
      <c r="A21" s="422" t="s">
        <v>598</v>
      </c>
      <c r="B21" s="404" t="s">
        <v>748</v>
      </c>
      <c r="C21" s="300"/>
      <c r="D21" s="300"/>
      <c r="E21" s="300"/>
    </row>
    <row r="22" spans="1:5" s="95" customFormat="1" ht="12" customHeight="1" thickBot="1">
      <c r="A22" s="30" t="s">
        <v>498</v>
      </c>
      <c r="B22" s="19" t="s">
        <v>749</v>
      </c>
      <c r="C22" s="296">
        <f>+C23+C24+C25+C26+C27</f>
        <v>0</v>
      </c>
      <c r="D22" s="296">
        <f>+D23+D24+D25+D26+D27</f>
        <v>0</v>
      </c>
      <c r="E22" s="296">
        <f>+E23+E24+E25+E26+E27</f>
        <v>0</v>
      </c>
    </row>
    <row r="23" spans="1:5" s="95" customFormat="1" ht="12" customHeight="1">
      <c r="A23" s="420" t="s">
        <v>568</v>
      </c>
      <c r="B23" s="402" t="s">
        <v>750</v>
      </c>
      <c r="C23" s="299"/>
      <c r="D23" s="299"/>
      <c r="E23" s="299"/>
    </row>
    <row r="24" spans="1:5" s="94" customFormat="1" ht="12" customHeight="1">
      <c r="A24" s="421" t="s">
        <v>569</v>
      </c>
      <c r="B24" s="403" t="s">
        <v>751</v>
      </c>
      <c r="C24" s="298"/>
      <c r="D24" s="298"/>
      <c r="E24" s="298"/>
    </row>
    <row r="25" spans="1:5" s="95" customFormat="1" ht="12" customHeight="1">
      <c r="A25" s="421" t="s">
        <v>570</v>
      </c>
      <c r="B25" s="403" t="s">
        <v>151</v>
      </c>
      <c r="C25" s="298"/>
      <c r="D25" s="298"/>
      <c r="E25" s="298"/>
    </row>
    <row r="26" spans="1:5" s="95" customFormat="1" ht="12" customHeight="1">
      <c r="A26" s="421" t="s">
        <v>571</v>
      </c>
      <c r="B26" s="403" t="s">
        <v>152</v>
      </c>
      <c r="C26" s="298"/>
      <c r="D26" s="298"/>
      <c r="E26" s="298"/>
    </row>
    <row r="27" spans="1:5" s="95" customFormat="1" ht="12" customHeight="1">
      <c r="A27" s="421" t="s">
        <v>647</v>
      </c>
      <c r="B27" s="403" t="s">
        <v>752</v>
      </c>
      <c r="C27" s="298"/>
      <c r="D27" s="298"/>
      <c r="E27" s="298"/>
    </row>
    <row r="28" spans="1:5" s="95" customFormat="1" ht="12" customHeight="1" thickBot="1">
      <c r="A28" s="422" t="s">
        <v>648</v>
      </c>
      <c r="B28" s="404" t="s">
        <v>753</v>
      </c>
      <c r="C28" s="300"/>
      <c r="D28" s="300"/>
      <c r="E28" s="300"/>
    </row>
    <row r="29" spans="1:5" s="95" customFormat="1" ht="12" customHeight="1" thickBot="1">
      <c r="A29" s="30" t="s">
        <v>649</v>
      </c>
      <c r="B29" s="19" t="s">
        <v>754</v>
      </c>
      <c r="C29" s="302">
        <f>+C30+C33+C34+C35</f>
        <v>0</v>
      </c>
      <c r="D29" s="302">
        <f>+D30+D33+D34+D35</f>
        <v>0</v>
      </c>
      <c r="E29" s="302">
        <f>+E30+E33+E34+E35</f>
        <v>0</v>
      </c>
    </row>
    <row r="30" spans="1:5" s="95" customFormat="1" ht="12" customHeight="1">
      <c r="A30" s="420" t="s">
        <v>755</v>
      </c>
      <c r="B30" s="402" t="s">
        <v>761</v>
      </c>
      <c r="C30" s="397">
        <f>+C31+C32</f>
        <v>0</v>
      </c>
      <c r="D30" s="397">
        <f>+D31+D32</f>
        <v>0</v>
      </c>
      <c r="E30" s="397">
        <f>+E31+E32</f>
        <v>0</v>
      </c>
    </row>
    <row r="31" spans="1:5" s="95" customFormat="1" ht="12" customHeight="1">
      <c r="A31" s="421" t="s">
        <v>756</v>
      </c>
      <c r="B31" s="403" t="s">
        <v>762</v>
      </c>
      <c r="C31" s="298"/>
      <c r="D31" s="298"/>
      <c r="E31" s="298"/>
    </row>
    <row r="32" spans="1:5" s="95" customFormat="1" ht="12" customHeight="1">
      <c r="A32" s="421" t="s">
        <v>757</v>
      </c>
      <c r="B32" s="403" t="s">
        <v>763</v>
      </c>
      <c r="C32" s="298"/>
      <c r="D32" s="298"/>
      <c r="E32" s="298"/>
    </row>
    <row r="33" spans="1:5" s="95" customFormat="1" ht="12" customHeight="1">
      <c r="A33" s="421" t="s">
        <v>758</v>
      </c>
      <c r="B33" s="403" t="s">
        <v>764</v>
      </c>
      <c r="C33" s="298"/>
      <c r="D33" s="298"/>
      <c r="E33" s="298"/>
    </row>
    <row r="34" spans="1:5" s="95" customFormat="1" ht="12" customHeight="1">
      <c r="A34" s="421" t="s">
        <v>759</v>
      </c>
      <c r="B34" s="403" t="s">
        <v>765</v>
      </c>
      <c r="C34" s="298"/>
      <c r="D34" s="298"/>
      <c r="E34" s="298"/>
    </row>
    <row r="35" spans="1:5" s="95" customFormat="1" ht="12" customHeight="1" thickBot="1">
      <c r="A35" s="422" t="s">
        <v>760</v>
      </c>
      <c r="B35" s="404" t="s">
        <v>766</v>
      </c>
      <c r="C35" s="300"/>
      <c r="D35" s="300"/>
      <c r="E35" s="300"/>
    </row>
    <row r="36" spans="1:5" s="95" customFormat="1" ht="12" customHeight="1" thickBot="1">
      <c r="A36" s="30" t="s">
        <v>500</v>
      </c>
      <c r="B36" s="19" t="s">
        <v>767</v>
      </c>
      <c r="C36" s="296">
        <f>SUM(C37:C46)</f>
        <v>3450000</v>
      </c>
      <c r="D36" s="296">
        <f>SUM(D37:D46)</f>
        <v>3450000</v>
      </c>
      <c r="E36" s="296">
        <f>SUM(E37:E46)</f>
        <v>3450000</v>
      </c>
    </row>
    <row r="37" spans="1:5" s="95" customFormat="1" ht="12" customHeight="1">
      <c r="A37" s="420" t="s">
        <v>572</v>
      </c>
      <c r="B37" s="402" t="s">
        <v>770</v>
      </c>
      <c r="C37" s="299"/>
      <c r="D37" s="299"/>
      <c r="E37" s="299"/>
    </row>
    <row r="38" spans="1:5" s="95" customFormat="1" ht="12" customHeight="1">
      <c r="A38" s="421" t="s">
        <v>573</v>
      </c>
      <c r="B38" s="403" t="s">
        <v>771</v>
      </c>
      <c r="C38" s="298">
        <v>3450000</v>
      </c>
      <c r="D38" s="298">
        <v>3450000</v>
      </c>
      <c r="E38" s="298">
        <v>3450000</v>
      </c>
    </row>
    <row r="39" spans="1:5" s="95" customFormat="1" ht="12" customHeight="1">
      <c r="A39" s="421" t="s">
        <v>574</v>
      </c>
      <c r="B39" s="403" t="s">
        <v>772</v>
      </c>
      <c r="C39" s="298"/>
      <c r="D39" s="298"/>
      <c r="E39" s="298"/>
    </row>
    <row r="40" spans="1:5" s="95" customFormat="1" ht="12" customHeight="1">
      <c r="A40" s="421" t="s">
        <v>651</v>
      </c>
      <c r="B40" s="403" t="s">
        <v>773</v>
      </c>
      <c r="C40" s="298"/>
      <c r="D40" s="298"/>
      <c r="E40" s="298"/>
    </row>
    <row r="41" spans="1:5" s="95" customFormat="1" ht="12" customHeight="1">
      <c r="A41" s="421" t="s">
        <v>652</v>
      </c>
      <c r="B41" s="403" t="s">
        <v>774</v>
      </c>
      <c r="C41" s="298"/>
      <c r="D41" s="298"/>
      <c r="E41" s="298"/>
    </row>
    <row r="42" spans="1:5" s="95" customFormat="1" ht="12" customHeight="1">
      <c r="A42" s="421" t="s">
        <v>653</v>
      </c>
      <c r="B42" s="403" t="s">
        <v>775</v>
      </c>
      <c r="C42" s="298"/>
      <c r="D42" s="298"/>
      <c r="E42" s="298"/>
    </row>
    <row r="43" spans="1:5" s="95" customFormat="1" ht="12" customHeight="1">
      <c r="A43" s="421" t="s">
        <v>654</v>
      </c>
      <c r="B43" s="403" t="s">
        <v>776</v>
      </c>
      <c r="C43" s="298"/>
      <c r="D43" s="298"/>
      <c r="E43" s="298"/>
    </row>
    <row r="44" spans="1:5" s="95" customFormat="1" ht="12" customHeight="1">
      <c r="A44" s="421" t="s">
        <v>655</v>
      </c>
      <c r="B44" s="403" t="s">
        <v>777</v>
      </c>
      <c r="C44" s="298"/>
      <c r="D44" s="298"/>
      <c r="E44" s="298"/>
    </row>
    <row r="45" spans="1:5" s="95" customFormat="1" ht="12" customHeight="1">
      <c r="A45" s="421" t="s">
        <v>768</v>
      </c>
      <c r="B45" s="403" t="s">
        <v>778</v>
      </c>
      <c r="C45" s="301"/>
      <c r="D45" s="301"/>
      <c r="E45" s="301"/>
    </row>
    <row r="46" spans="1:5" s="95" customFormat="1" ht="12" customHeight="1" thickBot="1">
      <c r="A46" s="422" t="s">
        <v>769</v>
      </c>
      <c r="B46" s="404" t="s">
        <v>779</v>
      </c>
      <c r="C46" s="391"/>
      <c r="D46" s="391"/>
      <c r="E46" s="391"/>
    </row>
    <row r="47" spans="1:5" s="95" customFormat="1" ht="12" customHeight="1" thickBot="1">
      <c r="A47" s="30" t="s">
        <v>501</v>
      </c>
      <c r="B47" s="19" t="s">
        <v>780</v>
      </c>
      <c r="C47" s="296">
        <f>SUM(C48:C52)</f>
        <v>0</v>
      </c>
      <c r="D47" s="296">
        <f>SUM(D48:D52)</f>
        <v>0</v>
      </c>
      <c r="E47" s="296">
        <f>SUM(E48:E52)</f>
        <v>0</v>
      </c>
    </row>
    <row r="48" spans="1:5" s="95" customFormat="1" ht="12" customHeight="1">
      <c r="A48" s="420" t="s">
        <v>575</v>
      </c>
      <c r="B48" s="402" t="s">
        <v>784</v>
      </c>
      <c r="C48" s="446"/>
      <c r="D48" s="446"/>
      <c r="E48" s="446"/>
    </row>
    <row r="49" spans="1:5" s="95" customFormat="1" ht="12" customHeight="1">
      <c r="A49" s="421" t="s">
        <v>576</v>
      </c>
      <c r="B49" s="403" t="s">
        <v>785</v>
      </c>
      <c r="C49" s="301"/>
      <c r="D49" s="301"/>
      <c r="E49" s="301"/>
    </row>
    <row r="50" spans="1:5" s="95" customFormat="1" ht="12" customHeight="1">
      <c r="A50" s="421" t="s">
        <v>781</v>
      </c>
      <c r="B50" s="403" t="s">
        <v>786</v>
      </c>
      <c r="C50" s="301"/>
      <c r="D50" s="301"/>
      <c r="E50" s="301"/>
    </row>
    <row r="51" spans="1:5" s="95" customFormat="1" ht="12" customHeight="1">
      <c r="A51" s="421" t="s">
        <v>782</v>
      </c>
      <c r="B51" s="403" t="s">
        <v>787</v>
      </c>
      <c r="C51" s="301"/>
      <c r="D51" s="301"/>
      <c r="E51" s="301"/>
    </row>
    <row r="52" spans="1:5" s="95" customFormat="1" ht="12" customHeight="1" thickBot="1">
      <c r="A52" s="422" t="s">
        <v>783</v>
      </c>
      <c r="B52" s="404" t="s">
        <v>788</v>
      </c>
      <c r="C52" s="391"/>
      <c r="D52" s="391"/>
      <c r="E52" s="391"/>
    </row>
    <row r="53" spans="1:5" s="95" customFormat="1" ht="12" customHeight="1" thickBot="1">
      <c r="A53" s="30" t="s">
        <v>656</v>
      </c>
      <c r="B53" s="19" t="s">
        <v>789</v>
      </c>
      <c r="C53" s="296">
        <f>SUM(C54:C56)</f>
        <v>0</v>
      </c>
      <c r="D53" s="296">
        <f>SUM(D54:D56)</f>
        <v>0</v>
      </c>
      <c r="E53" s="296">
        <f>SUM(E54:E56)</f>
        <v>0</v>
      </c>
    </row>
    <row r="54" spans="1:5" s="95" customFormat="1" ht="12" customHeight="1">
      <c r="A54" s="420" t="s">
        <v>577</v>
      </c>
      <c r="B54" s="402" t="s">
        <v>790</v>
      </c>
      <c r="C54" s="299"/>
      <c r="D54" s="299"/>
      <c r="E54" s="299"/>
    </row>
    <row r="55" spans="1:5" s="95" customFormat="1" ht="12" customHeight="1">
      <c r="A55" s="421" t="s">
        <v>578</v>
      </c>
      <c r="B55" s="403" t="s">
        <v>153</v>
      </c>
      <c r="C55" s="298"/>
      <c r="D55" s="298"/>
      <c r="E55" s="298"/>
    </row>
    <row r="56" spans="1:5" s="95" customFormat="1" ht="12" customHeight="1">
      <c r="A56" s="421" t="s">
        <v>793</v>
      </c>
      <c r="B56" s="403" t="s">
        <v>791</v>
      </c>
      <c r="C56" s="298"/>
      <c r="D56" s="298"/>
      <c r="E56" s="298"/>
    </row>
    <row r="57" spans="1:5" s="95" customFormat="1" ht="12" customHeight="1" thickBot="1">
      <c r="A57" s="422" t="s">
        <v>794</v>
      </c>
      <c r="B57" s="404" t="s">
        <v>792</v>
      </c>
      <c r="C57" s="300"/>
      <c r="D57" s="300"/>
      <c r="E57" s="300"/>
    </row>
    <row r="58" spans="1:5" s="95" customFormat="1" ht="12" customHeight="1" thickBot="1">
      <c r="A58" s="30" t="s">
        <v>503</v>
      </c>
      <c r="B58" s="291" t="s">
        <v>795</v>
      </c>
      <c r="C58" s="296">
        <f>SUM(C59:C61)</f>
        <v>0</v>
      </c>
      <c r="D58" s="296">
        <f>SUM(D59:D61)</f>
        <v>0</v>
      </c>
      <c r="E58" s="296">
        <f>SUM(E59:E61)</f>
        <v>0</v>
      </c>
    </row>
    <row r="59" spans="1:5" s="95" customFormat="1" ht="12" customHeight="1">
      <c r="A59" s="420" t="s">
        <v>657</v>
      </c>
      <c r="B59" s="402" t="s">
        <v>797</v>
      </c>
      <c r="C59" s="301"/>
      <c r="D59" s="301"/>
      <c r="E59" s="301"/>
    </row>
    <row r="60" spans="1:5" s="95" customFormat="1" ht="12" customHeight="1">
      <c r="A60" s="421" t="s">
        <v>658</v>
      </c>
      <c r="B60" s="403" t="s">
        <v>154</v>
      </c>
      <c r="C60" s="301"/>
      <c r="D60" s="301"/>
      <c r="E60" s="301"/>
    </row>
    <row r="61" spans="1:5" s="95" customFormat="1" ht="12" customHeight="1">
      <c r="A61" s="421" t="s">
        <v>709</v>
      </c>
      <c r="B61" s="403" t="s">
        <v>798</v>
      </c>
      <c r="C61" s="301"/>
      <c r="D61" s="301"/>
      <c r="E61" s="301"/>
    </row>
    <row r="62" spans="1:5" s="95" customFormat="1" ht="12" customHeight="1" thickBot="1">
      <c r="A62" s="422" t="s">
        <v>796</v>
      </c>
      <c r="B62" s="404" t="s">
        <v>799</v>
      </c>
      <c r="C62" s="301"/>
      <c r="D62" s="301"/>
      <c r="E62" s="301"/>
    </row>
    <row r="63" spans="1:5" s="95" customFormat="1" ht="12" customHeight="1" thickBot="1">
      <c r="A63" s="30" t="s">
        <v>504</v>
      </c>
      <c r="B63" s="19" t="s">
        <v>800</v>
      </c>
      <c r="C63" s="302">
        <f>+C8+C15+C22+C29+C36+C47+C53+C58</f>
        <v>3450000</v>
      </c>
      <c r="D63" s="302">
        <f>+D8+D15+D22+D29+D36+D47+D53+D58</f>
        <v>3450000</v>
      </c>
      <c r="E63" s="302">
        <f>+E8+E15+E22+E29+E36+E47+E53+E58</f>
        <v>3450000</v>
      </c>
    </row>
    <row r="64" spans="1:5" s="95" customFormat="1" ht="12" customHeight="1" thickBot="1">
      <c r="A64" s="423" t="s">
        <v>115</v>
      </c>
      <c r="B64" s="291" t="s">
        <v>802</v>
      </c>
      <c r="C64" s="296">
        <f>SUM(C65:C67)</f>
        <v>0</v>
      </c>
      <c r="D64" s="296">
        <f>SUM(D65:D67)</f>
        <v>0</v>
      </c>
      <c r="E64" s="296">
        <f>SUM(E65:E67)</f>
        <v>0</v>
      </c>
    </row>
    <row r="65" spans="1:5" s="95" customFormat="1" ht="12" customHeight="1">
      <c r="A65" s="420" t="s">
        <v>12</v>
      </c>
      <c r="B65" s="402" t="s">
        <v>803</v>
      </c>
      <c r="C65" s="301"/>
      <c r="D65" s="301"/>
      <c r="E65" s="301"/>
    </row>
    <row r="66" spans="1:5" s="95" customFormat="1" ht="12" customHeight="1">
      <c r="A66" s="421" t="s">
        <v>21</v>
      </c>
      <c r="B66" s="403" t="s">
        <v>804</v>
      </c>
      <c r="C66" s="301"/>
      <c r="D66" s="301"/>
      <c r="E66" s="301"/>
    </row>
    <row r="67" spans="1:5" s="95" customFormat="1" ht="12" customHeight="1" thickBot="1">
      <c r="A67" s="422" t="s">
        <v>22</v>
      </c>
      <c r="B67" s="406" t="s">
        <v>805</v>
      </c>
      <c r="C67" s="301"/>
      <c r="D67" s="301"/>
      <c r="E67" s="301"/>
    </row>
    <row r="68" spans="1:5" s="95" customFormat="1" ht="12" customHeight="1" thickBot="1">
      <c r="A68" s="423" t="s">
        <v>806</v>
      </c>
      <c r="B68" s="291" t="s">
        <v>807</v>
      </c>
      <c r="C68" s="296">
        <f>SUM(C69:C72)</f>
        <v>0</v>
      </c>
      <c r="D68" s="296">
        <f>SUM(D69:D72)</f>
        <v>0</v>
      </c>
      <c r="E68" s="296">
        <f>SUM(E69:E72)</f>
        <v>0</v>
      </c>
    </row>
    <row r="69" spans="1:5" s="95" customFormat="1" ht="12" customHeight="1">
      <c r="A69" s="420" t="s">
        <v>625</v>
      </c>
      <c r="B69" s="402" t="s">
        <v>808</v>
      </c>
      <c r="C69" s="301"/>
      <c r="D69" s="301"/>
      <c r="E69" s="301"/>
    </row>
    <row r="70" spans="1:5" s="95" customFormat="1" ht="12" customHeight="1">
      <c r="A70" s="421" t="s">
        <v>626</v>
      </c>
      <c r="B70" s="403" t="s">
        <v>809</v>
      </c>
      <c r="C70" s="301"/>
      <c r="D70" s="301"/>
      <c r="E70" s="301"/>
    </row>
    <row r="71" spans="1:5" s="95" customFormat="1" ht="12" customHeight="1">
      <c r="A71" s="421" t="s">
        <v>13</v>
      </c>
      <c r="B71" s="403" t="s">
        <v>810</v>
      </c>
      <c r="C71" s="301"/>
      <c r="D71" s="301"/>
      <c r="E71" s="301"/>
    </row>
    <row r="72" spans="1:5" s="95" customFormat="1" ht="12" customHeight="1" thickBot="1">
      <c r="A72" s="422" t="s">
        <v>14</v>
      </c>
      <c r="B72" s="404" t="s">
        <v>811</v>
      </c>
      <c r="C72" s="301"/>
      <c r="D72" s="301"/>
      <c r="E72" s="301"/>
    </row>
    <row r="73" spans="1:5" s="95" customFormat="1" ht="12" customHeight="1" thickBot="1">
      <c r="A73" s="423" t="s">
        <v>812</v>
      </c>
      <c r="B73" s="291" t="s">
        <v>813</v>
      </c>
      <c r="C73" s="296">
        <f>SUM(C74:C75)</f>
        <v>0</v>
      </c>
      <c r="D73" s="296">
        <f>SUM(D74:D75)</f>
        <v>0</v>
      </c>
      <c r="E73" s="296">
        <f>SUM(E74:E75)</f>
        <v>0</v>
      </c>
    </row>
    <row r="74" spans="1:5" s="95" customFormat="1" ht="12" customHeight="1">
      <c r="A74" s="420" t="s">
        <v>15</v>
      </c>
      <c r="B74" s="402" t="s">
        <v>814</v>
      </c>
      <c r="C74" s="301"/>
      <c r="D74" s="301"/>
      <c r="E74" s="301"/>
    </row>
    <row r="75" spans="1:5" s="95" customFormat="1" ht="12" customHeight="1" thickBot="1">
      <c r="A75" s="422" t="s">
        <v>16</v>
      </c>
      <c r="B75" s="404" t="s">
        <v>815</v>
      </c>
      <c r="C75" s="301"/>
      <c r="D75" s="301"/>
      <c r="E75" s="301"/>
    </row>
    <row r="76" spans="1:5" s="94" customFormat="1" ht="12" customHeight="1" thickBot="1">
      <c r="A76" s="423" t="s">
        <v>816</v>
      </c>
      <c r="B76" s="291" t="s">
        <v>817</v>
      </c>
      <c r="C76" s="296">
        <f>SUM(C77:C79)</f>
        <v>0</v>
      </c>
      <c r="D76" s="296">
        <f>SUM(D77:D79)</f>
        <v>0</v>
      </c>
      <c r="E76" s="296">
        <f>SUM(E77:E79)</f>
        <v>0</v>
      </c>
    </row>
    <row r="77" spans="1:5" s="95" customFormat="1" ht="12" customHeight="1">
      <c r="A77" s="420" t="s">
        <v>17</v>
      </c>
      <c r="B77" s="402" t="s">
        <v>818</v>
      </c>
      <c r="C77" s="301"/>
      <c r="D77" s="301"/>
      <c r="E77" s="301"/>
    </row>
    <row r="78" spans="1:5" s="95" customFormat="1" ht="12" customHeight="1">
      <c r="A78" s="421" t="s">
        <v>18</v>
      </c>
      <c r="B78" s="403" t="s">
        <v>819</v>
      </c>
      <c r="C78" s="301"/>
      <c r="D78" s="301"/>
      <c r="E78" s="301"/>
    </row>
    <row r="79" spans="1:5" s="95" customFormat="1" ht="12" customHeight="1" thickBot="1">
      <c r="A79" s="422" t="s">
        <v>19</v>
      </c>
      <c r="B79" s="404" t="s">
        <v>820</v>
      </c>
      <c r="C79" s="301"/>
      <c r="D79" s="301"/>
      <c r="E79" s="301"/>
    </row>
    <row r="80" spans="1:5" s="95" customFormat="1" ht="12" customHeight="1" thickBot="1">
      <c r="A80" s="423" t="s">
        <v>821</v>
      </c>
      <c r="B80" s="291" t="s">
        <v>20</v>
      </c>
      <c r="C80" s="296">
        <f>SUM(C81:C84)</f>
        <v>0</v>
      </c>
      <c r="D80" s="296">
        <f>SUM(D81:D84)</f>
        <v>0</v>
      </c>
      <c r="E80" s="296">
        <f>SUM(E81:E84)</f>
        <v>0</v>
      </c>
    </row>
    <row r="81" spans="1:5" s="95" customFormat="1" ht="12" customHeight="1">
      <c r="A81" s="424" t="s">
        <v>822</v>
      </c>
      <c r="B81" s="402" t="s">
        <v>0</v>
      </c>
      <c r="C81" s="301"/>
      <c r="D81" s="301"/>
      <c r="E81" s="301"/>
    </row>
    <row r="82" spans="1:5" s="95" customFormat="1" ht="12" customHeight="1">
      <c r="A82" s="425" t="s">
        <v>1</v>
      </c>
      <c r="B82" s="403" t="s">
        <v>2</v>
      </c>
      <c r="C82" s="301"/>
      <c r="D82" s="301"/>
      <c r="E82" s="301"/>
    </row>
    <row r="83" spans="1:5" s="95" customFormat="1" ht="12" customHeight="1">
      <c r="A83" s="425" t="s">
        <v>3</v>
      </c>
      <c r="B83" s="403" t="s">
        <v>4</v>
      </c>
      <c r="C83" s="301"/>
      <c r="D83" s="301"/>
      <c r="E83" s="301"/>
    </row>
    <row r="84" spans="1:5" s="94" customFormat="1" ht="12" customHeight="1" thickBot="1">
      <c r="A84" s="426" t="s">
        <v>5</v>
      </c>
      <c r="B84" s="404" t="s">
        <v>6</v>
      </c>
      <c r="C84" s="301"/>
      <c r="D84" s="301"/>
      <c r="E84" s="301"/>
    </row>
    <row r="85" spans="1:5" s="94" customFormat="1" ht="12" customHeight="1" thickBot="1">
      <c r="A85" s="423" t="s">
        <v>7</v>
      </c>
      <c r="B85" s="291" t="s">
        <v>8</v>
      </c>
      <c r="C85" s="447"/>
      <c r="D85" s="447"/>
      <c r="E85" s="447"/>
    </row>
    <row r="86" spans="1:5" s="94" customFormat="1" ht="12" customHeight="1" thickBot="1">
      <c r="A86" s="423" t="s">
        <v>9</v>
      </c>
      <c r="B86" s="410" t="s">
        <v>10</v>
      </c>
      <c r="C86" s="302">
        <f>+C64+C68+C73+C76+C80+C85</f>
        <v>0</v>
      </c>
      <c r="D86" s="302">
        <f>+D64+D68+D73+D76+D80+D85</f>
        <v>0</v>
      </c>
      <c r="E86" s="302">
        <f>+E64+E68+E73+E76+E80+E85</f>
        <v>0</v>
      </c>
    </row>
    <row r="87" spans="1:5" s="94" customFormat="1" ht="12" customHeight="1" thickBot="1">
      <c r="A87" s="427" t="s">
        <v>23</v>
      </c>
      <c r="B87" s="412" t="s">
        <v>142</v>
      </c>
      <c r="C87" s="302">
        <f>+C63+C86</f>
        <v>3450000</v>
      </c>
      <c r="D87" s="302">
        <f>+D63+D86</f>
        <v>3450000</v>
      </c>
      <c r="E87" s="302">
        <f>+E63+E86</f>
        <v>3450000</v>
      </c>
    </row>
    <row r="88" spans="1:5" s="95" customFormat="1" ht="15" customHeight="1">
      <c r="A88" s="240"/>
      <c r="B88" s="241"/>
      <c r="C88" s="364"/>
      <c r="D88" s="364"/>
      <c r="E88" s="364"/>
    </row>
    <row r="89" spans="1:5" ht="13.5" thickBot="1">
      <c r="A89" s="428"/>
      <c r="B89" s="243"/>
      <c r="C89" s="365"/>
      <c r="D89" s="365"/>
      <c r="E89" s="365"/>
    </row>
    <row r="90" spans="1:5" s="57" customFormat="1" ht="16.5" customHeight="1" thickBot="1">
      <c r="A90" s="244"/>
      <c r="B90" s="245" t="s">
        <v>535</v>
      </c>
      <c r="C90" s="366"/>
      <c r="D90" s="366"/>
      <c r="E90" s="366"/>
    </row>
    <row r="91" spans="1:5" s="96" customFormat="1" ht="12" customHeight="1" thickBot="1">
      <c r="A91" s="394" t="s">
        <v>496</v>
      </c>
      <c r="B91" s="29" t="s">
        <v>26</v>
      </c>
      <c r="C91" s="295">
        <f>SUM(C92:C96)</f>
        <v>3450000</v>
      </c>
      <c r="D91" s="295">
        <f>SUM(D92:D96)</f>
        <v>3450000</v>
      </c>
      <c r="E91" s="295">
        <f>SUM(E92:E96)</f>
        <v>3450000</v>
      </c>
    </row>
    <row r="92" spans="1:5" ht="12" customHeight="1">
      <c r="A92" s="429" t="s">
        <v>579</v>
      </c>
      <c r="B92" s="8" t="s">
        <v>526</v>
      </c>
      <c r="C92" s="297"/>
      <c r="D92" s="297"/>
      <c r="E92" s="297"/>
    </row>
    <row r="93" spans="1:5" ht="12" customHeight="1">
      <c r="A93" s="421" t="s">
        <v>580</v>
      </c>
      <c r="B93" s="6" t="s">
        <v>659</v>
      </c>
      <c r="C93" s="298"/>
      <c r="D93" s="298"/>
      <c r="E93" s="298"/>
    </row>
    <row r="94" spans="1:5" ht="12" customHeight="1">
      <c r="A94" s="421" t="s">
        <v>581</v>
      </c>
      <c r="B94" s="6" t="s">
        <v>616</v>
      </c>
      <c r="C94" s="300"/>
      <c r="D94" s="300"/>
      <c r="E94" s="300"/>
    </row>
    <row r="95" spans="1:5" ht="12" customHeight="1">
      <c r="A95" s="421" t="s">
        <v>582</v>
      </c>
      <c r="B95" s="9" t="s">
        <v>660</v>
      </c>
      <c r="C95" s="300"/>
      <c r="D95" s="300"/>
      <c r="E95" s="300"/>
    </row>
    <row r="96" spans="1:5" ht="12" customHeight="1">
      <c r="A96" s="421" t="s">
        <v>593</v>
      </c>
      <c r="B96" s="17" t="s">
        <v>661</v>
      </c>
      <c r="C96" s="300">
        <v>3450000</v>
      </c>
      <c r="D96" s="300">
        <v>3450000</v>
      </c>
      <c r="E96" s="300">
        <v>3450000</v>
      </c>
    </row>
    <row r="97" spans="1:5" ht="12" customHeight="1">
      <c r="A97" s="421" t="s">
        <v>583</v>
      </c>
      <c r="B97" s="6" t="s">
        <v>27</v>
      </c>
      <c r="C97" s="300"/>
      <c r="D97" s="300"/>
      <c r="E97" s="300"/>
    </row>
    <row r="98" spans="1:5" ht="12" customHeight="1">
      <c r="A98" s="421" t="s">
        <v>584</v>
      </c>
      <c r="B98" s="139" t="s">
        <v>28</v>
      </c>
      <c r="C98" s="300"/>
      <c r="D98" s="300"/>
      <c r="E98" s="300"/>
    </row>
    <row r="99" spans="1:5" ht="12" customHeight="1">
      <c r="A99" s="421" t="s">
        <v>594</v>
      </c>
      <c r="B99" s="140" t="s">
        <v>29</v>
      </c>
      <c r="C99" s="300"/>
      <c r="D99" s="300"/>
      <c r="E99" s="300"/>
    </row>
    <row r="100" spans="1:5" ht="12" customHeight="1">
      <c r="A100" s="421" t="s">
        <v>595</v>
      </c>
      <c r="B100" s="140" t="s">
        <v>30</v>
      </c>
      <c r="C100" s="300"/>
      <c r="D100" s="300"/>
      <c r="E100" s="300"/>
    </row>
    <row r="101" spans="1:5" ht="12" customHeight="1">
      <c r="A101" s="421" t="s">
        <v>596</v>
      </c>
      <c r="B101" s="139" t="s">
        <v>31</v>
      </c>
      <c r="C101" s="300">
        <v>2000000</v>
      </c>
      <c r="D101" s="300">
        <v>2000000</v>
      </c>
      <c r="E101" s="300">
        <v>2000000</v>
      </c>
    </row>
    <row r="102" spans="1:5" ht="12" customHeight="1">
      <c r="A102" s="421" t="s">
        <v>597</v>
      </c>
      <c r="B102" s="139" t="s">
        <v>32</v>
      </c>
      <c r="C102" s="300"/>
      <c r="D102" s="300"/>
      <c r="E102" s="300"/>
    </row>
    <row r="103" spans="1:5" ht="12" customHeight="1">
      <c r="A103" s="421" t="s">
        <v>599</v>
      </c>
      <c r="B103" s="140" t="s">
        <v>33</v>
      </c>
      <c r="C103" s="300"/>
      <c r="D103" s="300"/>
      <c r="E103" s="300"/>
    </row>
    <row r="104" spans="1:5" ht="12" customHeight="1">
      <c r="A104" s="430" t="s">
        <v>662</v>
      </c>
      <c r="B104" s="141" t="s">
        <v>34</v>
      </c>
      <c r="C104" s="300"/>
      <c r="D104" s="300"/>
      <c r="E104" s="300"/>
    </row>
    <row r="105" spans="1:5" ht="12" customHeight="1">
      <c r="A105" s="421" t="s">
        <v>24</v>
      </c>
      <c r="B105" s="141" t="s">
        <v>35</v>
      </c>
      <c r="C105" s="300"/>
      <c r="D105" s="300"/>
      <c r="E105" s="300"/>
    </row>
    <row r="106" spans="1:5" ht="12" customHeight="1" thickBot="1">
      <c r="A106" s="431" t="s">
        <v>25</v>
      </c>
      <c r="B106" s="142" t="s">
        <v>36</v>
      </c>
      <c r="C106" s="303">
        <v>1450000</v>
      </c>
      <c r="D106" s="303">
        <v>1450000</v>
      </c>
      <c r="E106" s="303">
        <v>1450000</v>
      </c>
    </row>
    <row r="107" spans="1:5" ht="12" customHeight="1" thickBot="1">
      <c r="A107" s="30" t="s">
        <v>497</v>
      </c>
      <c r="B107" s="28" t="s">
        <v>37</v>
      </c>
      <c r="C107" s="296">
        <f>+C108+C110+C112</f>
        <v>0</v>
      </c>
      <c r="D107" s="296">
        <f>+D108+D110+D112</f>
        <v>0</v>
      </c>
      <c r="E107" s="296">
        <f>+E108+E110+E112</f>
        <v>0</v>
      </c>
    </row>
    <row r="108" spans="1:5" ht="12" customHeight="1">
      <c r="A108" s="420" t="s">
        <v>585</v>
      </c>
      <c r="B108" s="6" t="s">
        <v>708</v>
      </c>
      <c r="C108" s="299"/>
      <c r="D108" s="299"/>
      <c r="E108" s="299"/>
    </row>
    <row r="109" spans="1:5" ht="12" customHeight="1">
      <c r="A109" s="420" t="s">
        <v>586</v>
      </c>
      <c r="B109" s="10" t="s">
        <v>41</v>
      </c>
      <c r="C109" s="299"/>
      <c r="D109" s="299"/>
      <c r="E109" s="299"/>
    </row>
    <row r="110" spans="1:5" ht="12" customHeight="1">
      <c r="A110" s="420" t="s">
        <v>587</v>
      </c>
      <c r="B110" s="10" t="s">
        <v>663</v>
      </c>
      <c r="C110" s="298"/>
      <c r="D110" s="298"/>
      <c r="E110" s="298"/>
    </row>
    <row r="111" spans="1:5" ht="12" customHeight="1">
      <c r="A111" s="420" t="s">
        <v>588</v>
      </c>
      <c r="B111" s="10" t="s">
        <v>42</v>
      </c>
      <c r="C111" s="269"/>
      <c r="D111" s="269"/>
      <c r="E111" s="269"/>
    </row>
    <row r="112" spans="1:5" ht="12" customHeight="1">
      <c r="A112" s="420" t="s">
        <v>589</v>
      </c>
      <c r="B112" s="293" t="s">
        <v>710</v>
      </c>
      <c r="C112" s="269"/>
      <c r="D112" s="269"/>
      <c r="E112" s="269"/>
    </row>
    <row r="113" spans="1:5" ht="12" customHeight="1">
      <c r="A113" s="420" t="s">
        <v>598</v>
      </c>
      <c r="B113" s="292" t="s">
        <v>155</v>
      </c>
      <c r="C113" s="269"/>
      <c r="D113" s="269"/>
      <c r="E113" s="269"/>
    </row>
    <row r="114" spans="1:5" ht="12" customHeight="1">
      <c r="A114" s="420" t="s">
        <v>600</v>
      </c>
      <c r="B114" s="398" t="s">
        <v>47</v>
      </c>
      <c r="C114" s="269"/>
      <c r="D114" s="269"/>
      <c r="E114" s="269"/>
    </row>
    <row r="115" spans="1:5" ht="12" customHeight="1">
      <c r="A115" s="420" t="s">
        <v>664</v>
      </c>
      <c r="B115" s="140" t="s">
        <v>30</v>
      </c>
      <c r="C115" s="269"/>
      <c r="D115" s="269"/>
      <c r="E115" s="269"/>
    </row>
    <row r="116" spans="1:5" ht="12" customHeight="1">
      <c r="A116" s="420" t="s">
        <v>665</v>
      </c>
      <c r="B116" s="140" t="s">
        <v>46</v>
      </c>
      <c r="C116" s="269"/>
      <c r="D116" s="269"/>
      <c r="E116" s="269"/>
    </row>
    <row r="117" spans="1:5" ht="12" customHeight="1">
      <c r="A117" s="420" t="s">
        <v>666</v>
      </c>
      <c r="B117" s="140" t="s">
        <v>45</v>
      </c>
      <c r="C117" s="269"/>
      <c r="D117" s="269"/>
      <c r="E117" s="269"/>
    </row>
    <row r="118" spans="1:5" ht="12" customHeight="1">
      <c r="A118" s="420" t="s">
        <v>38</v>
      </c>
      <c r="B118" s="140" t="s">
        <v>33</v>
      </c>
      <c r="C118" s="269"/>
      <c r="D118" s="269"/>
      <c r="E118" s="269"/>
    </row>
    <row r="119" spans="1:5" ht="12" customHeight="1">
      <c r="A119" s="420" t="s">
        <v>39</v>
      </c>
      <c r="B119" s="140" t="s">
        <v>44</v>
      </c>
      <c r="C119" s="269"/>
      <c r="D119" s="269"/>
      <c r="E119" s="269"/>
    </row>
    <row r="120" spans="1:5" ht="12" customHeight="1" thickBot="1">
      <c r="A120" s="430" t="s">
        <v>40</v>
      </c>
      <c r="B120" s="140" t="s">
        <v>43</v>
      </c>
      <c r="C120" s="270"/>
      <c r="D120" s="270"/>
      <c r="E120" s="270"/>
    </row>
    <row r="121" spans="1:5" ht="12" customHeight="1" thickBot="1">
      <c r="A121" s="30" t="s">
        <v>498</v>
      </c>
      <c r="B121" s="122" t="s">
        <v>48</v>
      </c>
      <c r="C121" s="296">
        <f>+C122+C123</f>
        <v>0</v>
      </c>
      <c r="D121" s="296">
        <f>+D122+D123</f>
        <v>0</v>
      </c>
      <c r="E121" s="296">
        <f>+E122+E123</f>
        <v>0</v>
      </c>
    </row>
    <row r="122" spans="1:5" ht="12" customHeight="1">
      <c r="A122" s="420" t="s">
        <v>568</v>
      </c>
      <c r="B122" s="7" t="s">
        <v>537</v>
      </c>
      <c r="C122" s="299"/>
      <c r="D122" s="299"/>
      <c r="E122" s="299"/>
    </row>
    <row r="123" spans="1:5" ht="12" customHeight="1" thickBot="1">
      <c r="A123" s="422" t="s">
        <v>569</v>
      </c>
      <c r="B123" s="10" t="s">
        <v>538</v>
      </c>
      <c r="C123" s="300"/>
      <c r="D123" s="300"/>
      <c r="E123" s="300"/>
    </row>
    <row r="124" spans="1:5" ht="12" customHeight="1" thickBot="1">
      <c r="A124" s="30" t="s">
        <v>499</v>
      </c>
      <c r="B124" s="122" t="s">
        <v>49</v>
      </c>
      <c r="C124" s="296">
        <f>+C91+C107+C121</f>
        <v>3450000</v>
      </c>
      <c r="D124" s="296">
        <f>+D91+D107+D121</f>
        <v>3450000</v>
      </c>
      <c r="E124" s="296">
        <f>+E91+E107+E121</f>
        <v>3450000</v>
      </c>
    </row>
    <row r="125" spans="1:5" ht="12" customHeight="1" thickBot="1">
      <c r="A125" s="30" t="s">
        <v>500</v>
      </c>
      <c r="B125" s="122" t="s">
        <v>50</v>
      </c>
      <c r="C125" s="296">
        <f>+C126+C127+C128</f>
        <v>0</v>
      </c>
      <c r="D125" s="296">
        <f>+D126+D127+D128</f>
        <v>0</v>
      </c>
      <c r="E125" s="296">
        <f>+E126+E127+E128</f>
        <v>0</v>
      </c>
    </row>
    <row r="126" spans="1:5" s="96" customFormat="1" ht="12" customHeight="1">
      <c r="A126" s="420" t="s">
        <v>572</v>
      </c>
      <c r="B126" s="7" t="s">
        <v>51</v>
      </c>
      <c r="C126" s="269"/>
      <c r="D126" s="269"/>
      <c r="E126" s="269"/>
    </row>
    <row r="127" spans="1:5" ht="12" customHeight="1">
      <c r="A127" s="420" t="s">
        <v>573</v>
      </c>
      <c r="B127" s="7" t="s">
        <v>52</v>
      </c>
      <c r="C127" s="269"/>
      <c r="D127" s="269"/>
      <c r="E127" s="269"/>
    </row>
    <row r="128" spans="1:5" ht="12" customHeight="1" thickBot="1">
      <c r="A128" s="430" t="s">
        <v>574</v>
      </c>
      <c r="B128" s="5" t="s">
        <v>53</v>
      </c>
      <c r="C128" s="269"/>
      <c r="D128" s="269"/>
      <c r="E128" s="269"/>
    </row>
    <row r="129" spans="1:5" ht="12" customHeight="1" thickBot="1">
      <c r="A129" s="30" t="s">
        <v>501</v>
      </c>
      <c r="B129" s="122" t="s">
        <v>114</v>
      </c>
      <c r="C129" s="296">
        <f>+C130+C131+C132+C133</f>
        <v>0</v>
      </c>
      <c r="D129" s="296">
        <f>+D130+D131+D132+D133</f>
        <v>0</v>
      </c>
      <c r="E129" s="296">
        <f>+E130+E131+E132+E133</f>
        <v>0</v>
      </c>
    </row>
    <row r="130" spans="1:5" ht="12" customHeight="1">
      <c r="A130" s="420" t="s">
        <v>575</v>
      </c>
      <c r="B130" s="7" t="s">
        <v>54</v>
      </c>
      <c r="C130" s="269"/>
      <c r="D130" s="269"/>
      <c r="E130" s="269"/>
    </row>
    <row r="131" spans="1:5" ht="12" customHeight="1">
      <c r="A131" s="420" t="s">
        <v>576</v>
      </c>
      <c r="B131" s="7" t="s">
        <v>55</v>
      </c>
      <c r="C131" s="269"/>
      <c r="D131" s="269"/>
      <c r="E131" s="269"/>
    </row>
    <row r="132" spans="1:5" ht="12" customHeight="1">
      <c r="A132" s="420" t="s">
        <v>781</v>
      </c>
      <c r="B132" s="7" t="s">
        <v>56</v>
      </c>
      <c r="C132" s="269"/>
      <c r="D132" s="269"/>
      <c r="E132" s="269"/>
    </row>
    <row r="133" spans="1:5" s="96" customFormat="1" ht="12" customHeight="1" thickBot="1">
      <c r="A133" s="430" t="s">
        <v>782</v>
      </c>
      <c r="B133" s="5" t="s">
        <v>57</v>
      </c>
      <c r="C133" s="269"/>
      <c r="D133" s="269"/>
      <c r="E133" s="269"/>
    </row>
    <row r="134" spans="1:11" ht="12" customHeight="1" thickBot="1">
      <c r="A134" s="30" t="s">
        <v>502</v>
      </c>
      <c r="B134" s="122" t="s">
        <v>58</v>
      </c>
      <c r="C134" s="302">
        <f>+C135+C136+C137+C138</f>
        <v>0</v>
      </c>
      <c r="D134" s="302">
        <f>+D135+D136+D137+D138</f>
        <v>0</v>
      </c>
      <c r="E134" s="302">
        <f>+E135+E136+E137+E138</f>
        <v>0</v>
      </c>
      <c r="K134" s="252"/>
    </row>
    <row r="135" spans="1:5" ht="12.75">
      <c r="A135" s="420" t="s">
        <v>577</v>
      </c>
      <c r="B135" s="7" t="s">
        <v>59</v>
      </c>
      <c r="C135" s="269"/>
      <c r="D135" s="269"/>
      <c r="E135" s="269"/>
    </row>
    <row r="136" spans="1:5" ht="12" customHeight="1">
      <c r="A136" s="420" t="s">
        <v>578</v>
      </c>
      <c r="B136" s="7" t="s">
        <v>69</v>
      </c>
      <c r="C136" s="269"/>
      <c r="D136" s="269"/>
      <c r="E136" s="269"/>
    </row>
    <row r="137" spans="1:5" s="96" customFormat="1" ht="12" customHeight="1">
      <c r="A137" s="420" t="s">
        <v>793</v>
      </c>
      <c r="B137" s="7" t="s">
        <v>60</v>
      </c>
      <c r="C137" s="269"/>
      <c r="D137" s="269"/>
      <c r="E137" s="269"/>
    </row>
    <row r="138" spans="1:5" s="96" customFormat="1" ht="12" customHeight="1" thickBot="1">
      <c r="A138" s="430" t="s">
        <v>794</v>
      </c>
      <c r="B138" s="5" t="s">
        <v>61</v>
      </c>
      <c r="C138" s="269"/>
      <c r="D138" s="269"/>
      <c r="E138" s="269"/>
    </row>
    <row r="139" spans="1:5" s="96" customFormat="1" ht="12" customHeight="1" thickBot="1">
      <c r="A139" s="30" t="s">
        <v>503</v>
      </c>
      <c r="B139" s="122" t="s">
        <v>62</v>
      </c>
      <c r="C139" s="304">
        <f>+C140+C141+C142+C143</f>
        <v>0</v>
      </c>
      <c r="D139" s="304">
        <f>+D140+D141+D142+D143</f>
        <v>0</v>
      </c>
      <c r="E139" s="304">
        <f>+E140+E141+E142+E143</f>
        <v>0</v>
      </c>
    </row>
    <row r="140" spans="1:5" s="96" customFormat="1" ht="12" customHeight="1">
      <c r="A140" s="420" t="s">
        <v>657</v>
      </c>
      <c r="B140" s="7" t="s">
        <v>63</v>
      </c>
      <c r="C140" s="269"/>
      <c r="D140" s="269"/>
      <c r="E140" s="269"/>
    </row>
    <row r="141" spans="1:5" s="96" customFormat="1" ht="12" customHeight="1">
      <c r="A141" s="420" t="s">
        <v>658</v>
      </c>
      <c r="B141" s="7" t="s">
        <v>64</v>
      </c>
      <c r="C141" s="269"/>
      <c r="D141" s="269"/>
      <c r="E141" s="269"/>
    </row>
    <row r="142" spans="1:5" s="96" customFormat="1" ht="12" customHeight="1">
      <c r="A142" s="420" t="s">
        <v>709</v>
      </c>
      <c r="B142" s="7" t="s">
        <v>65</v>
      </c>
      <c r="C142" s="269"/>
      <c r="D142" s="269"/>
      <c r="E142" s="269"/>
    </row>
    <row r="143" spans="1:5" ht="12.75" customHeight="1" thickBot="1">
      <c r="A143" s="420" t="s">
        <v>796</v>
      </c>
      <c r="B143" s="7" t="s">
        <v>66</v>
      </c>
      <c r="C143" s="269"/>
      <c r="D143" s="269"/>
      <c r="E143" s="269"/>
    </row>
    <row r="144" spans="1:5" ht="12" customHeight="1" thickBot="1">
      <c r="A144" s="30" t="s">
        <v>504</v>
      </c>
      <c r="B144" s="122" t="s">
        <v>67</v>
      </c>
      <c r="C144" s="414">
        <f>+C125+C129+C134+C139</f>
        <v>0</v>
      </c>
      <c r="D144" s="414">
        <f>+D125+D129+D134+D139</f>
        <v>0</v>
      </c>
      <c r="E144" s="414">
        <f>+E125+E129+E134+E139</f>
        <v>0</v>
      </c>
    </row>
    <row r="145" spans="1:5" ht="15" customHeight="1" thickBot="1">
      <c r="A145" s="432" t="s">
        <v>505</v>
      </c>
      <c r="B145" s="375" t="s">
        <v>68</v>
      </c>
      <c r="C145" s="414">
        <f>+C124+C144</f>
        <v>3450000</v>
      </c>
      <c r="D145" s="414">
        <f>+D124+D144</f>
        <v>3450000</v>
      </c>
      <c r="E145" s="414">
        <f>+E124+E144</f>
        <v>3450000</v>
      </c>
    </row>
    <row r="146" spans="1:5" ht="13.5" thickBot="1">
      <c r="A146" s="382"/>
      <c r="B146" s="383"/>
      <c r="C146" s="384"/>
      <c r="D146" s="384"/>
      <c r="E146" s="384"/>
    </row>
    <row r="147" spans="1:5" ht="15" customHeight="1" thickBot="1">
      <c r="A147" s="249" t="s">
        <v>682</v>
      </c>
      <c r="B147" s="250"/>
      <c r="C147" s="119"/>
      <c r="D147" s="119"/>
      <c r="E147" s="119"/>
    </row>
    <row r="148" spans="1:5" ht="14.25" customHeight="1" thickBot="1">
      <c r="A148" s="249" t="s">
        <v>683</v>
      </c>
      <c r="B148" s="250"/>
      <c r="C148" s="119"/>
      <c r="D148" s="119"/>
      <c r="E148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view="pageBreakPreview" zoomScale="60" workbookViewId="0" topLeftCell="A1">
      <selection activeCell="B66" sqref="B66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6" width="25.00390625" style="248" customWidth="1"/>
    <col min="7" max="16384" width="9.375" style="248" customWidth="1"/>
  </cols>
  <sheetData>
    <row r="1" spans="1:6" s="227" customFormat="1" ht="21" customHeight="1" thickBot="1">
      <c r="A1" s="226"/>
      <c r="B1" s="228"/>
      <c r="C1" s="440"/>
      <c r="D1" s="440"/>
      <c r="E1" s="440"/>
      <c r="F1" s="440" t="s">
        <v>883</v>
      </c>
    </row>
    <row r="2" spans="1:6" s="441" customFormat="1" ht="25.5" customHeight="1">
      <c r="A2" s="392" t="s">
        <v>680</v>
      </c>
      <c r="B2" s="354" t="s">
        <v>163</v>
      </c>
      <c r="C2" s="369"/>
      <c r="D2" s="369"/>
      <c r="E2" s="369"/>
      <c r="F2" s="369" t="s">
        <v>539</v>
      </c>
    </row>
    <row r="3" spans="1:6" s="441" customFormat="1" ht="24.75" thickBot="1">
      <c r="A3" s="433" t="s">
        <v>679</v>
      </c>
      <c r="B3" s="355" t="s">
        <v>120</v>
      </c>
      <c r="C3" s="370"/>
      <c r="D3" s="370"/>
      <c r="E3" s="370"/>
      <c r="F3" s="370" t="s">
        <v>530</v>
      </c>
    </row>
    <row r="4" spans="1:6" s="442" customFormat="1" ht="15.75" customHeight="1" thickBot="1">
      <c r="A4" s="230"/>
      <c r="B4" s="230"/>
      <c r="C4" s="231"/>
      <c r="D4" s="231"/>
      <c r="E4" s="231"/>
      <c r="F4" s="231"/>
    </row>
    <row r="5" spans="1:6" ht="13.5" thickBot="1">
      <c r="A5" s="393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  <c r="F5" s="233" t="s">
        <v>532</v>
      </c>
    </row>
    <row r="6" spans="1:6" s="443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  <c r="F6" s="201">
        <v>5</v>
      </c>
    </row>
    <row r="7" spans="1:6" s="443" customFormat="1" ht="15.75" customHeight="1" thickBot="1">
      <c r="A7" s="234"/>
      <c r="B7" s="235" t="s">
        <v>533</v>
      </c>
      <c r="C7" s="236"/>
      <c r="D7" s="236"/>
      <c r="E7" s="236"/>
      <c r="F7" s="236"/>
    </row>
    <row r="8" spans="1:6" s="371" customFormat="1" ht="12" customHeight="1" thickBot="1">
      <c r="A8" s="199" t="s">
        <v>496</v>
      </c>
      <c r="B8" s="237" t="s">
        <v>121</v>
      </c>
      <c r="C8" s="314">
        <f>SUM(C9:C18)</f>
        <v>3000000</v>
      </c>
      <c r="D8" s="314">
        <f>SUM(D9:D18)</f>
        <v>3000000</v>
      </c>
      <c r="E8" s="314">
        <f>SUM(E9:E18)</f>
        <v>3000000</v>
      </c>
      <c r="F8" s="314">
        <f>SUM(F9:F18)</f>
        <v>3275200</v>
      </c>
    </row>
    <row r="9" spans="1:6" s="371" customFormat="1" ht="12" customHeight="1">
      <c r="A9" s="434" t="s">
        <v>579</v>
      </c>
      <c r="B9" s="8" t="s">
        <v>770</v>
      </c>
      <c r="C9" s="360"/>
      <c r="D9" s="360"/>
      <c r="E9" s="360"/>
      <c r="F9" s="360"/>
    </row>
    <row r="10" spans="1:6" s="371" customFormat="1" ht="12" customHeight="1">
      <c r="A10" s="435" t="s">
        <v>580</v>
      </c>
      <c r="B10" s="6" t="s">
        <v>771</v>
      </c>
      <c r="C10" s="312">
        <v>3000000</v>
      </c>
      <c r="D10" s="312">
        <v>3000000</v>
      </c>
      <c r="E10" s="312">
        <v>3000000</v>
      </c>
      <c r="F10" s="312">
        <v>3275000</v>
      </c>
    </row>
    <row r="11" spans="1:6" s="371" customFormat="1" ht="12" customHeight="1">
      <c r="A11" s="435" t="s">
        <v>581</v>
      </c>
      <c r="B11" s="6" t="s">
        <v>772</v>
      </c>
      <c r="C11" s="312"/>
      <c r="D11" s="312"/>
      <c r="E11" s="312"/>
      <c r="F11" s="312"/>
    </row>
    <row r="12" spans="1:6" s="371" customFormat="1" ht="12" customHeight="1">
      <c r="A12" s="435" t="s">
        <v>582</v>
      </c>
      <c r="B12" s="6" t="s">
        <v>773</v>
      </c>
      <c r="C12" s="312"/>
      <c r="D12" s="312"/>
      <c r="E12" s="312"/>
      <c r="F12" s="312"/>
    </row>
    <row r="13" spans="1:6" s="371" customFormat="1" ht="12" customHeight="1">
      <c r="A13" s="435" t="s">
        <v>624</v>
      </c>
      <c r="B13" s="6" t="s">
        <v>774</v>
      </c>
      <c r="C13" s="312"/>
      <c r="D13" s="312"/>
      <c r="E13" s="312"/>
      <c r="F13" s="312"/>
    </row>
    <row r="14" spans="1:6" s="371" customFormat="1" ht="12" customHeight="1">
      <c r="A14" s="435" t="s">
        <v>583</v>
      </c>
      <c r="B14" s="6" t="s">
        <v>122</v>
      </c>
      <c r="C14" s="312"/>
      <c r="D14" s="312"/>
      <c r="E14" s="312"/>
      <c r="F14" s="312"/>
    </row>
    <row r="15" spans="1:6" s="371" customFormat="1" ht="12" customHeight="1">
      <c r="A15" s="435" t="s">
        <v>584</v>
      </c>
      <c r="B15" s="5" t="s">
        <v>123</v>
      </c>
      <c r="C15" s="312"/>
      <c r="D15" s="312"/>
      <c r="E15" s="312"/>
      <c r="F15" s="312"/>
    </row>
    <row r="16" spans="1:6" s="371" customFormat="1" ht="12" customHeight="1">
      <c r="A16" s="435" t="s">
        <v>594</v>
      </c>
      <c r="B16" s="6" t="s">
        <v>777</v>
      </c>
      <c r="C16" s="361"/>
      <c r="D16" s="361"/>
      <c r="E16" s="361"/>
      <c r="F16" s="361">
        <v>100</v>
      </c>
    </row>
    <row r="17" spans="1:6" s="444" customFormat="1" ht="12" customHeight="1">
      <c r="A17" s="435" t="s">
        <v>595</v>
      </c>
      <c r="B17" s="6" t="s">
        <v>778</v>
      </c>
      <c r="C17" s="312"/>
      <c r="D17" s="312"/>
      <c r="E17" s="312"/>
      <c r="F17" s="312"/>
    </row>
    <row r="18" spans="1:6" s="444" customFormat="1" ht="12" customHeight="1" thickBot="1">
      <c r="A18" s="435" t="s">
        <v>596</v>
      </c>
      <c r="B18" s="5" t="s">
        <v>779</v>
      </c>
      <c r="C18" s="313"/>
      <c r="D18" s="313"/>
      <c r="E18" s="313"/>
      <c r="F18" s="313">
        <v>100</v>
      </c>
    </row>
    <row r="19" spans="1:6" s="371" customFormat="1" ht="12" customHeight="1" thickBot="1">
      <c r="A19" s="199" t="s">
        <v>497</v>
      </c>
      <c r="B19" s="237" t="s">
        <v>124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</row>
    <row r="20" spans="1:6" s="444" customFormat="1" ht="12" customHeight="1">
      <c r="A20" s="435" t="s">
        <v>585</v>
      </c>
      <c r="B20" s="7" t="s">
        <v>745</v>
      </c>
      <c r="C20" s="312"/>
      <c r="D20" s="312"/>
      <c r="E20" s="312"/>
      <c r="F20" s="312"/>
    </row>
    <row r="21" spans="1:6" s="444" customFormat="1" ht="12" customHeight="1">
      <c r="A21" s="435" t="s">
        <v>586</v>
      </c>
      <c r="B21" s="6" t="s">
        <v>125</v>
      </c>
      <c r="C21" s="312"/>
      <c r="D21" s="312"/>
      <c r="E21" s="312"/>
      <c r="F21" s="312"/>
    </row>
    <row r="22" spans="1:6" s="444" customFormat="1" ht="12" customHeight="1">
      <c r="A22" s="435" t="s">
        <v>587</v>
      </c>
      <c r="B22" s="6" t="s">
        <v>126</v>
      </c>
      <c r="C22" s="312"/>
      <c r="D22" s="312"/>
      <c r="E22" s="312"/>
      <c r="F22" s="312"/>
    </row>
    <row r="23" spans="1:6" s="444" customFormat="1" ht="12" customHeight="1" thickBot="1">
      <c r="A23" s="435" t="s">
        <v>588</v>
      </c>
      <c r="B23" s="6" t="s">
        <v>480</v>
      </c>
      <c r="C23" s="312"/>
      <c r="D23" s="312"/>
      <c r="E23" s="312"/>
      <c r="F23" s="312"/>
    </row>
    <row r="24" spans="1:6" s="444" customFormat="1" ht="12" customHeight="1" thickBot="1">
      <c r="A24" s="207" t="s">
        <v>498</v>
      </c>
      <c r="B24" s="122" t="s">
        <v>650</v>
      </c>
      <c r="C24" s="340"/>
      <c r="D24" s="340"/>
      <c r="E24" s="340"/>
      <c r="F24" s="340"/>
    </row>
    <row r="25" spans="1:6" s="444" customFormat="1" ht="12" customHeight="1" thickBot="1">
      <c r="A25" s="207" t="s">
        <v>499</v>
      </c>
      <c r="B25" s="122" t="s">
        <v>127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</row>
    <row r="26" spans="1:6" s="444" customFormat="1" ht="12" customHeight="1">
      <c r="A26" s="436" t="s">
        <v>755</v>
      </c>
      <c r="B26" s="437" t="s">
        <v>125</v>
      </c>
      <c r="C26" s="76"/>
      <c r="D26" s="76"/>
      <c r="E26" s="76"/>
      <c r="F26" s="76"/>
    </row>
    <row r="27" spans="1:6" s="444" customFormat="1" ht="12" customHeight="1">
      <c r="A27" s="436" t="s">
        <v>758</v>
      </c>
      <c r="B27" s="438" t="s">
        <v>128</v>
      </c>
      <c r="C27" s="315"/>
      <c r="D27" s="315"/>
      <c r="E27" s="315"/>
      <c r="F27" s="315"/>
    </row>
    <row r="28" spans="1:6" s="444" customFormat="1" ht="12" customHeight="1" thickBot="1">
      <c r="A28" s="435" t="s">
        <v>759</v>
      </c>
      <c r="B28" s="439" t="s">
        <v>129</v>
      </c>
      <c r="C28" s="83"/>
      <c r="D28" s="83"/>
      <c r="E28" s="83"/>
      <c r="F28" s="83"/>
    </row>
    <row r="29" spans="1:6" s="444" customFormat="1" ht="12" customHeight="1" thickBot="1">
      <c r="A29" s="207" t="s">
        <v>500</v>
      </c>
      <c r="B29" s="122" t="s">
        <v>130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</row>
    <row r="30" spans="1:6" s="444" customFormat="1" ht="12" customHeight="1">
      <c r="A30" s="436" t="s">
        <v>572</v>
      </c>
      <c r="B30" s="437" t="s">
        <v>784</v>
      </c>
      <c r="C30" s="76"/>
      <c r="D30" s="76"/>
      <c r="E30" s="76"/>
      <c r="F30" s="76"/>
    </row>
    <row r="31" spans="1:6" s="444" customFormat="1" ht="12" customHeight="1">
      <c r="A31" s="436" t="s">
        <v>573</v>
      </c>
      <c r="B31" s="438" t="s">
        <v>785</v>
      </c>
      <c r="C31" s="315"/>
      <c r="D31" s="315"/>
      <c r="E31" s="315"/>
      <c r="F31" s="315"/>
    </row>
    <row r="32" spans="1:6" s="444" customFormat="1" ht="12" customHeight="1" thickBot="1">
      <c r="A32" s="435" t="s">
        <v>574</v>
      </c>
      <c r="B32" s="138" t="s">
        <v>786</v>
      </c>
      <c r="C32" s="83"/>
      <c r="D32" s="83"/>
      <c r="E32" s="83"/>
      <c r="F32" s="83"/>
    </row>
    <row r="33" spans="1:6" s="371" customFormat="1" ht="12" customHeight="1" thickBot="1">
      <c r="A33" s="207" t="s">
        <v>501</v>
      </c>
      <c r="B33" s="122" t="s">
        <v>75</v>
      </c>
      <c r="C33" s="340"/>
      <c r="D33" s="340"/>
      <c r="E33" s="340"/>
      <c r="F33" s="340"/>
    </row>
    <row r="34" spans="1:6" s="371" customFormat="1" ht="12" customHeight="1" thickBot="1">
      <c r="A34" s="207" t="s">
        <v>502</v>
      </c>
      <c r="B34" s="122" t="s">
        <v>131</v>
      </c>
      <c r="C34" s="362"/>
      <c r="D34" s="362"/>
      <c r="E34" s="362"/>
      <c r="F34" s="362"/>
    </row>
    <row r="35" spans="1:6" s="371" customFormat="1" ht="12" customHeight="1" thickBot="1">
      <c r="A35" s="199" t="s">
        <v>503</v>
      </c>
      <c r="B35" s="122" t="s">
        <v>132</v>
      </c>
      <c r="C35" s="363">
        <f>+C8+C19+C24+C25+C29+C33+C34</f>
        <v>3000000</v>
      </c>
      <c r="D35" s="363">
        <f>+D8+D19+D24+D25+D29+D33+D34</f>
        <v>3000000</v>
      </c>
      <c r="E35" s="363">
        <f>+E8+E19+E24+E25+E29+E33+E34</f>
        <v>3000000</v>
      </c>
      <c r="F35" s="363">
        <f>+F8+F19+F24+F25+F29+F33+F34</f>
        <v>3275200</v>
      </c>
    </row>
    <row r="36" spans="1:6" s="371" customFormat="1" ht="12" customHeight="1" thickBot="1">
      <c r="A36" s="238" t="s">
        <v>504</v>
      </c>
      <c r="B36" s="122" t="s">
        <v>133</v>
      </c>
      <c r="C36" s="363">
        <f>+C37+C38+C39</f>
        <v>99877528</v>
      </c>
      <c r="D36" s="363">
        <f>+D37+D38+D39</f>
        <v>99909736</v>
      </c>
      <c r="E36" s="363">
        <f>+E37+E38+E39</f>
        <v>99909736</v>
      </c>
      <c r="F36" s="363">
        <f>+F37+F38+F39</f>
        <v>99909736</v>
      </c>
    </row>
    <row r="37" spans="1:6" s="371" customFormat="1" ht="12" customHeight="1">
      <c r="A37" s="436" t="s">
        <v>134</v>
      </c>
      <c r="B37" s="437" t="s">
        <v>717</v>
      </c>
      <c r="C37" s="76"/>
      <c r="D37" s="76">
        <v>210000</v>
      </c>
      <c r="E37" s="76">
        <v>210000</v>
      </c>
      <c r="F37" s="76">
        <v>210000</v>
      </c>
    </row>
    <row r="38" spans="1:6" s="371" customFormat="1" ht="12" customHeight="1">
      <c r="A38" s="436" t="s">
        <v>135</v>
      </c>
      <c r="B38" s="438" t="s">
        <v>481</v>
      </c>
      <c r="C38" s="315"/>
      <c r="D38" s="315"/>
      <c r="E38" s="315"/>
      <c r="F38" s="315"/>
    </row>
    <row r="39" spans="1:6" s="444" customFormat="1" ht="12" customHeight="1" thickBot="1">
      <c r="A39" s="435" t="s">
        <v>136</v>
      </c>
      <c r="B39" s="138" t="s">
        <v>137</v>
      </c>
      <c r="C39" s="994">
        <v>99877528</v>
      </c>
      <c r="D39" s="994">
        <v>99699736</v>
      </c>
      <c r="E39" s="994">
        <v>99699736</v>
      </c>
      <c r="F39" s="994">
        <v>99699736</v>
      </c>
    </row>
    <row r="40" spans="1:6" s="444" customFormat="1" ht="15" customHeight="1" thickBot="1">
      <c r="A40" s="238" t="s">
        <v>505</v>
      </c>
      <c r="B40" s="239" t="s">
        <v>138</v>
      </c>
      <c r="C40" s="366">
        <f>+C35+C36</f>
        <v>102877528</v>
      </c>
      <c r="D40" s="366">
        <f>+D35+D36</f>
        <v>102909736</v>
      </c>
      <c r="E40" s="366">
        <f>+E35+E36</f>
        <v>102909736</v>
      </c>
      <c r="F40" s="366">
        <f>+F35+F36</f>
        <v>103184936</v>
      </c>
    </row>
    <row r="41" spans="1:6" s="444" customFormat="1" ht="15" customHeight="1">
      <c r="A41" s="240"/>
      <c r="B41" s="241"/>
      <c r="C41" s="364"/>
      <c r="D41" s="364"/>
      <c r="E41" s="364"/>
      <c r="F41" s="364"/>
    </row>
    <row r="42" spans="1:6" ht="13.5" thickBot="1">
      <c r="A42" s="242"/>
      <c r="B42" s="243"/>
      <c r="C42" s="365"/>
      <c r="D42" s="365"/>
      <c r="E42" s="365"/>
      <c r="F42" s="365"/>
    </row>
    <row r="43" spans="1:6" s="443" customFormat="1" ht="16.5" customHeight="1" thickBot="1">
      <c r="A43" s="244"/>
      <c r="B43" s="245" t="s">
        <v>535</v>
      </c>
      <c r="C43" s="366"/>
      <c r="D43" s="366"/>
      <c r="E43" s="366"/>
      <c r="F43" s="366"/>
    </row>
    <row r="44" spans="1:6" s="445" customFormat="1" ht="12" customHeight="1" thickBot="1">
      <c r="A44" s="207" t="s">
        <v>496</v>
      </c>
      <c r="B44" s="122" t="s">
        <v>139</v>
      </c>
      <c r="C44" s="314">
        <f>SUM(C45:C49)</f>
        <v>102877528</v>
      </c>
      <c r="D44" s="314">
        <f>SUM(D45:D49)</f>
        <v>102909736</v>
      </c>
      <c r="E44" s="314">
        <f>SUM(E45:E49)</f>
        <v>102909736</v>
      </c>
      <c r="F44" s="314">
        <f>SUM(F45:F49)</f>
        <v>103184936</v>
      </c>
    </row>
    <row r="45" spans="1:6" ht="12" customHeight="1">
      <c r="A45" s="435" t="s">
        <v>579</v>
      </c>
      <c r="B45" s="7" t="s">
        <v>526</v>
      </c>
      <c r="C45" s="79">
        <v>71069000</v>
      </c>
      <c r="D45" s="79">
        <v>68095400</v>
      </c>
      <c r="E45" s="79">
        <v>68095400</v>
      </c>
      <c r="F45" s="79">
        <v>67095400</v>
      </c>
    </row>
    <row r="46" spans="1:6" ht="12" customHeight="1">
      <c r="A46" s="435" t="s">
        <v>580</v>
      </c>
      <c r="B46" s="6" t="s">
        <v>659</v>
      </c>
      <c r="C46" s="79">
        <v>15918528</v>
      </c>
      <c r="D46" s="79">
        <v>15924336</v>
      </c>
      <c r="E46" s="79">
        <v>15924336</v>
      </c>
      <c r="F46" s="79">
        <v>15924336</v>
      </c>
    </row>
    <row r="47" spans="1:6" ht="12" customHeight="1">
      <c r="A47" s="435" t="s">
        <v>581</v>
      </c>
      <c r="B47" s="6" t="s">
        <v>616</v>
      </c>
      <c r="C47" s="79">
        <v>15890000</v>
      </c>
      <c r="D47" s="79">
        <v>18890000</v>
      </c>
      <c r="E47" s="79">
        <v>18890000</v>
      </c>
      <c r="F47" s="79">
        <v>20165200</v>
      </c>
    </row>
    <row r="48" spans="1:6" ht="12" customHeight="1">
      <c r="A48" s="435" t="s">
        <v>582</v>
      </c>
      <c r="B48" s="6" t="s">
        <v>660</v>
      </c>
      <c r="C48" s="79"/>
      <c r="D48" s="79"/>
      <c r="E48" s="79"/>
      <c r="F48" s="79"/>
    </row>
    <row r="49" spans="1:6" ht="12" customHeight="1" thickBot="1">
      <c r="A49" s="435" t="s">
        <v>624</v>
      </c>
      <c r="B49" s="6" t="s">
        <v>661</v>
      </c>
      <c r="C49" s="79"/>
      <c r="D49" s="79"/>
      <c r="E49" s="79"/>
      <c r="F49" s="79"/>
    </row>
    <row r="50" spans="1:6" ht="12" customHeight="1" thickBot="1">
      <c r="A50" s="207" t="s">
        <v>497</v>
      </c>
      <c r="B50" s="122" t="s">
        <v>140</v>
      </c>
      <c r="C50" s="314">
        <f>SUM(C51:C53)</f>
        <v>0</v>
      </c>
      <c r="D50" s="314">
        <f>SUM(D51:D53)</f>
        <v>0</v>
      </c>
      <c r="E50" s="314">
        <f>SUM(E51:E53)</f>
        <v>0</v>
      </c>
      <c r="F50" s="314">
        <f>SUM(F51:F53)</f>
        <v>0</v>
      </c>
    </row>
    <row r="51" spans="1:6" s="445" customFormat="1" ht="12" customHeight="1">
      <c r="A51" s="435" t="s">
        <v>585</v>
      </c>
      <c r="B51" s="7" t="s">
        <v>708</v>
      </c>
      <c r="C51" s="76"/>
      <c r="D51" s="76"/>
      <c r="E51" s="76"/>
      <c r="F51" s="76"/>
    </row>
    <row r="52" spans="1:6" ht="12" customHeight="1">
      <c r="A52" s="435" t="s">
        <v>586</v>
      </c>
      <c r="B52" s="6" t="s">
        <v>663</v>
      </c>
      <c r="C52" s="79"/>
      <c r="D52" s="79"/>
      <c r="E52" s="79"/>
      <c r="F52" s="79"/>
    </row>
    <row r="53" spans="1:6" ht="12" customHeight="1">
      <c r="A53" s="435" t="s">
        <v>587</v>
      </c>
      <c r="B53" s="6" t="s">
        <v>536</v>
      </c>
      <c r="C53" s="79"/>
      <c r="D53" s="79"/>
      <c r="E53" s="79"/>
      <c r="F53" s="79"/>
    </row>
    <row r="54" spans="1:6" ht="12" customHeight="1" thickBot="1">
      <c r="A54" s="435" t="s">
        <v>588</v>
      </c>
      <c r="B54" s="6" t="s">
        <v>482</v>
      </c>
      <c r="C54" s="79"/>
      <c r="D54" s="79"/>
      <c r="E54" s="79"/>
      <c r="F54" s="79"/>
    </row>
    <row r="55" spans="1:6" ht="15" customHeight="1" thickBot="1">
      <c r="A55" s="207" t="s">
        <v>498</v>
      </c>
      <c r="B55" s="246" t="s">
        <v>141</v>
      </c>
      <c r="C55" s="367">
        <f>+C44+C50</f>
        <v>102877528</v>
      </c>
      <c r="D55" s="367">
        <f>+D44+D50</f>
        <v>102909736</v>
      </c>
      <c r="E55" s="367">
        <f>+E44+E50</f>
        <v>102909736</v>
      </c>
      <c r="F55" s="367">
        <f>+F44+F50</f>
        <v>103184936</v>
      </c>
    </row>
    <row r="56" spans="3:6" ht="13.5" thickBot="1">
      <c r="C56" s="368"/>
      <c r="D56" s="368"/>
      <c r="E56" s="368"/>
      <c r="F56" s="368"/>
    </row>
    <row r="57" spans="1:6" ht="15" customHeight="1" thickBot="1">
      <c r="A57" s="249" t="s">
        <v>682</v>
      </c>
      <c r="B57" s="250"/>
      <c r="C57" s="119">
        <v>21</v>
      </c>
      <c r="D57" s="119">
        <v>21</v>
      </c>
      <c r="E57" s="119">
        <v>21</v>
      </c>
      <c r="F57" s="119">
        <v>21</v>
      </c>
    </row>
    <row r="58" spans="1:6" ht="14.25" customHeight="1" thickBot="1">
      <c r="A58" s="249" t="s">
        <v>683</v>
      </c>
      <c r="B58" s="250"/>
      <c r="C58" s="119"/>
      <c r="D58" s="119"/>
      <c r="E58" s="119"/>
      <c r="F58" s="119"/>
    </row>
    <row r="59" spans="1:2" ht="12.75">
      <c r="A59" s="1159" t="s">
        <v>899</v>
      </c>
      <c r="B59" s="1160"/>
    </row>
  </sheetData>
  <sheetProtection formatCells="0"/>
  <mergeCells count="1">
    <mergeCell ref="A59:B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view="pageBreakPreview" zoomScale="60" workbookViewId="0" topLeftCell="A1">
      <selection activeCell="F48" sqref="F48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6" width="25.00390625" style="248" customWidth="1"/>
    <col min="7" max="16384" width="9.375" style="248" customWidth="1"/>
  </cols>
  <sheetData>
    <row r="1" spans="1:6" s="227" customFormat="1" ht="21" customHeight="1" thickBot="1">
      <c r="A1" s="226"/>
      <c r="B1" s="228"/>
      <c r="C1" s="440"/>
      <c r="D1" s="440"/>
      <c r="E1" s="440"/>
      <c r="F1" s="440" t="s">
        <v>883</v>
      </c>
    </row>
    <row r="2" spans="1:6" s="441" customFormat="1" ht="25.5" customHeight="1">
      <c r="A2" s="392" t="s">
        <v>680</v>
      </c>
      <c r="B2" s="354" t="s">
        <v>163</v>
      </c>
      <c r="C2" s="369"/>
      <c r="D2" s="369"/>
      <c r="E2" s="369"/>
      <c r="F2" s="369" t="s">
        <v>539</v>
      </c>
    </row>
    <row r="3" spans="1:6" s="441" customFormat="1" ht="24.75" thickBot="1">
      <c r="A3" s="433" t="s">
        <v>679</v>
      </c>
      <c r="B3" s="355" t="s">
        <v>143</v>
      </c>
      <c r="C3" s="370"/>
      <c r="D3" s="370"/>
      <c r="E3" s="370"/>
      <c r="F3" s="370" t="s">
        <v>539</v>
      </c>
    </row>
    <row r="4" spans="1:6" s="442" customFormat="1" ht="15.75" customHeight="1" thickBot="1">
      <c r="A4" s="230"/>
      <c r="B4" s="230"/>
      <c r="C4" s="231"/>
      <c r="D4" s="231"/>
      <c r="E4" s="231"/>
      <c r="F4" s="231"/>
    </row>
    <row r="5" spans="1:6" ht="13.5" thickBot="1">
      <c r="A5" s="393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  <c r="F5" s="233" t="s">
        <v>532</v>
      </c>
    </row>
    <row r="6" spans="1:6" s="443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  <c r="F6" s="201">
        <v>6</v>
      </c>
    </row>
    <row r="7" spans="1:6" s="443" customFormat="1" ht="15.75" customHeight="1" thickBot="1">
      <c r="A7" s="234"/>
      <c r="B7" s="235" t="s">
        <v>533</v>
      </c>
      <c r="C7" s="236"/>
      <c r="D7" s="236"/>
      <c r="E7" s="236"/>
      <c r="F7" s="236"/>
    </row>
    <row r="8" spans="1:6" s="371" customFormat="1" ht="12" customHeight="1" thickBot="1">
      <c r="A8" s="199" t="s">
        <v>496</v>
      </c>
      <c r="B8" s="237" t="s">
        <v>121</v>
      </c>
      <c r="C8" s="314">
        <f>SUM(C9:C18)</f>
        <v>3000000</v>
      </c>
      <c r="D8" s="314">
        <f>SUM(D9:D18)</f>
        <v>3000000</v>
      </c>
      <c r="E8" s="314">
        <f>SUM(E9:E18)</f>
        <v>3000000</v>
      </c>
      <c r="F8" s="314">
        <f>SUM(F9:F18)</f>
        <v>3275200</v>
      </c>
    </row>
    <row r="9" spans="1:6" s="371" customFormat="1" ht="12" customHeight="1">
      <c r="A9" s="434" t="s">
        <v>579</v>
      </c>
      <c r="B9" s="8" t="s">
        <v>770</v>
      </c>
      <c r="C9" s="360"/>
      <c r="D9" s="360"/>
      <c r="E9" s="360"/>
      <c r="F9" s="360"/>
    </row>
    <row r="10" spans="1:6" s="371" customFormat="1" ht="12" customHeight="1">
      <c r="A10" s="435" t="s">
        <v>580</v>
      </c>
      <c r="B10" s="6" t="s">
        <v>771</v>
      </c>
      <c r="C10" s="312">
        <v>3000000</v>
      </c>
      <c r="D10" s="312">
        <v>3000000</v>
      </c>
      <c r="E10" s="312">
        <v>3000000</v>
      </c>
      <c r="F10" s="312">
        <v>3275000</v>
      </c>
    </row>
    <row r="11" spans="1:6" s="371" customFormat="1" ht="12" customHeight="1">
      <c r="A11" s="435" t="s">
        <v>581</v>
      </c>
      <c r="B11" s="6" t="s">
        <v>772</v>
      </c>
      <c r="C11" s="312"/>
      <c r="D11" s="312"/>
      <c r="E11" s="312"/>
      <c r="F11" s="312"/>
    </row>
    <row r="12" spans="1:6" s="371" customFormat="1" ht="12" customHeight="1">
      <c r="A12" s="435" t="s">
        <v>582</v>
      </c>
      <c r="B12" s="6" t="s">
        <v>773</v>
      </c>
      <c r="C12" s="312"/>
      <c r="D12" s="312"/>
      <c r="E12" s="312"/>
      <c r="F12" s="312"/>
    </row>
    <row r="13" spans="1:6" s="371" customFormat="1" ht="12" customHeight="1">
      <c r="A13" s="435" t="s">
        <v>624</v>
      </c>
      <c r="B13" s="6" t="s">
        <v>774</v>
      </c>
      <c r="C13" s="312"/>
      <c r="D13" s="312"/>
      <c r="E13" s="312"/>
      <c r="F13" s="312"/>
    </row>
    <row r="14" spans="1:6" s="371" customFormat="1" ht="12" customHeight="1">
      <c r="A14" s="435" t="s">
        <v>583</v>
      </c>
      <c r="B14" s="6" t="s">
        <v>122</v>
      </c>
      <c r="C14" s="312"/>
      <c r="D14" s="312"/>
      <c r="E14" s="312"/>
      <c r="F14" s="312"/>
    </row>
    <row r="15" spans="1:6" s="371" customFormat="1" ht="12" customHeight="1">
      <c r="A15" s="435" t="s">
        <v>584</v>
      </c>
      <c r="B15" s="5" t="s">
        <v>123</v>
      </c>
      <c r="C15" s="312"/>
      <c r="D15" s="312"/>
      <c r="E15" s="312"/>
      <c r="F15" s="312"/>
    </row>
    <row r="16" spans="1:6" s="371" customFormat="1" ht="12" customHeight="1">
      <c r="A16" s="435" t="s">
        <v>594</v>
      </c>
      <c r="B16" s="6" t="s">
        <v>777</v>
      </c>
      <c r="C16" s="361"/>
      <c r="D16" s="361"/>
      <c r="E16" s="361"/>
      <c r="F16" s="361">
        <v>100</v>
      </c>
    </row>
    <row r="17" spans="1:6" s="444" customFormat="1" ht="12" customHeight="1">
      <c r="A17" s="435" t="s">
        <v>595</v>
      </c>
      <c r="B17" s="6" t="s">
        <v>778</v>
      </c>
      <c r="C17" s="312"/>
      <c r="D17" s="312"/>
      <c r="E17" s="312"/>
      <c r="F17" s="312"/>
    </row>
    <row r="18" spans="1:6" s="444" customFormat="1" ht="12" customHeight="1" thickBot="1">
      <c r="A18" s="435" t="s">
        <v>596</v>
      </c>
      <c r="B18" s="5" t="s">
        <v>779</v>
      </c>
      <c r="C18" s="313"/>
      <c r="D18" s="313"/>
      <c r="E18" s="313"/>
      <c r="F18" s="313">
        <v>100</v>
      </c>
    </row>
    <row r="19" spans="1:6" s="371" customFormat="1" ht="12" customHeight="1" thickBot="1">
      <c r="A19" s="199" t="s">
        <v>497</v>
      </c>
      <c r="B19" s="237" t="s">
        <v>124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</row>
    <row r="20" spans="1:6" s="444" customFormat="1" ht="12" customHeight="1">
      <c r="A20" s="435" t="s">
        <v>585</v>
      </c>
      <c r="B20" s="7" t="s">
        <v>745</v>
      </c>
      <c r="C20" s="312"/>
      <c r="D20" s="312"/>
      <c r="E20" s="312"/>
      <c r="F20" s="312"/>
    </row>
    <row r="21" spans="1:6" s="444" customFormat="1" ht="12" customHeight="1">
      <c r="A21" s="435" t="s">
        <v>586</v>
      </c>
      <c r="B21" s="6" t="s">
        <v>125</v>
      </c>
      <c r="C21" s="312"/>
      <c r="D21" s="312"/>
      <c r="E21" s="312"/>
      <c r="F21" s="312"/>
    </row>
    <row r="22" spans="1:6" s="444" customFormat="1" ht="12" customHeight="1">
      <c r="A22" s="435" t="s">
        <v>587</v>
      </c>
      <c r="B22" s="6" t="s">
        <v>126</v>
      </c>
      <c r="C22" s="312"/>
      <c r="D22" s="312"/>
      <c r="E22" s="312"/>
      <c r="F22" s="312"/>
    </row>
    <row r="23" spans="1:6" s="444" customFormat="1" ht="12" customHeight="1" thickBot="1">
      <c r="A23" s="435" t="s">
        <v>588</v>
      </c>
      <c r="B23" s="6" t="s">
        <v>480</v>
      </c>
      <c r="C23" s="312"/>
      <c r="D23" s="312"/>
      <c r="E23" s="312"/>
      <c r="F23" s="312"/>
    </row>
    <row r="24" spans="1:6" s="444" customFormat="1" ht="12" customHeight="1" thickBot="1">
      <c r="A24" s="207" t="s">
        <v>498</v>
      </c>
      <c r="B24" s="122" t="s">
        <v>650</v>
      </c>
      <c r="C24" s="340"/>
      <c r="D24" s="340"/>
      <c r="E24" s="340"/>
      <c r="F24" s="340"/>
    </row>
    <row r="25" spans="1:6" s="444" customFormat="1" ht="12" customHeight="1" thickBot="1">
      <c r="A25" s="207" t="s">
        <v>499</v>
      </c>
      <c r="B25" s="122" t="s">
        <v>127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</row>
    <row r="26" spans="1:6" s="444" customFormat="1" ht="12" customHeight="1">
      <c r="A26" s="436" t="s">
        <v>755</v>
      </c>
      <c r="B26" s="437" t="s">
        <v>125</v>
      </c>
      <c r="C26" s="76"/>
      <c r="D26" s="76"/>
      <c r="E26" s="76"/>
      <c r="F26" s="76"/>
    </row>
    <row r="27" spans="1:6" s="444" customFormat="1" ht="12" customHeight="1">
      <c r="A27" s="436" t="s">
        <v>758</v>
      </c>
      <c r="B27" s="438" t="s">
        <v>128</v>
      </c>
      <c r="C27" s="315"/>
      <c r="D27" s="315"/>
      <c r="E27" s="315"/>
      <c r="F27" s="315"/>
    </row>
    <row r="28" spans="1:6" s="444" customFormat="1" ht="12" customHeight="1" thickBot="1">
      <c r="A28" s="435" t="s">
        <v>759</v>
      </c>
      <c r="B28" s="439" t="s">
        <v>129</v>
      </c>
      <c r="C28" s="83"/>
      <c r="D28" s="83"/>
      <c r="E28" s="83"/>
      <c r="F28" s="83"/>
    </row>
    <row r="29" spans="1:6" s="444" customFormat="1" ht="12" customHeight="1" thickBot="1">
      <c r="A29" s="207" t="s">
        <v>500</v>
      </c>
      <c r="B29" s="122" t="s">
        <v>130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</row>
    <row r="30" spans="1:6" s="444" customFormat="1" ht="12" customHeight="1">
      <c r="A30" s="436" t="s">
        <v>572</v>
      </c>
      <c r="B30" s="437" t="s">
        <v>784</v>
      </c>
      <c r="C30" s="76"/>
      <c r="D30" s="76"/>
      <c r="E30" s="76"/>
      <c r="F30" s="76"/>
    </row>
    <row r="31" spans="1:6" s="444" customFormat="1" ht="12" customHeight="1">
      <c r="A31" s="436" t="s">
        <v>573</v>
      </c>
      <c r="B31" s="438" t="s">
        <v>785</v>
      </c>
      <c r="C31" s="315"/>
      <c r="D31" s="315"/>
      <c r="E31" s="315"/>
      <c r="F31" s="315"/>
    </row>
    <row r="32" spans="1:6" s="444" customFormat="1" ht="12" customHeight="1" thickBot="1">
      <c r="A32" s="435" t="s">
        <v>574</v>
      </c>
      <c r="B32" s="138" t="s">
        <v>786</v>
      </c>
      <c r="C32" s="83"/>
      <c r="D32" s="83"/>
      <c r="E32" s="83"/>
      <c r="F32" s="83"/>
    </row>
    <row r="33" spans="1:6" s="371" customFormat="1" ht="12" customHeight="1" thickBot="1">
      <c r="A33" s="207" t="s">
        <v>501</v>
      </c>
      <c r="B33" s="122" t="s">
        <v>75</v>
      </c>
      <c r="C33" s="340"/>
      <c r="D33" s="340"/>
      <c r="E33" s="340"/>
      <c r="F33" s="340"/>
    </row>
    <row r="34" spans="1:6" s="371" customFormat="1" ht="12" customHeight="1" thickBot="1">
      <c r="A34" s="207" t="s">
        <v>502</v>
      </c>
      <c r="B34" s="122" t="s">
        <v>131</v>
      </c>
      <c r="C34" s="362"/>
      <c r="D34" s="362"/>
      <c r="E34" s="362"/>
      <c r="F34" s="362"/>
    </row>
    <row r="35" spans="1:6" s="371" customFormat="1" ht="12" customHeight="1" thickBot="1">
      <c r="A35" s="199" t="s">
        <v>503</v>
      </c>
      <c r="B35" s="122" t="s">
        <v>132</v>
      </c>
      <c r="C35" s="363">
        <f>+C8+C19+C24+C25+C29+C33+C34</f>
        <v>3000000</v>
      </c>
      <c r="D35" s="363">
        <f>+D8+D19+D24+D25+D29+D33+D34</f>
        <v>3000000</v>
      </c>
      <c r="E35" s="363">
        <f>+E8+E19+E24+E25+E29+E33+E34</f>
        <v>3000000</v>
      </c>
      <c r="F35" s="363">
        <f>+F8+F19+F24+F25+F29+F33+F34</f>
        <v>3275200</v>
      </c>
    </row>
    <row r="36" spans="1:6" s="371" customFormat="1" ht="12" customHeight="1" thickBot="1">
      <c r="A36" s="238" t="s">
        <v>504</v>
      </c>
      <c r="B36" s="122" t="s">
        <v>133</v>
      </c>
      <c r="C36" s="363">
        <f>+C37+C38+C39</f>
        <v>99877528</v>
      </c>
      <c r="D36" s="363">
        <f>+D37+D38+D39</f>
        <v>99909736</v>
      </c>
      <c r="E36" s="363">
        <f>+E37+E38+E39</f>
        <v>99909736</v>
      </c>
      <c r="F36" s="363">
        <f>+F37+F38+F39</f>
        <v>99909736</v>
      </c>
    </row>
    <row r="37" spans="1:6" s="371" customFormat="1" ht="12" customHeight="1">
      <c r="A37" s="436" t="s">
        <v>134</v>
      </c>
      <c r="B37" s="437" t="s">
        <v>717</v>
      </c>
      <c r="C37" s="76"/>
      <c r="D37" s="76">
        <v>210000</v>
      </c>
      <c r="E37" s="76">
        <v>210000</v>
      </c>
      <c r="F37" s="76">
        <v>210000</v>
      </c>
    </row>
    <row r="38" spans="1:6" s="371" customFormat="1" ht="12" customHeight="1">
      <c r="A38" s="436" t="s">
        <v>135</v>
      </c>
      <c r="B38" s="438" t="s">
        <v>481</v>
      </c>
      <c r="C38" s="315"/>
      <c r="D38" s="315"/>
      <c r="E38" s="315"/>
      <c r="F38" s="315"/>
    </row>
    <row r="39" spans="1:6" s="444" customFormat="1" ht="12" customHeight="1" thickBot="1">
      <c r="A39" s="435" t="s">
        <v>136</v>
      </c>
      <c r="B39" s="138" t="s">
        <v>226</v>
      </c>
      <c r="C39" s="994">
        <v>99877528</v>
      </c>
      <c r="D39" s="994">
        <v>99699736</v>
      </c>
      <c r="E39" s="994">
        <v>99699736</v>
      </c>
      <c r="F39" s="994">
        <v>99699736</v>
      </c>
    </row>
    <row r="40" spans="1:6" s="444" customFormat="1" ht="15" customHeight="1" thickBot="1">
      <c r="A40" s="238" t="s">
        <v>505</v>
      </c>
      <c r="B40" s="239" t="s">
        <v>138</v>
      </c>
      <c r="C40" s="366">
        <f>+C35+C36</f>
        <v>102877528</v>
      </c>
      <c r="D40" s="366">
        <f>+D35+D36</f>
        <v>102909736</v>
      </c>
      <c r="E40" s="366">
        <f>+E35+E36</f>
        <v>102909736</v>
      </c>
      <c r="F40" s="366">
        <f>+F35+F36</f>
        <v>103184936</v>
      </c>
    </row>
    <row r="41" spans="1:6" s="444" customFormat="1" ht="15" customHeight="1">
      <c r="A41" s="240"/>
      <c r="B41" s="241"/>
      <c r="C41" s="364"/>
      <c r="D41" s="364"/>
      <c r="E41" s="364"/>
      <c r="F41" s="364"/>
    </row>
    <row r="42" spans="1:6" ht="13.5" thickBot="1">
      <c r="A42" s="242"/>
      <c r="B42" s="243"/>
      <c r="C42" s="365"/>
      <c r="D42" s="365"/>
      <c r="E42" s="365"/>
      <c r="F42" s="365"/>
    </row>
    <row r="43" spans="1:6" s="443" customFormat="1" ht="16.5" customHeight="1" thickBot="1">
      <c r="A43" s="244"/>
      <c r="B43" s="245" t="s">
        <v>535</v>
      </c>
      <c r="C43" s="366"/>
      <c r="D43" s="366"/>
      <c r="E43" s="366"/>
      <c r="F43" s="366"/>
    </row>
    <row r="44" spans="1:6" s="445" customFormat="1" ht="12" customHeight="1" thickBot="1">
      <c r="A44" s="207" t="s">
        <v>496</v>
      </c>
      <c r="B44" s="1037" t="s">
        <v>139</v>
      </c>
      <c r="C44" s="314">
        <f>SUM(C45:C49)</f>
        <v>102877528</v>
      </c>
      <c r="D44" s="314">
        <f>SUM(D45:D49)</f>
        <v>102909736</v>
      </c>
      <c r="E44" s="314">
        <f>SUM(E45:E49)</f>
        <v>102909736</v>
      </c>
      <c r="F44" s="314">
        <f>SUM(F45:F49)</f>
        <v>103184936</v>
      </c>
    </row>
    <row r="45" spans="1:6" ht="12" customHeight="1">
      <c r="A45" s="435" t="s">
        <v>579</v>
      </c>
      <c r="B45" s="1035" t="s">
        <v>526</v>
      </c>
      <c r="C45" s="79">
        <v>71069000</v>
      </c>
      <c r="D45" s="79">
        <v>68095400</v>
      </c>
      <c r="E45" s="79">
        <v>68095400</v>
      </c>
      <c r="F45" s="79">
        <v>67095400</v>
      </c>
    </row>
    <row r="46" spans="1:6" ht="12" customHeight="1">
      <c r="A46" s="435" t="s">
        <v>580</v>
      </c>
      <c r="B46" s="1036" t="s">
        <v>659</v>
      </c>
      <c r="C46" s="79">
        <v>15918528</v>
      </c>
      <c r="D46" s="79">
        <v>15924336</v>
      </c>
      <c r="E46" s="79">
        <v>15924336</v>
      </c>
      <c r="F46" s="79">
        <v>15924336</v>
      </c>
    </row>
    <row r="47" spans="1:6" ht="12" customHeight="1">
      <c r="A47" s="435" t="s">
        <v>581</v>
      </c>
      <c r="B47" s="1036" t="s">
        <v>616</v>
      </c>
      <c r="C47" s="79">
        <v>15890000</v>
      </c>
      <c r="D47" s="79">
        <v>18890000</v>
      </c>
      <c r="E47" s="79">
        <v>18890000</v>
      </c>
      <c r="F47" s="79">
        <v>20165200</v>
      </c>
    </row>
    <row r="48" spans="1:6" ht="12" customHeight="1">
      <c r="A48" s="435" t="s">
        <v>582</v>
      </c>
      <c r="B48" s="1036" t="s">
        <v>660</v>
      </c>
      <c r="C48" s="79"/>
      <c r="D48" s="79"/>
      <c r="E48" s="79"/>
      <c r="F48" s="79"/>
    </row>
    <row r="49" spans="1:6" ht="12" customHeight="1" thickBot="1">
      <c r="A49" s="435" t="s">
        <v>624</v>
      </c>
      <c r="B49" s="1036" t="s">
        <v>661</v>
      </c>
      <c r="C49" s="79"/>
      <c r="D49" s="79"/>
      <c r="E49" s="79"/>
      <c r="F49" s="79"/>
    </row>
    <row r="50" spans="1:6" ht="12" customHeight="1" thickBot="1">
      <c r="A50" s="207" t="s">
        <v>497</v>
      </c>
      <c r="B50" s="1037" t="s">
        <v>140</v>
      </c>
      <c r="C50" s="314">
        <f>SUM(C51:C53)</f>
        <v>0</v>
      </c>
      <c r="D50" s="314">
        <f>SUM(D51:D53)</f>
        <v>0</v>
      </c>
      <c r="E50" s="314">
        <f>SUM(E51:E53)</f>
        <v>0</v>
      </c>
      <c r="F50" s="314">
        <f>SUM(F51:F53)</f>
        <v>0</v>
      </c>
    </row>
    <row r="51" spans="1:6" s="445" customFormat="1" ht="12" customHeight="1">
      <c r="A51" s="435" t="s">
        <v>585</v>
      </c>
      <c r="B51" s="1035" t="s">
        <v>708</v>
      </c>
      <c r="C51" s="76"/>
      <c r="D51" s="76"/>
      <c r="E51" s="76"/>
      <c r="F51" s="76"/>
    </row>
    <row r="52" spans="1:6" ht="12" customHeight="1">
      <c r="A52" s="435" t="s">
        <v>586</v>
      </c>
      <c r="B52" s="1036" t="s">
        <v>663</v>
      </c>
      <c r="C52" s="79"/>
      <c r="D52" s="79"/>
      <c r="E52" s="79"/>
      <c r="F52" s="79"/>
    </row>
    <row r="53" spans="1:6" ht="12" customHeight="1">
      <c r="A53" s="435" t="s">
        <v>587</v>
      </c>
      <c r="B53" s="1036" t="s">
        <v>536</v>
      </c>
      <c r="C53" s="79"/>
      <c r="D53" s="79"/>
      <c r="E53" s="79"/>
      <c r="F53" s="79"/>
    </row>
    <row r="54" spans="1:6" ht="12" customHeight="1" thickBot="1">
      <c r="A54" s="435" t="s">
        <v>588</v>
      </c>
      <c r="B54" s="1036" t="s">
        <v>482</v>
      </c>
      <c r="C54" s="79"/>
      <c r="D54" s="79"/>
      <c r="E54" s="79"/>
      <c r="F54" s="79"/>
    </row>
    <row r="55" spans="1:6" ht="15" customHeight="1" thickBot="1">
      <c r="A55" s="207" t="s">
        <v>498</v>
      </c>
      <c r="B55" s="1038" t="s">
        <v>141</v>
      </c>
      <c r="C55" s="367">
        <f>+C44+C50</f>
        <v>102877528</v>
      </c>
      <c r="D55" s="367">
        <f>+D44+D50</f>
        <v>102909736</v>
      </c>
      <c r="E55" s="367">
        <f>+E44+E50</f>
        <v>102909736</v>
      </c>
      <c r="F55" s="367">
        <f>+F44+F50</f>
        <v>103184936</v>
      </c>
    </row>
    <row r="56" spans="3:6" ht="13.5" thickBot="1">
      <c r="C56" s="368"/>
      <c r="D56" s="368"/>
      <c r="E56" s="368"/>
      <c r="F56" s="368"/>
    </row>
    <row r="57" spans="1:6" ht="15" customHeight="1" thickBot="1">
      <c r="A57" s="249" t="s">
        <v>682</v>
      </c>
      <c r="B57" s="250"/>
      <c r="C57" s="119">
        <v>20</v>
      </c>
      <c r="D57" s="119">
        <v>20</v>
      </c>
      <c r="E57" s="119">
        <v>20</v>
      </c>
      <c r="F57" s="119">
        <v>20</v>
      </c>
    </row>
    <row r="58" spans="1:6" ht="14.25" customHeight="1" thickBot="1">
      <c r="A58" s="249" t="s">
        <v>683</v>
      </c>
      <c r="B58" s="250"/>
      <c r="C58" s="119"/>
      <c r="D58" s="119"/>
      <c r="E58" s="119"/>
      <c r="F58" s="119"/>
    </row>
    <row r="59" spans="1:2" ht="12.75">
      <c r="A59" s="1159" t="s">
        <v>900</v>
      </c>
      <c r="B59" s="1160"/>
    </row>
  </sheetData>
  <sheetProtection formatCells="0"/>
  <mergeCells count="1">
    <mergeCell ref="A59:B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106">
      <selection activeCell="A43" sqref="A43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6" width="21.625" style="377" customWidth="1"/>
    <col min="7" max="16384" width="9.375" style="399" customWidth="1"/>
  </cols>
  <sheetData>
    <row r="1" spans="1:6" ht="15.75" customHeight="1">
      <c r="A1" s="1136" t="s">
        <v>493</v>
      </c>
      <c r="B1" s="1136"/>
      <c r="C1" s="1136"/>
      <c r="D1" s="399"/>
      <c r="E1" s="399"/>
      <c r="F1" s="399"/>
    </row>
    <row r="2" spans="1:6" ht="15.75" customHeight="1" thickBot="1">
      <c r="A2" s="1135" t="s">
        <v>628</v>
      </c>
      <c r="B2" s="1135"/>
      <c r="C2" s="305"/>
      <c r="D2" s="305"/>
      <c r="E2" s="305"/>
      <c r="F2" s="305"/>
    </row>
    <row r="3" spans="1:6" ht="37.5" customHeight="1" thickBot="1">
      <c r="A3" s="21" t="s">
        <v>549</v>
      </c>
      <c r="B3" s="22" t="s">
        <v>495</v>
      </c>
      <c r="C3" s="37" t="s">
        <v>401</v>
      </c>
      <c r="D3" s="37" t="s">
        <v>864</v>
      </c>
      <c r="E3" s="37" t="s">
        <v>891</v>
      </c>
      <c r="F3" s="37" t="s">
        <v>897</v>
      </c>
    </row>
    <row r="4" spans="1:6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  <c r="F4" s="396">
        <v>6</v>
      </c>
    </row>
    <row r="5" spans="1:6" s="401" customFormat="1" ht="12" customHeight="1" thickBot="1">
      <c r="A5" s="18" t="s">
        <v>496</v>
      </c>
      <c r="B5" s="19" t="s">
        <v>737</v>
      </c>
      <c r="C5" s="296">
        <v>393077057</v>
      </c>
      <c r="D5" s="296">
        <v>399007587</v>
      </c>
      <c r="E5" s="296">
        <v>407038614</v>
      </c>
      <c r="F5" s="296">
        <f>F6+F7+F8+F9+F10+F11</f>
        <v>421101135</v>
      </c>
    </row>
    <row r="6" spans="1:6" s="401" customFormat="1" ht="12" customHeight="1">
      <c r="A6" s="13" t="s">
        <v>579</v>
      </c>
      <c r="B6" s="402" t="s">
        <v>738</v>
      </c>
      <c r="C6" s="299">
        <v>126761325</v>
      </c>
      <c r="D6" s="299">
        <v>126761325</v>
      </c>
      <c r="E6" s="299">
        <v>126761325</v>
      </c>
      <c r="F6" s="299">
        <v>126761325</v>
      </c>
    </row>
    <row r="7" spans="1:6" s="401" customFormat="1" ht="12" customHeight="1">
      <c r="A7" s="12" t="s">
        <v>580</v>
      </c>
      <c r="B7" s="403" t="s">
        <v>739</v>
      </c>
      <c r="C7" s="299">
        <v>123139166</v>
      </c>
      <c r="D7" s="299">
        <v>123139166</v>
      </c>
      <c r="E7" s="299">
        <v>123139166</v>
      </c>
      <c r="F7" s="299">
        <v>123139166</v>
      </c>
    </row>
    <row r="8" spans="1:6" s="401" customFormat="1" ht="12" customHeight="1">
      <c r="A8" s="12" t="s">
        <v>581</v>
      </c>
      <c r="B8" s="403" t="s">
        <v>740</v>
      </c>
      <c r="C8" s="299">
        <v>136398531</v>
      </c>
      <c r="D8" s="299">
        <v>136398531</v>
      </c>
      <c r="E8" s="299">
        <v>136398531</v>
      </c>
      <c r="F8" s="299">
        <v>144294961</v>
      </c>
    </row>
    <row r="9" spans="1:6" s="401" customFormat="1" ht="12" customHeight="1">
      <c r="A9" s="12" t="s">
        <v>582</v>
      </c>
      <c r="B9" s="403" t="s">
        <v>741</v>
      </c>
      <c r="C9" s="299">
        <v>6271140</v>
      </c>
      <c r="D9" s="299">
        <v>6271140</v>
      </c>
      <c r="E9" s="299">
        <v>6271140</v>
      </c>
      <c r="F9" s="299">
        <v>6271140</v>
      </c>
    </row>
    <row r="10" spans="1:6" s="401" customFormat="1" ht="12" customHeight="1">
      <c r="A10" s="12" t="s">
        <v>624</v>
      </c>
      <c r="B10" s="403" t="s">
        <v>742</v>
      </c>
      <c r="C10" s="299">
        <v>506895</v>
      </c>
      <c r="D10" s="299">
        <v>2078807</v>
      </c>
      <c r="E10" s="299">
        <v>3244151</v>
      </c>
      <c r="F10" s="299">
        <v>4394977</v>
      </c>
    </row>
    <row r="11" spans="1:6" s="401" customFormat="1" ht="12" customHeight="1" thickBot="1">
      <c r="A11" s="14" t="s">
        <v>583</v>
      </c>
      <c r="B11" s="404" t="s">
        <v>743</v>
      </c>
      <c r="C11" s="895">
        <f>'9.1. melléklet'!C14</f>
        <v>0</v>
      </c>
      <c r="D11" s="895">
        <f>'9.1. melléklet'!D14</f>
        <v>4358618</v>
      </c>
      <c r="E11" s="895">
        <v>11224301</v>
      </c>
      <c r="F11" s="895">
        <v>16239566</v>
      </c>
    </row>
    <row r="12" spans="1:6" s="401" customFormat="1" ht="12" customHeight="1" thickBot="1">
      <c r="A12" s="18" t="s">
        <v>497</v>
      </c>
      <c r="B12" s="291" t="s">
        <v>744</v>
      </c>
      <c r="C12" s="896">
        <f>C15</f>
        <v>10280000</v>
      </c>
      <c r="D12" s="896">
        <f>D15+D17</f>
        <v>15641485</v>
      </c>
      <c r="E12" s="896">
        <v>20180814</v>
      </c>
      <c r="F12" s="896">
        <f>F15+F16+F17</f>
        <v>24232699</v>
      </c>
    </row>
    <row r="13" spans="1:6" s="401" customFormat="1" ht="12" customHeight="1">
      <c r="A13" s="13" t="s">
        <v>585</v>
      </c>
      <c r="B13" s="402" t="s">
        <v>745</v>
      </c>
      <c r="C13" s="299">
        <f>'9.1. melléklet'!C16</f>
        <v>0</v>
      </c>
      <c r="D13" s="299">
        <f>'9.1. melléklet'!D16</f>
        <v>0</v>
      </c>
      <c r="E13" s="299">
        <f>'9.1. melléklet'!E16</f>
        <v>0</v>
      </c>
      <c r="F13" s="299">
        <f>'9.1. melléklet'!F16</f>
        <v>0</v>
      </c>
    </row>
    <row r="14" spans="1:6" s="401" customFormat="1" ht="12" customHeight="1">
      <c r="A14" s="12" t="s">
        <v>586</v>
      </c>
      <c r="B14" s="403" t="s">
        <v>746</v>
      </c>
      <c r="C14" s="299">
        <f>'9.1. melléklet'!C17</f>
        <v>0</v>
      </c>
      <c r="D14" s="299">
        <f>'9.1. melléklet'!D17</f>
        <v>0</v>
      </c>
      <c r="E14" s="299">
        <f>'9.1. melléklet'!E17</f>
        <v>0</v>
      </c>
      <c r="F14" s="299">
        <f>'9.1. melléklet'!F17</f>
        <v>0</v>
      </c>
    </row>
    <row r="15" spans="1:6" s="401" customFormat="1" ht="12" customHeight="1">
      <c r="A15" s="12" t="s">
        <v>587</v>
      </c>
      <c r="B15" s="403" t="s">
        <v>222</v>
      </c>
      <c r="C15" s="299">
        <v>10280000</v>
      </c>
      <c r="D15" s="299">
        <v>10280000</v>
      </c>
      <c r="E15" s="299">
        <v>10280000</v>
      </c>
      <c r="F15" s="299">
        <v>10280000</v>
      </c>
    </row>
    <row r="16" spans="1:6" s="401" customFormat="1" ht="12" customHeight="1">
      <c r="A16" s="12" t="s">
        <v>588</v>
      </c>
      <c r="B16" s="403" t="s">
        <v>302</v>
      </c>
      <c r="C16" s="299"/>
      <c r="D16" s="299"/>
      <c r="E16" s="299">
        <v>807050</v>
      </c>
      <c r="F16" s="299">
        <v>1706575</v>
      </c>
    </row>
    <row r="17" spans="1:6" s="401" customFormat="1" ht="12" customHeight="1">
      <c r="A17" s="12" t="s">
        <v>589</v>
      </c>
      <c r="B17" s="403" t="s">
        <v>303</v>
      </c>
      <c r="C17" s="299">
        <f>'9.1. melléklet'!C20</f>
        <v>0</v>
      </c>
      <c r="D17" s="299">
        <f>'9.1. melléklet'!D20</f>
        <v>5361485</v>
      </c>
      <c r="E17" s="299">
        <v>9093764</v>
      </c>
      <c r="F17" s="299">
        <v>12246124</v>
      </c>
    </row>
    <row r="18" spans="1:6" s="401" customFormat="1" ht="12" customHeight="1" thickBot="1">
      <c r="A18" s="14" t="s">
        <v>598</v>
      </c>
      <c r="B18" s="404" t="s">
        <v>748</v>
      </c>
      <c r="C18" s="895">
        <f>'9.1. melléklet'!C21</f>
        <v>0</v>
      </c>
      <c r="D18" s="895">
        <f>'9.1. melléklet'!D21</f>
        <v>0</v>
      </c>
      <c r="E18" s="895">
        <f>'9.1. melléklet'!E21</f>
        <v>0</v>
      </c>
      <c r="F18" s="895">
        <f>'9.1. melléklet'!F21</f>
        <v>0</v>
      </c>
    </row>
    <row r="19" spans="1:6" s="401" customFormat="1" ht="12" customHeight="1" thickBot="1">
      <c r="A19" s="18" t="s">
        <v>498</v>
      </c>
      <c r="B19" s="19" t="s">
        <v>749</v>
      </c>
      <c r="C19" s="896">
        <f>C20+C23+C24</f>
        <v>157449027</v>
      </c>
      <c r="D19" s="896">
        <f>D20+D23+D24</f>
        <v>157449027</v>
      </c>
      <c r="E19" s="896">
        <f>E20+E23+E24</f>
        <v>682351933</v>
      </c>
      <c r="F19" s="896">
        <f>F20+F23+F24</f>
        <v>682351933</v>
      </c>
    </row>
    <row r="20" spans="1:6" s="401" customFormat="1" ht="12" customHeight="1">
      <c r="A20" s="13" t="s">
        <v>568</v>
      </c>
      <c r="B20" s="402" t="s">
        <v>843</v>
      </c>
      <c r="C20" s="299"/>
      <c r="D20" s="299"/>
      <c r="E20" s="299"/>
      <c r="F20" s="299"/>
    </row>
    <row r="21" spans="1:6" s="401" customFormat="1" ht="12" customHeight="1">
      <c r="A21" s="12" t="s">
        <v>569</v>
      </c>
      <c r="B21" s="403" t="s">
        <v>751</v>
      </c>
      <c r="C21" s="299">
        <f>'9.1. melléklet'!C24</f>
        <v>0</v>
      </c>
      <c r="D21" s="299">
        <f>'9.1. melléklet'!D24</f>
        <v>0</v>
      </c>
      <c r="E21" s="299">
        <f>'9.1. melléklet'!E24</f>
        <v>0</v>
      </c>
      <c r="F21" s="299">
        <f>'9.1. melléklet'!F24</f>
        <v>0</v>
      </c>
    </row>
    <row r="22" spans="1:6" s="401" customFormat="1" ht="12" customHeight="1">
      <c r="A22" s="12" t="s">
        <v>570</v>
      </c>
      <c r="B22" s="403" t="s">
        <v>151</v>
      </c>
      <c r="C22" s="299">
        <f>'9.1. melléklet'!C25</f>
        <v>0</v>
      </c>
      <c r="D22" s="299">
        <f>'9.1. melléklet'!D25</f>
        <v>0</v>
      </c>
      <c r="E22" s="299">
        <f>'9.1. melléklet'!E25</f>
        <v>0</v>
      </c>
      <c r="F22" s="299">
        <f>'9.1. melléklet'!F25</f>
        <v>0</v>
      </c>
    </row>
    <row r="23" spans="1:6" s="401" customFormat="1" ht="12" customHeight="1">
      <c r="A23" s="12" t="s">
        <v>571</v>
      </c>
      <c r="B23" s="403" t="s">
        <v>860</v>
      </c>
      <c r="C23" s="299">
        <v>133390721</v>
      </c>
      <c r="D23" s="299">
        <v>133390721</v>
      </c>
      <c r="E23" s="299">
        <v>658293627</v>
      </c>
      <c r="F23" s="299">
        <v>658293627</v>
      </c>
    </row>
    <row r="24" spans="1:6" s="401" customFormat="1" ht="12" customHeight="1">
      <c r="A24" s="12" t="s">
        <v>647</v>
      </c>
      <c r="B24" s="403" t="s">
        <v>355</v>
      </c>
      <c r="C24" s="299">
        <v>24058306</v>
      </c>
      <c r="D24" s="299">
        <v>24058306</v>
      </c>
      <c r="E24" s="299">
        <v>24058306</v>
      </c>
      <c r="F24" s="299">
        <v>24058306</v>
      </c>
    </row>
    <row r="25" spans="1:6" s="401" customFormat="1" ht="12" customHeight="1" thickBot="1">
      <c r="A25" s="14" t="s">
        <v>648</v>
      </c>
      <c r="B25" s="404" t="s">
        <v>753</v>
      </c>
      <c r="C25" s="895">
        <f>'9.1. melléklet'!C28</f>
        <v>0</v>
      </c>
      <c r="D25" s="895">
        <f>'9.1. melléklet'!D28</f>
        <v>0</v>
      </c>
      <c r="E25" s="895">
        <f>'9.1. melléklet'!E28</f>
        <v>0</v>
      </c>
      <c r="F25" s="895">
        <f>'9.1. melléklet'!F28</f>
        <v>0</v>
      </c>
    </row>
    <row r="26" spans="1:6" s="401" customFormat="1" ht="12" customHeight="1" thickBot="1">
      <c r="A26" s="18" t="s">
        <v>649</v>
      </c>
      <c r="B26" s="19" t="s">
        <v>754</v>
      </c>
      <c r="C26" s="896">
        <f>C27+C30+C31+C32+C33</f>
        <v>145800000</v>
      </c>
      <c r="D26" s="896">
        <f>D27+D30+D31+D32+D33</f>
        <v>145800000</v>
      </c>
      <c r="E26" s="896">
        <f>E27+E30+E31+E32+E33</f>
        <v>145800000</v>
      </c>
      <c r="F26" s="896">
        <f>F27+F30+F31+F32+F33</f>
        <v>151250000</v>
      </c>
    </row>
    <row r="27" spans="1:6" s="401" customFormat="1" ht="12" customHeight="1">
      <c r="A27" s="13" t="s">
        <v>755</v>
      </c>
      <c r="B27" s="402" t="s">
        <v>761</v>
      </c>
      <c r="C27" s="299">
        <v>125800000</v>
      </c>
      <c r="D27" s="299">
        <v>125800000</v>
      </c>
      <c r="E27" s="299">
        <v>125800000</v>
      </c>
      <c r="F27" s="299">
        <v>125800000</v>
      </c>
    </row>
    <row r="28" spans="1:6" s="401" customFormat="1" ht="12" customHeight="1">
      <c r="A28" s="12" t="s">
        <v>756</v>
      </c>
      <c r="B28" s="633" t="s">
        <v>307</v>
      </c>
      <c r="C28" s="299">
        <v>5800000</v>
      </c>
      <c r="D28" s="299">
        <v>5800000</v>
      </c>
      <c r="E28" s="299">
        <v>5800000</v>
      </c>
      <c r="F28" s="299">
        <v>5800000</v>
      </c>
    </row>
    <row r="29" spans="1:6" s="401" customFormat="1" ht="12" customHeight="1">
      <c r="A29" s="12" t="s">
        <v>757</v>
      </c>
      <c r="B29" s="633" t="s">
        <v>308</v>
      </c>
      <c r="C29" s="299">
        <v>120000000</v>
      </c>
      <c r="D29" s="299">
        <v>120000000</v>
      </c>
      <c r="E29" s="299">
        <v>120000000</v>
      </c>
      <c r="F29" s="299">
        <v>120000000</v>
      </c>
    </row>
    <row r="30" spans="1:6" s="401" customFormat="1" ht="12" customHeight="1">
      <c r="A30" s="12" t="s">
        <v>758</v>
      </c>
      <c r="B30" s="403" t="s">
        <v>764</v>
      </c>
      <c r="C30" s="299">
        <v>18000000</v>
      </c>
      <c r="D30" s="299">
        <v>18000000</v>
      </c>
      <c r="E30" s="299">
        <v>18000000</v>
      </c>
      <c r="F30" s="299">
        <v>20000000</v>
      </c>
    </row>
    <row r="31" spans="1:6" s="401" customFormat="1" ht="12" customHeight="1">
      <c r="A31" s="12" t="s">
        <v>759</v>
      </c>
      <c r="B31" s="403" t="s">
        <v>273</v>
      </c>
      <c r="C31" s="299">
        <v>300000</v>
      </c>
      <c r="D31" s="299">
        <v>300000</v>
      </c>
      <c r="E31" s="299">
        <v>300000</v>
      </c>
      <c r="F31" s="299">
        <v>750000</v>
      </c>
    </row>
    <row r="32" spans="1:6" s="401" customFormat="1" ht="12" customHeight="1">
      <c r="A32" s="14" t="s">
        <v>760</v>
      </c>
      <c r="B32" s="404" t="s">
        <v>276</v>
      </c>
      <c r="C32" s="299">
        <v>900000</v>
      </c>
      <c r="D32" s="299">
        <v>900000</v>
      </c>
      <c r="E32" s="299">
        <v>900000</v>
      </c>
      <c r="F32" s="299">
        <v>2500000</v>
      </c>
    </row>
    <row r="33" spans="1:6" s="401" customFormat="1" ht="12" customHeight="1" thickBot="1">
      <c r="A33" s="14" t="s">
        <v>274</v>
      </c>
      <c r="B33" s="404" t="s">
        <v>275</v>
      </c>
      <c r="C33" s="299">
        <v>800000</v>
      </c>
      <c r="D33" s="299">
        <v>800000</v>
      </c>
      <c r="E33" s="299">
        <v>800000</v>
      </c>
      <c r="F33" s="299">
        <v>2200000</v>
      </c>
    </row>
    <row r="34" spans="1:6" s="401" customFormat="1" ht="12" customHeight="1" thickBot="1">
      <c r="A34" s="18" t="s">
        <v>500</v>
      </c>
      <c r="B34" s="19" t="s">
        <v>767</v>
      </c>
      <c r="C34" s="296">
        <f>C36+C37+C38+C39+C40+C41+C42+C44</f>
        <v>116111900</v>
      </c>
      <c r="D34" s="296">
        <f>D36+D37+D38+D39+D40+D41+D42+D44</f>
        <v>116111900</v>
      </c>
      <c r="E34" s="296">
        <f>E36+E37+E38+E39+E40+E41+E42+E44</f>
        <v>117706714</v>
      </c>
      <c r="F34" s="296">
        <f>F36+F37+F38+F39+F40+F41+F42+F44</f>
        <v>159642387</v>
      </c>
    </row>
    <row r="35" spans="1:6" s="401" customFormat="1" ht="12" customHeight="1">
      <c r="A35" s="13" t="s">
        <v>572</v>
      </c>
      <c r="B35" s="402" t="s">
        <v>770</v>
      </c>
      <c r="C35" s="299"/>
      <c r="D35" s="299"/>
      <c r="E35" s="299"/>
      <c r="F35" s="299"/>
    </row>
    <row r="36" spans="1:6" s="401" customFormat="1" ht="12" customHeight="1">
      <c r="A36" s="12" t="s">
        <v>573</v>
      </c>
      <c r="B36" s="403" t="s">
        <v>771</v>
      </c>
      <c r="C36" s="298">
        <v>10800000</v>
      </c>
      <c r="D36" s="298">
        <v>10800000</v>
      </c>
      <c r="E36" s="298">
        <v>11009770</v>
      </c>
      <c r="F36" s="298">
        <v>11602050</v>
      </c>
    </row>
    <row r="37" spans="1:6" s="401" customFormat="1" ht="12" customHeight="1">
      <c r="A37" s="12" t="s">
        <v>574</v>
      </c>
      <c r="B37" s="403" t="s">
        <v>772</v>
      </c>
      <c r="C37" s="298">
        <v>300000</v>
      </c>
      <c r="D37" s="298">
        <v>300000</v>
      </c>
      <c r="E37" s="298">
        <v>300000</v>
      </c>
      <c r="F37" s="298">
        <v>300000</v>
      </c>
    </row>
    <row r="38" spans="1:6" s="401" customFormat="1" ht="12" customHeight="1">
      <c r="A38" s="12" t="s">
        <v>651</v>
      </c>
      <c r="B38" s="403" t="s">
        <v>773</v>
      </c>
      <c r="C38" s="298">
        <v>3200000</v>
      </c>
      <c r="D38" s="298">
        <v>3200000</v>
      </c>
      <c r="E38" s="298">
        <v>3200000</v>
      </c>
      <c r="F38" s="298">
        <v>3200000</v>
      </c>
    </row>
    <row r="39" spans="1:6" s="401" customFormat="1" ht="12" customHeight="1">
      <c r="A39" s="12" t="s">
        <v>652</v>
      </c>
      <c r="B39" s="403" t="s">
        <v>774</v>
      </c>
      <c r="C39" s="298">
        <f>8150000+30000+73051900</f>
        <v>81231900</v>
      </c>
      <c r="D39" s="298">
        <f>8150000+30000+73051900</f>
        <v>81231900</v>
      </c>
      <c r="E39" s="298">
        <v>81231900</v>
      </c>
      <c r="F39" s="298">
        <v>81231900</v>
      </c>
    </row>
    <row r="40" spans="1:6" s="401" customFormat="1" ht="12" customHeight="1">
      <c r="A40" s="12" t="s">
        <v>653</v>
      </c>
      <c r="B40" s="403" t="s">
        <v>775</v>
      </c>
      <c r="C40" s="298">
        <v>3280000</v>
      </c>
      <c r="D40" s="298">
        <v>3280000</v>
      </c>
      <c r="E40" s="298">
        <v>3280000</v>
      </c>
      <c r="F40" s="298">
        <v>3280000</v>
      </c>
    </row>
    <row r="41" spans="1:6" s="401" customFormat="1" ht="12" customHeight="1">
      <c r="A41" s="12" t="s">
        <v>654</v>
      </c>
      <c r="B41" s="403" t="s">
        <v>776</v>
      </c>
      <c r="C41" s="298">
        <v>9300000</v>
      </c>
      <c r="D41" s="298">
        <v>9300000</v>
      </c>
      <c r="E41" s="298">
        <v>9300000</v>
      </c>
      <c r="F41" s="298">
        <v>9300070</v>
      </c>
    </row>
    <row r="42" spans="1:6" s="401" customFormat="1" ht="12" customHeight="1">
      <c r="A42" s="12" t="s">
        <v>655</v>
      </c>
      <c r="B42" s="403" t="s">
        <v>777</v>
      </c>
      <c r="C42" s="298">
        <v>1000000</v>
      </c>
      <c r="D42" s="298">
        <v>1000000</v>
      </c>
      <c r="E42" s="298">
        <v>1000000</v>
      </c>
      <c r="F42" s="298">
        <v>42153820</v>
      </c>
    </row>
    <row r="43" spans="1:6" s="401" customFormat="1" ht="12" customHeight="1">
      <c r="A43" s="12" t="s">
        <v>768</v>
      </c>
      <c r="B43" s="403" t="s">
        <v>778</v>
      </c>
      <c r="C43" s="301"/>
      <c r="D43" s="301"/>
      <c r="E43" s="301"/>
      <c r="F43" s="301"/>
    </row>
    <row r="44" spans="1:6" s="401" customFormat="1" ht="12" customHeight="1" thickBot="1">
      <c r="A44" s="14" t="s">
        <v>769</v>
      </c>
      <c r="B44" s="404" t="s">
        <v>779</v>
      </c>
      <c r="C44" s="391">
        <v>7000000</v>
      </c>
      <c r="D44" s="391">
        <v>7000000</v>
      </c>
      <c r="E44" s="391">
        <v>8385044</v>
      </c>
      <c r="F44" s="391">
        <v>8574547</v>
      </c>
    </row>
    <row r="45" spans="1:6" s="401" customFormat="1" ht="12" customHeight="1" thickBot="1">
      <c r="A45" s="18" t="s">
        <v>501</v>
      </c>
      <c r="B45" s="19" t="s">
        <v>780</v>
      </c>
      <c r="C45" s="296">
        <f>SUM(C46:C50)</f>
        <v>0</v>
      </c>
      <c r="D45" s="296">
        <f>SUM(D46:D50)</f>
        <v>0</v>
      </c>
      <c r="E45" s="296">
        <f>SUM(E46:E50)</f>
        <v>19403393</v>
      </c>
      <c r="F45" s="296">
        <f>SUM(F46:F50)</f>
        <v>37183393</v>
      </c>
    </row>
    <row r="46" spans="1:6" s="401" customFormat="1" ht="12" customHeight="1">
      <c r="A46" s="13" t="s">
        <v>575</v>
      </c>
      <c r="B46" s="402" t="s">
        <v>784</v>
      </c>
      <c r="C46" s="446"/>
      <c r="D46" s="446"/>
      <c r="E46" s="446"/>
      <c r="F46" s="446"/>
    </row>
    <row r="47" spans="1:6" s="401" customFormat="1" ht="12" customHeight="1">
      <c r="A47" s="12" t="s">
        <v>576</v>
      </c>
      <c r="B47" s="403" t="s">
        <v>785</v>
      </c>
      <c r="C47" s="301"/>
      <c r="D47" s="301"/>
      <c r="E47" s="301">
        <v>19403393</v>
      </c>
      <c r="F47" s="301">
        <v>37183393</v>
      </c>
    </row>
    <row r="48" spans="1:6" s="401" customFormat="1" ht="12" customHeight="1">
      <c r="A48" s="12" t="s">
        <v>781</v>
      </c>
      <c r="B48" s="403" t="s">
        <v>786</v>
      </c>
      <c r="C48" s="301"/>
      <c r="D48" s="301"/>
      <c r="E48" s="301"/>
      <c r="F48" s="301"/>
    </row>
    <row r="49" spans="1:6" s="401" customFormat="1" ht="12" customHeight="1">
      <c r="A49" s="12" t="s">
        <v>782</v>
      </c>
      <c r="B49" s="403" t="s">
        <v>787</v>
      </c>
      <c r="C49" s="301"/>
      <c r="D49" s="301"/>
      <c r="E49" s="301"/>
      <c r="F49" s="301"/>
    </row>
    <row r="50" spans="1:6" s="401" customFormat="1" ht="12" customHeight="1">
      <c r="A50" s="12" t="s">
        <v>783</v>
      </c>
      <c r="B50" s="403" t="s">
        <v>788</v>
      </c>
      <c r="C50" s="301"/>
      <c r="D50" s="301"/>
      <c r="E50" s="301"/>
      <c r="F50" s="301"/>
    </row>
    <row r="51" spans="1:6" s="401" customFormat="1" ht="12" customHeight="1" thickBot="1">
      <c r="A51" s="11" t="s">
        <v>477</v>
      </c>
      <c r="B51" s="568" t="s">
        <v>166</v>
      </c>
      <c r="C51" s="569"/>
      <c r="D51" s="569"/>
      <c r="E51" s="569"/>
      <c r="F51" s="569"/>
    </row>
    <row r="52" spans="1:6" s="401" customFormat="1" ht="12" customHeight="1" thickBot="1">
      <c r="A52" s="18" t="s">
        <v>656</v>
      </c>
      <c r="B52" s="19" t="s">
        <v>789</v>
      </c>
      <c r="C52" s="296">
        <f>SUM(C53:C55)</f>
        <v>0</v>
      </c>
      <c r="D52" s="296">
        <f>SUM(D53:D55)</f>
        <v>2080298</v>
      </c>
      <c r="E52" s="296">
        <f>SUM(E53:E55)</f>
        <v>2380298</v>
      </c>
      <c r="F52" s="296">
        <f>SUM(F53:F55)</f>
        <v>2590298</v>
      </c>
    </row>
    <row r="53" spans="1:6" s="401" customFormat="1" ht="12" customHeight="1">
      <c r="A53" s="13" t="s">
        <v>577</v>
      </c>
      <c r="B53" s="402" t="s">
        <v>790</v>
      </c>
      <c r="C53" s="299"/>
      <c r="D53" s="299"/>
      <c r="E53" s="299">
        <v>300000</v>
      </c>
      <c r="F53" s="299">
        <v>510000</v>
      </c>
    </row>
    <row r="54" spans="1:6" s="401" customFormat="1" ht="12" customHeight="1">
      <c r="A54" s="12" t="s">
        <v>578</v>
      </c>
      <c r="B54" s="403" t="s">
        <v>872</v>
      </c>
      <c r="C54" s="298"/>
      <c r="D54" s="298">
        <v>1308533</v>
      </c>
      <c r="E54" s="298">
        <v>1308533</v>
      </c>
      <c r="F54" s="298">
        <v>1308533</v>
      </c>
    </row>
    <row r="55" spans="1:6" s="401" customFormat="1" ht="12" customHeight="1">
      <c r="A55" s="12" t="s">
        <v>793</v>
      </c>
      <c r="B55" s="403" t="s">
        <v>874</v>
      </c>
      <c r="C55" s="298"/>
      <c r="D55" s="298">
        <v>771765</v>
      </c>
      <c r="E55" s="298">
        <v>771765</v>
      </c>
      <c r="F55" s="298">
        <v>771765</v>
      </c>
    </row>
    <row r="56" spans="1:6" s="401" customFormat="1" ht="12" customHeight="1" thickBot="1">
      <c r="A56" s="14" t="s">
        <v>794</v>
      </c>
      <c r="B56" s="404" t="s">
        <v>792</v>
      </c>
      <c r="C56" s="300"/>
      <c r="D56" s="300"/>
      <c r="E56" s="300"/>
      <c r="F56" s="300"/>
    </row>
    <row r="57" spans="1:6" s="401" customFormat="1" ht="12" customHeight="1" thickBot="1">
      <c r="A57" s="18" t="s">
        <v>503</v>
      </c>
      <c r="B57" s="291" t="s">
        <v>795</v>
      </c>
      <c r="C57" s="296">
        <f>SUM(C58:C60)</f>
        <v>0</v>
      </c>
      <c r="D57" s="296">
        <f>SUM(D58:D60)</f>
        <v>0</v>
      </c>
      <c r="E57" s="296">
        <f>SUM(E58:E60)</f>
        <v>12600000</v>
      </c>
      <c r="F57" s="296">
        <f>SUM(F58:F60)</f>
        <v>22329585</v>
      </c>
    </row>
    <row r="58" spans="1:6" s="401" customFormat="1" ht="12" customHeight="1">
      <c r="A58" s="13" t="s">
        <v>657</v>
      </c>
      <c r="B58" s="402" t="s">
        <v>797</v>
      </c>
      <c r="C58" s="301"/>
      <c r="D58" s="301"/>
      <c r="E58" s="301"/>
      <c r="F58" s="301"/>
    </row>
    <row r="59" spans="1:6" s="401" customFormat="1" ht="12" customHeight="1">
      <c r="A59" s="12" t="s">
        <v>658</v>
      </c>
      <c r="B59" s="403" t="s">
        <v>154</v>
      </c>
      <c r="C59" s="301"/>
      <c r="D59" s="301"/>
      <c r="E59" s="301"/>
      <c r="F59" s="301"/>
    </row>
    <row r="60" spans="1:6" s="401" customFormat="1" ht="12" customHeight="1">
      <c r="A60" s="12" t="s">
        <v>709</v>
      </c>
      <c r="B60" s="403" t="s">
        <v>311</v>
      </c>
      <c r="C60" s="301"/>
      <c r="D60" s="301"/>
      <c r="E60" s="301">
        <v>12600000</v>
      </c>
      <c r="F60" s="301">
        <v>22329585</v>
      </c>
    </row>
    <row r="61" spans="1:6" s="401" customFormat="1" ht="12" customHeight="1" thickBot="1">
      <c r="A61" s="14" t="s">
        <v>796</v>
      </c>
      <c r="B61" s="404" t="s">
        <v>799</v>
      </c>
      <c r="C61" s="301"/>
      <c r="D61" s="301"/>
      <c r="E61" s="301"/>
      <c r="F61" s="301"/>
    </row>
    <row r="62" spans="1:6" s="401" customFormat="1" ht="12" customHeight="1" thickBot="1">
      <c r="A62" s="18" t="s">
        <v>504</v>
      </c>
      <c r="B62" s="19" t="s">
        <v>800</v>
      </c>
      <c r="C62" s="302">
        <f>+C5+C12+C19+C26+C34+C45+C52+C57</f>
        <v>822717984</v>
      </c>
      <c r="D62" s="302">
        <f>+D5+D12+D19+D26+D34+D45+D52+D57</f>
        <v>836090297</v>
      </c>
      <c r="E62" s="302">
        <f>+E5+E12+E19+E26+E34+E45+E52+E57</f>
        <v>1407461766</v>
      </c>
      <c r="F62" s="302">
        <f>+F5+F12+F19+F26+F34+F45+F52+F57</f>
        <v>1500681430</v>
      </c>
    </row>
    <row r="63" spans="1:6" s="401" customFormat="1" ht="12" customHeight="1" thickBot="1">
      <c r="A63" s="405" t="s">
        <v>801</v>
      </c>
      <c r="B63" s="291" t="s">
        <v>802</v>
      </c>
      <c r="C63" s="296">
        <f>SUM(C64:C66)</f>
        <v>0</v>
      </c>
      <c r="D63" s="296">
        <f>SUM(D64:D66)</f>
        <v>0</v>
      </c>
      <c r="E63" s="296">
        <f>SUM(E64:E66)</f>
        <v>0</v>
      </c>
      <c r="F63" s="296">
        <f>SUM(F64:F66)</f>
        <v>0</v>
      </c>
    </row>
    <row r="64" spans="1:6" s="401" customFormat="1" ht="12" customHeight="1">
      <c r="A64" s="13" t="s">
        <v>12</v>
      </c>
      <c r="B64" s="402" t="s">
        <v>803</v>
      </c>
      <c r="C64" s="301"/>
      <c r="D64" s="301"/>
      <c r="E64" s="301"/>
      <c r="F64" s="301"/>
    </row>
    <row r="65" spans="1:6" s="401" customFormat="1" ht="12" customHeight="1">
      <c r="A65" s="12" t="s">
        <v>21</v>
      </c>
      <c r="B65" s="403" t="s">
        <v>804</v>
      </c>
      <c r="C65" s="301"/>
      <c r="D65" s="301"/>
      <c r="E65" s="301"/>
      <c r="F65" s="301"/>
    </row>
    <row r="66" spans="1:6" s="401" customFormat="1" ht="12" customHeight="1" thickBot="1">
      <c r="A66" s="14" t="s">
        <v>22</v>
      </c>
      <c r="B66" s="406" t="s">
        <v>805</v>
      </c>
      <c r="C66" s="301"/>
      <c r="D66" s="301"/>
      <c r="E66" s="301"/>
      <c r="F66" s="301"/>
    </row>
    <row r="67" spans="1:6" s="401" customFormat="1" ht="12" customHeight="1" thickBot="1">
      <c r="A67" s="405" t="s">
        <v>806</v>
      </c>
      <c r="B67" s="291" t="s">
        <v>807</v>
      </c>
      <c r="C67" s="296">
        <f>SUM(C68:C71)</f>
        <v>295000000</v>
      </c>
      <c r="D67" s="296">
        <f>SUM(D68:D71)</f>
        <v>295000000</v>
      </c>
      <c r="E67" s="296">
        <f>SUM(E68:E71)</f>
        <v>295000000</v>
      </c>
      <c r="F67" s="296">
        <f>SUM(F68:F71)</f>
        <v>515027147</v>
      </c>
    </row>
    <row r="68" spans="1:6" s="401" customFormat="1" ht="12" customHeight="1">
      <c r="A68" s="13" t="s">
        <v>625</v>
      </c>
      <c r="B68" s="402" t="s">
        <v>808</v>
      </c>
      <c r="C68" s="301">
        <v>295000000</v>
      </c>
      <c r="D68" s="301">
        <v>295000000</v>
      </c>
      <c r="E68" s="301">
        <v>295000000</v>
      </c>
      <c r="F68" s="301">
        <v>515027147</v>
      </c>
    </row>
    <row r="69" spans="1:6" s="401" customFormat="1" ht="12" customHeight="1">
      <c r="A69" s="12" t="s">
        <v>626</v>
      </c>
      <c r="B69" s="403" t="s">
        <v>809</v>
      </c>
      <c r="C69" s="301"/>
      <c r="D69" s="301"/>
      <c r="E69" s="301"/>
      <c r="F69" s="301"/>
    </row>
    <row r="70" spans="1:6" s="401" customFormat="1" ht="12" customHeight="1">
      <c r="A70" s="12" t="s">
        <v>13</v>
      </c>
      <c r="B70" s="403" t="s">
        <v>810</v>
      </c>
      <c r="C70" s="301"/>
      <c r="D70" s="301"/>
      <c r="E70" s="301"/>
      <c r="F70" s="301"/>
    </row>
    <row r="71" spans="1:6" s="401" customFormat="1" ht="12" customHeight="1" thickBot="1">
      <c r="A71" s="14" t="s">
        <v>14</v>
      </c>
      <c r="B71" s="404" t="s">
        <v>811</v>
      </c>
      <c r="C71" s="301"/>
      <c r="D71" s="301"/>
      <c r="E71" s="301"/>
      <c r="F71" s="301"/>
    </row>
    <row r="72" spans="1:6" s="401" customFormat="1" ht="12" customHeight="1" thickBot="1">
      <c r="A72" s="405" t="s">
        <v>812</v>
      </c>
      <c r="B72" s="291" t="s">
        <v>813</v>
      </c>
      <c r="C72" s="296">
        <f>C73</f>
        <v>199880000</v>
      </c>
      <c r="D72" s="296">
        <f>D73</f>
        <v>204718082</v>
      </c>
      <c r="E72" s="296">
        <f>E73</f>
        <v>204718082</v>
      </c>
      <c r="F72" s="296">
        <f>F73</f>
        <v>204718082</v>
      </c>
    </row>
    <row r="73" spans="1:6" s="401" customFormat="1" ht="12" customHeight="1">
      <c r="A73" s="13" t="s">
        <v>15</v>
      </c>
      <c r="B73" s="402" t="s">
        <v>814</v>
      </c>
      <c r="C73" s="301">
        <v>199880000</v>
      </c>
      <c r="D73" s="301">
        <v>204718082</v>
      </c>
      <c r="E73" s="301">
        <v>204718082</v>
      </c>
      <c r="F73" s="301">
        <v>204718082</v>
      </c>
    </row>
    <row r="74" spans="1:6" s="401" customFormat="1" ht="12" customHeight="1" thickBot="1">
      <c r="A74" s="14" t="s">
        <v>16</v>
      </c>
      <c r="B74" s="404" t="s">
        <v>815</v>
      </c>
      <c r="C74" s="301"/>
      <c r="D74" s="301"/>
      <c r="E74" s="301"/>
      <c r="F74" s="301"/>
    </row>
    <row r="75" spans="1:6" s="401" customFormat="1" ht="12" customHeight="1" thickBot="1">
      <c r="A75" s="405" t="s">
        <v>816</v>
      </c>
      <c r="B75" s="291" t="s">
        <v>817</v>
      </c>
      <c r="C75" s="296">
        <f>SUM(C76:C78)</f>
        <v>0</v>
      </c>
      <c r="D75" s="296">
        <f>SUM(D76:D78)</f>
        <v>0</v>
      </c>
      <c r="E75" s="296">
        <f>SUM(E76:E78)</f>
        <v>0</v>
      </c>
      <c r="F75" s="296">
        <f>SUM(F76:F78)</f>
        <v>0</v>
      </c>
    </row>
    <row r="76" spans="1:6" s="401" customFormat="1" ht="12" customHeight="1">
      <c r="A76" s="13" t="s">
        <v>17</v>
      </c>
      <c r="B76" s="402" t="s">
        <v>818</v>
      </c>
      <c r="C76" s="301"/>
      <c r="D76" s="301"/>
      <c r="E76" s="301"/>
      <c r="F76" s="301"/>
    </row>
    <row r="77" spans="1:6" s="401" customFormat="1" ht="12" customHeight="1">
      <c r="A77" s="12" t="s">
        <v>18</v>
      </c>
      <c r="B77" s="403" t="s">
        <v>819</v>
      </c>
      <c r="C77" s="301"/>
      <c r="D77" s="301"/>
      <c r="E77" s="301"/>
      <c r="F77" s="301"/>
    </row>
    <row r="78" spans="1:6" s="401" customFormat="1" ht="12" customHeight="1" thickBot="1">
      <c r="A78" s="14" t="s">
        <v>19</v>
      </c>
      <c r="B78" s="404" t="s">
        <v>820</v>
      </c>
      <c r="C78" s="301"/>
      <c r="D78" s="301"/>
      <c r="E78" s="301"/>
      <c r="F78" s="301"/>
    </row>
    <row r="79" spans="1:6" s="401" customFormat="1" ht="12" customHeight="1" thickBot="1">
      <c r="A79" s="405" t="s">
        <v>821</v>
      </c>
      <c r="B79" s="291" t="s">
        <v>20</v>
      </c>
      <c r="C79" s="296">
        <f>SUM(C80:C83)</f>
        <v>0</v>
      </c>
      <c r="D79" s="296">
        <f>SUM(D80:D83)</f>
        <v>0</v>
      </c>
      <c r="E79" s="296">
        <f>SUM(E80:E83)</f>
        <v>0</v>
      </c>
      <c r="F79" s="296">
        <f>SUM(F80:F83)</f>
        <v>0</v>
      </c>
    </row>
    <row r="80" spans="1:6" s="401" customFormat="1" ht="12" customHeight="1">
      <c r="A80" s="407" t="s">
        <v>822</v>
      </c>
      <c r="B80" s="402" t="s">
        <v>0</v>
      </c>
      <c r="C80" s="301"/>
      <c r="D80" s="301"/>
      <c r="E80" s="301"/>
      <c r="F80" s="301"/>
    </row>
    <row r="81" spans="1:6" s="401" customFormat="1" ht="12" customHeight="1">
      <c r="A81" s="408" t="s">
        <v>1</v>
      </c>
      <c r="B81" s="403" t="s">
        <v>2</v>
      </c>
      <c r="C81" s="301"/>
      <c r="D81" s="301"/>
      <c r="E81" s="301"/>
      <c r="F81" s="301"/>
    </row>
    <row r="82" spans="1:6" s="401" customFormat="1" ht="12" customHeight="1">
      <c r="A82" s="408" t="s">
        <v>3</v>
      </c>
      <c r="B82" s="403" t="s">
        <v>4</v>
      </c>
      <c r="C82" s="301"/>
      <c r="D82" s="301"/>
      <c r="E82" s="301"/>
      <c r="F82" s="301"/>
    </row>
    <row r="83" spans="1:6" s="401" customFormat="1" ht="12" customHeight="1" thickBot="1">
      <c r="A83" s="409" t="s">
        <v>5</v>
      </c>
      <c r="B83" s="404" t="s">
        <v>6</v>
      </c>
      <c r="C83" s="301"/>
      <c r="D83" s="301"/>
      <c r="E83" s="301"/>
      <c r="F83" s="301"/>
    </row>
    <row r="84" spans="1:6" s="401" customFormat="1" ht="13.5" customHeight="1" thickBot="1">
      <c r="A84" s="405" t="s">
        <v>7</v>
      </c>
      <c r="B84" s="291" t="s">
        <v>8</v>
      </c>
      <c r="C84" s="447"/>
      <c r="D84" s="447"/>
      <c r="E84" s="447"/>
      <c r="F84" s="447"/>
    </row>
    <row r="85" spans="1:6" s="401" customFormat="1" ht="15.75" customHeight="1" thickBot="1">
      <c r="A85" s="405" t="s">
        <v>9</v>
      </c>
      <c r="B85" s="410" t="s">
        <v>10</v>
      </c>
      <c r="C85" s="302">
        <f>+C63+C67+C72+C75+C79+C84</f>
        <v>494880000</v>
      </c>
      <c r="D85" s="302">
        <f>+D63+D67+D72+D75+D79+D84</f>
        <v>499718082</v>
      </c>
      <c r="E85" s="302">
        <f>+E63+E67+E72+E75+E79+E84</f>
        <v>499718082</v>
      </c>
      <c r="F85" s="302">
        <f>+F63+F67+F72+F75+F79+F84</f>
        <v>719745229</v>
      </c>
    </row>
    <row r="86" spans="1:6" s="401" customFormat="1" ht="16.5" customHeight="1" thickBot="1">
      <c r="A86" s="411" t="s">
        <v>23</v>
      </c>
      <c r="B86" s="412" t="s">
        <v>11</v>
      </c>
      <c r="C86" s="302">
        <f>+C62+C85</f>
        <v>1317597984</v>
      </c>
      <c r="D86" s="302">
        <f>+D62+D85</f>
        <v>1335808379</v>
      </c>
      <c r="E86" s="302">
        <f>+E62+E85</f>
        <v>1907179848</v>
      </c>
      <c r="F86" s="302">
        <f>+F62+F85</f>
        <v>2220426659</v>
      </c>
    </row>
    <row r="87" spans="1:6" ht="16.5" customHeight="1">
      <c r="A87" s="1136" t="s">
        <v>524</v>
      </c>
      <c r="B87" s="1136"/>
      <c r="C87" s="1136"/>
      <c r="D87" s="399"/>
      <c r="E87" s="399"/>
      <c r="F87" s="399"/>
    </row>
    <row r="88" spans="1:6" s="413" customFormat="1" ht="16.5" customHeight="1" thickBot="1">
      <c r="A88" s="1137" t="s">
        <v>629</v>
      </c>
      <c r="B88" s="1137"/>
      <c r="C88" s="137"/>
      <c r="D88" s="137"/>
      <c r="E88" s="137"/>
      <c r="F88" s="137"/>
    </row>
    <row r="89" spans="1:6" ht="37.5" customHeight="1" thickBot="1">
      <c r="A89" s="21" t="s">
        <v>549</v>
      </c>
      <c r="B89" s="22" t="s">
        <v>525</v>
      </c>
      <c r="C89" s="37" t="s">
        <v>401</v>
      </c>
      <c r="D89" s="37" t="s">
        <v>864</v>
      </c>
      <c r="E89" s="37" t="s">
        <v>891</v>
      </c>
      <c r="F89" s="37" t="s">
        <v>897</v>
      </c>
    </row>
    <row r="90" spans="1:6" s="400" customFormat="1" ht="12" customHeight="1" thickBot="1">
      <c r="A90" s="30">
        <v>1</v>
      </c>
      <c r="B90" s="31">
        <v>2</v>
      </c>
      <c r="C90" s="32">
        <v>3</v>
      </c>
      <c r="D90" s="32">
        <v>4</v>
      </c>
      <c r="E90" s="32">
        <v>5</v>
      </c>
      <c r="F90" s="32">
        <v>6</v>
      </c>
    </row>
    <row r="91" spans="1:6" ht="12" customHeight="1" thickBot="1">
      <c r="A91" s="20" t="s">
        <v>496</v>
      </c>
      <c r="B91" s="29" t="s">
        <v>26</v>
      </c>
      <c r="C91" s="295">
        <f>SUM(C92:C96)</f>
        <v>626926195</v>
      </c>
      <c r="D91" s="295">
        <f>SUM(D92:D96)</f>
        <v>645707933</v>
      </c>
      <c r="E91" s="295">
        <f>SUM(E92:E96)</f>
        <v>667385491</v>
      </c>
      <c r="F91" s="295">
        <f>SUM(F92:F96)</f>
        <v>684260431</v>
      </c>
    </row>
    <row r="92" spans="1:6" ht="12" customHeight="1">
      <c r="A92" s="15" t="s">
        <v>579</v>
      </c>
      <c r="B92" s="8" t="s">
        <v>526</v>
      </c>
      <c r="C92" s="297">
        <v>207127000</v>
      </c>
      <c r="D92" s="297">
        <v>213677801</v>
      </c>
      <c r="E92" s="297">
        <v>222427477</v>
      </c>
      <c r="F92" s="297">
        <v>226707681</v>
      </c>
    </row>
    <row r="93" spans="1:6" ht="12" customHeight="1">
      <c r="A93" s="12" t="s">
        <v>580</v>
      </c>
      <c r="B93" s="6" t="s">
        <v>659</v>
      </c>
      <c r="C93" s="298">
        <v>49032554</v>
      </c>
      <c r="D93" s="298">
        <v>51285943</v>
      </c>
      <c r="E93" s="298">
        <v>53210872</v>
      </c>
      <c r="F93" s="298">
        <v>54372516</v>
      </c>
    </row>
    <row r="94" spans="1:6" ht="12" customHeight="1">
      <c r="A94" s="12" t="s">
        <v>581</v>
      </c>
      <c r="B94" s="6" t="s">
        <v>616</v>
      </c>
      <c r="C94" s="300">
        <f>220013000-3000000</f>
        <v>217013000</v>
      </c>
      <c r="D94" s="300">
        <v>220257609</v>
      </c>
      <c r="E94" s="300">
        <v>226576835</v>
      </c>
      <c r="F94" s="300">
        <v>241067324</v>
      </c>
    </row>
    <row r="95" spans="1:6" ht="12" customHeight="1">
      <c r="A95" s="12" t="s">
        <v>582</v>
      </c>
      <c r="B95" s="9" t="s">
        <v>660</v>
      </c>
      <c r="C95" s="300">
        <f>'9.1. melléklet'!C96</f>
        <v>9611000</v>
      </c>
      <c r="D95" s="300">
        <f>'9.1. melléklet'!D96</f>
        <v>11611000</v>
      </c>
      <c r="E95" s="300">
        <v>11611000</v>
      </c>
      <c r="F95" s="300">
        <v>5107000</v>
      </c>
    </row>
    <row r="96" spans="1:6" ht="12" customHeight="1">
      <c r="A96" s="12" t="s">
        <v>593</v>
      </c>
      <c r="B96" s="17" t="s">
        <v>661</v>
      </c>
      <c r="C96" s="300">
        <f>C101+C102+C106</f>
        <v>144142641</v>
      </c>
      <c r="D96" s="300">
        <f>D101+D102+D106</f>
        <v>148875580</v>
      </c>
      <c r="E96" s="300">
        <v>153559307</v>
      </c>
      <c r="F96" s="300">
        <v>157005910</v>
      </c>
    </row>
    <row r="97" spans="1:6" ht="12" customHeight="1">
      <c r="A97" s="12" t="s">
        <v>583</v>
      </c>
      <c r="B97" s="6" t="s">
        <v>27</v>
      </c>
      <c r="C97" s="300">
        <f>'9.1. melléklet'!C98</f>
        <v>0</v>
      </c>
      <c r="D97" s="300">
        <f>'9.1. melléklet'!D98</f>
        <v>0</v>
      </c>
      <c r="E97" s="300">
        <f>'9.1. melléklet'!E98</f>
        <v>0</v>
      </c>
      <c r="F97" s="300">
        <f>'9.1. melléklet'!F98</f>
        <v>0</v>
      </c>
    </row>
    <row r="98" spans="1:6" ht="12" customHeight="1">
      <c r="A98" s="12" t="s">
        <v>584</v>
      </c>
      <c r="B98" s="139" t="s">
        <v>28</v>
      </c>
      <c r="C98" s="300">
        <f>'9.1. melléklet'!C99</f>
        <v>0</v>
      </c>
      <c r="D98" s="300">
        <f>'9.1. melléklet'!D99</f>
        <v>0</v>
      </c>
      <c r="E98" s="300">
        <f>'9.1. melléklet'!E99</f>
        <v>0</v>
      </c>
      <c r="F98" s="300">
        <f>'9.1. melléklet'!F99</f>
        <v>0</v>
      </c>
    </row>
    <row r="99" spans="1:6" ht="12" customHeight="1">
      <c r="A99" s="12" t="s">
        <v>594</v>
      </c>
      <c r="B99" s="140" t="s">
        <v>29</v>
      </c>
      <c r="C99" s="300">
        <f>'9.1. melléklet'!C100</f>
        <v>0</v>
      </c>
      <c r="D99" s="300">
        <f>'9.1. melléklet'!D100</f>
        <v>0</v>
      </c>
      <c r="E99" s="300">
        <f>'9.1. melléklet'!E100</f>
        <v>0</v>
      </c>
      <c r="F99" s="300">
        <f>'9.1. melléklet'!F100</f>
        <v>0</v>
      </c>
    </row>
    <row r="100" spans="1:6" ht="12" customHeight="1">
      <c r="A100" s="12" t="s">
        <v>595</v>
      </c>
      <c r="B100" s="140" t="s">
        <v>30</v>
      </c>
      <c r="C100" s="300">
        <f>'9.1. melléklet'!C101</f>
        <v>0</v>
      </c>
      <c r="D100" s="300">
        <f>'9.1. melléklet'!D101</f>
        <v>0</v>
      </c>
      <c r="E100" s="300">
        <f>'9.1. melléklet'!E101</f>
        <v>0</v>
      </c>
      <c r="F100" s="300">
        <f>'9.1. melléklet'!F101</f>
        <v>0</v>
      </c>
    </row>
    <row r="101" spans="1:6" ht="12" customHeight="1">
      <c r="A101" s="12" t="s">
        <v>596</v>
      </c>
      <c r="B101" s="139" t="s">
        <v>223</v>
      </c>
      <c r="C101" s="300">
        <v>138942641</v>
      </c>
      <c r="D101" s="300">
        <v>145675580</v>
      </c>
      <c r="E101" s="300">
        <v>150359307</v>
      </c>
      <c r="F101" s="300">
        <v>153305910</v>
      </c>
    </row>
    <row r="102" spans="1:6" ht="12" customHeight="1">
      <c r="A102" s="12" t="s">
        <v>597</v>
      </c>
      <c r="B102" s="139" t="s">
        <v>309</v>
      </c>
      <c r="C102" s="300">
        <f>'9.1. melléklet'!C103</f>
        <v>2000000</v>
      </c>
      <c r="D102" s="300">
        <f>'9.1. melléklet'!D103</f>
        <v>0</v>
      </c>
      <c r="E102" s="300">
        <f>'9.1. melléklet'!E103</f>
        <v>0</v>
      </c>
      <c r="F102" s="300">
        <f>'9.1. melléklet'!F103</f>
        <v>0</v>
      </c>
    </row>
    <row r="103" spans="1:6" ht="12" customHeight="1">
      <c r="A103" s="12" t="s">
        <v>599</v>
      </c>
      <c r="B103" s="140" t="s">
        <v>33</v>
      </c>
      <c r="C103" s="300">
        <f>'9.1. melléklet'!C104</f>
        <v>0</v>
      </c>
      <c r="D103" s="300">
        <f>'9.1. melléklet'!D104</f>
        <v>0</v>
      </c>
      <c r="E103" s="300">
        <f>'9.1. melléklet'!E104</f>
        <v>0</v>
      </c>
      <c r="F103" s="300">
        <f>'9.1. melléklet'!F104</f>
        <v>0</v>
      </c>
    </row>
    <row r="104" spans="1:6" ht="12" customHeight="1">
      <c r="A104" s="11" t="s">
        <v>662</v>
      </c>
      <c r="B104" s="141" t="s">
        <v>34</v>
      </c>
      <c r="C104" s="300">
        <f>'9.1. melléklet'!C105</f>
        <v>0</v>
      </c>
      <c r="D104" s="300">
        <f>'9.1. melléklet'!D105</f>
        <v>0</v>
      </c>
      <c r="E104" s="300">
        <f>'9.1. melléklet'!E105</f>
        <v>0</v>
      </c>
      <c r="F104" s="300">
        <f>'9.1. melléklet'!F105</f>
        <v>0</v>
      </c>
    </row>
    <row r="105" spans="1:6" ht="12" customHeight="1">
      <c r="A105" s="12" t="s">
        <v>24</v>
      </c>
      <c r="B105" s="140" t="s">
        <v>299</v>
      </c>
      <c r="C105" s="300">
        <f>'9.1. melléklet'!C106</f>
        <v>0</v>
      </c>
      <c r="D105" s="300">
        <f>'9.1. melléklet'!D106</f>
        <v>0</v>
      </c>
      <c r="E105" s="300">
        <f>'9.1. melléklet'!E106</f>
        <v>0</v>
      </c>
      <c r="F105" s="300">
        <f>'9.1. melléklet'!F106</f>
        <v>0</v>
      </c>
    </row>
    <row r="106" spans="1:6" ht="12" customHeight="1" thickBot="1">
      <c r="A106" s="16" t="s">
        <v>25</v>
      </c>
      <c r="B106" s="667" t="s">
        <v>36</v>
      </c>
      <c r="C106" s="300">
        <f>'9.1. melléklet'!C107</f>
        <v>3200000</v>
      </c>
      <c r="D106" s="300">
        <f>'9.1. melléklet'!D107</f>
        <v>3200000</v>
      </c>
      <c r="E106" s="300">
        <f>'9.1. melléklet'!E107</f>
        <v>3200000</v>
      </c>
      <c r="F106" s="300">
        <v>3700000</v>
      </c>
    </row>
    <row r="107" spans="1:6" ht="12" customHeight="1" thickBot="1">
      <c r="A107" s="18" t="s">
        <v>497</v>
      </c>
      <c r="B107" s="28" t="s">
        <v>37</v>
      </c>
      <c r="C107" s="296">
        <f>+C108+C110+C112</f>
        <v>321411285</v>
      </c>
      <c r="D107" s="296">
        <f>+D108+D110+D112</f>
        <v>337926285</v>
      </c>
      <c r="E107" s="296">
        <f>+E108+E110+E112</f>
        <v>917456271</v>
      </c>
      <c r="F107" s="296">
        <f>+F108+F110+F112</f>
        <v>942185856</v>
      </c>
    </row>
    <row r="108" spans="1:6" ht="12" customHeight="1">
      <c r="A108" s="13" t="s">
        <v>585</v>
      </c>
      <c r="B108" s="6" t="s">
        <v>310</v>
      </c>
      <c r="C108" s="299">
        <v>140411285</v>
      </c>
      <c r="D108" s="299">
        <v>140411285</v>
      </c>
      <c r="E108" s="299">
        <v>604317519</v>
      </c>
      <c r="F108" s="299">
        <v>629047104</v>
      </c>
    </row>
    <row r="109" spans="1:6" ht="12" customHeight="1">
      <c r="A109" s="13" t="s">
        <v>586</v>
      </c>
      <c r="B109" s="10" t="s">
        <v>41</v>
      </c>
      <c r="C109" s="299">
        <f>'9.1. melléklet'!C110</f>
        <v>0</v>
      </c>
      <c r="D109" s="299">
        <f>'9.1. melléklet'!D110</f>
        <v>0</v>
      </c>
      <c r="E109" s="299">
        <f>'9.1. melléklet'!E110</f>
        <v>0</v>
      </c>
      <c r="F109" s="299">
        <f>'9.1. melléklet'!F110</f>
        <v>0</v>
      </c>
    </row>
    <row r="110" spans="1:6" ht="12" customHeight="1">
      <c r="A110" s="13" t="s">
        <v>587</v>
      </c>
      <c r="B110" s="10" t="s">
        <v>663</v>
      </c>
      <c r="C110" s="299">
        <v>181000000</v>
      </c>
      <c r="D110" s="299">
        <v>181000000</v>
      </c>
      <c r="E110" s="299">
        <v>296623752</v>
      </c>
      <c r="F110" s="299">
        <v>296623752</v>
      </c>
    </row>
    <row r="111" spans="1:6" ht="12" customHeight="1">
      <c r="A111" s="13" t="s">
        <v>588</v>
      </c>
      <c r="B111" s="10" t="s">
        <v>42</v>
      </c>
      <c r="C111" s="299">
        <f>'9.1. melléklet'!C112</f>
        <v>0</v>
      </c>
      <c r="D111" s="299">
        <f>'9.1. melléklet'!D112</f>
        <v>0</v>
      </c>
      <c r="E111" s="299">
        <f>'9.1. melléklet'!E112</f>
        <v>0</v>
      </c>
      <c r="F111" s="299">
        <f>'9.1. melléklet'!F112</f>
        <v>0</v>
      </c>
    </row>
    <row r="112" spans="1:6" ht="12" customHeight="1">
      <c r="A112" s="13" t="s">
        <v>589</v>
      </c>
      <c r="B112" s="293" t="s">
        <v>710</v>
      </c>
      <c r="C112" s="299"/>
      <c r="D112" s="299">
        <f>D120</f>
        <v>16515000</v>
      </c>
      <c r="E112" s="299">
        <v>16515000</v>
      </c>
      <c r="F112" s="299">
        <v>16515000</v>
      </c>
    </row>
    <row r="113" spans="1:6" ht="12" customHeight="1">
      <c r="A113" s="13" t="s">
        <v>598</v>
      </c>
      <c r="B113" s="292" t="s">
        <v>155</v>
      </c>
      <c r="C113" s="299">
        <f>'9.1. melléklet'!C114</f>
        <v>0</v>
      </c>
      <c r="D113" s="299">
        <f>'9.1. melléklet'!D114</f>
        <v>0</v>
      </c>
      <c r="E113" s="299">
        <f>'9.1. melléklet'!E114</f>
        <v>0</v>
      </c>
      <c r="F113" s="299">
        <f>'9.1. melléklet'!F114</f>
        <v>0</v>
      </c>
    </row>
    <row r="114" spans="1:6" ht="12" customHeight="1">
      <c r="A114" s="13" t="s">
        <v>600</v>
      </c>
      <c r="B114" s="398" t="s">
        <v>47</v>
      </c>
      <c r="C114" s="299">
        <f>'9.1. melléklet'!C115</f>
        <v>0</v>
      </c>
      <c r="D114" s="299">
        <f>'9.1. melléklet'!D115</f>
        <v>0</v>
      </c>
      <c r="E114" s="299">
        <f>'9.1. melléklet'!E115</f>
        <v>0</v>
      </c>
      <c r="F114" s="299">
        <f>'9.1. melléklet'!F115</f>
        <v>0</v>
      </c>
    </row>
    <row r="115" spans="1:6" ht="15.75">
      <c r="A115" s="13" t="s">
        <v>664</v>
      </c>
      <c r="B115" s="140" t="s">
        <v>341</v>
      </c>
      <c r="C115" s="299"/>
      <c r="D115" s="299"/>
      <c r="E115" s="299"/>
      <c r="F115" s="299"/>
    </row>
    <row r="116" spans="1:6" ht="12" customHeight="1">
      <c r="A116" s="13" t="s">
        <v>665</v>
      </c>
      <c r="B116" s="140" t="s">
        <v>343</v>
      </c>
      <c r="C116" s="299"/>
      <c r="D116" s="299"/>
      <c r="E116" s="299"/>
      <c r="F116" s="299"/>
    </row>
    <row r="117" spans="1:6" ht="12" customHeight="1">
      <c r="A117" s="13" t="s">
        <v>666</v>
      </c>
      <c r="B117" s="140" t="s">
        <v>45</v>
      </c>
      <c r="C117" s="299">
        <f>'9.1. melléklet'!C118</f>
        <v>0</v>
      </c>
      <c r="D117" s="299">
        <f>'9.1. melléklet'!D118</f>
        <v>0</v>
      </c>
      <c r="E117" s="299">
        <f>'9.1. melléklet'!E118</f>
        <v>0</v>
      </c>
      <c r="F117" s="299">
        <f>'9.1. melléklet'!F118</f>
        <v>0</v>
      </c>
    </row>
    <row r="118" spans="1:6" ht="12" customHeight="1">
      <c r="A118" s="13" t="s">
        <v>38</v>
      </c>
      <c r="B118" s="140" t="s">
        <v>33</v>
      </c>
      <c r="C118" s="299">
        <f>'9.1. melléklet'!C119</f>
        <v>0</v>
      </c>
      <c r="D118" s="299">
        <f>'9.1. melléklet'!D119</f>
        <v>0</v>
      </c>
      <c r="E118" s="299">
        <f>'9.1. melléklet'!E119</f>
        <v>0</v>
      </c>
      <c r="F118" s="299">
        <f>'9.1. melléklet'!F119</f>
        <v>0</v>
      </c>
    </row>
    <row r="119" spans="1:6" ht="12" customHeight="1">
      <c r="A119" s="13" t="s">
        <v>39</v>
      </c>
      <c r="B119" s="140" t="s">
        <v>44</v>
      </c>
      <c r="C119" s="299">
        <f>'9.1. melléklet'!C120</f>
        <v>0</v>
      </c>
      <c r="D119" s="299">
        <f>'9.1. melléklet'!D120</f>
        <v>0</v>
      </c>
      <c r="E119" s="299">
        <f>'9.1. melléklet'!E120</f>
        <v>0</v>
      </c>
      <c r="F119" s="299">
        <f>'9.1. melléklet'!F120</f>
        <v>0</v>
      </c>
    </row>
    <row r="120" spans="1:6" ht="16.5" thickBot="1">
      <c r="A120" s="11" t="s">
        <v>40</v>
      </c>
      <c r="B120" s="140" t="s">
        <v>43</v>
      </c>
      <c r="C120" s="299">
        <f>'9.1. melléklet'!C121</f>
        <v>0</v>
      </c>
      <c r="D120" s="299">
        <f>'9.1. melléklet'!D121</f>
        <v>16515000</v>
      </c>
      <c r="E120" s="299">
        <f>'9.1. melléklet'!E121</f>
        <v>16515000</v>
      </c>
      <c r="F120" s="299">
        <f>'9.1. melléklet'!F121</f>
        <v>16515000</v>
      </c>
    </row>
    <row r="121" spans="1:6" ht="12" customHeight="1" thickBot="1">
      <c r="A121" s="18" t="s">
        <v>498</v>
      </c>
      <c r="B121" s="122" t="s">
        <v>48</v>
      </c>
      <c r="C121" s="296">
        <f>+C122+C123</f>
        <v>369260504</v>
      </c>
      <c r="D121" s="296">
        <f>+D122+D123</f>
        <v>236125274</v>
      </c>
      <c r="E121" s="296">
        <f>+E122+E123</f>
        <v>206289199</v>
      </c>
      <c r="F121" s="296">
        <f>+F122+F123</f>
        <v>327931485</v>
      </c>
    </row>
    <row r="122" spans="1:6" ht="12" customHeight="1">
      <c r="A122" s="13" t="s">
        <v>568</v>
      </c>
      <c r="B122" s="7" t="s">
        <v>537</v>
      </c>
      <c r="C122" s="299">
        <v>38342762</v>
      </c>
      <c r="D122" s="299">
        <v>21722532</v>
      </c>
      <c r="E122" s="299">
        <v>17204866</v>
      </c>
      <c r="F122" s="299">
        <v>20922905</v>
      </c>
    </row>
    <row r="123" spans="1:6" ht="12" customHeight="1" thickBot="1">
      <c r="A123" s="14" t="s">
        <v>569</v>
      </c>
      <c r="B123" s="10" t="s">
        <v>538</v>
      </c>
      <c r="C123" s="299">
        <v>330917742</v>
      </c>
      <c r="D123" s="299">
        <v>214402742</v>
      </c>
      <c r="E123" s="299">
        <v>189084333</v>
      </c>
      <c r="F123" s="299">
        <v>307008580</v>
      </c>
    </row>
    <row r="124" spans="1:6" ht="12" customHeight="1" thickBot="1">
      <c r="A124" s="18" t="s">
        <v>499</v>
      </c>
      <c r="B124" s="122" t="s">
        <v>49</v>
      </c>
      <c r="C124" s="296">
        <f>+C91+C107+C121</f>
        <v>1317597984</v>
      </c>
      <c r="D124" s="296">
        <f>+D91+D107+D121</f>
        <v>1219759492</v>
      </c>
      <c r="E124" s="296">
        <f>+E91+E107+E121</f>
        <v>1791130961</v>
      </c>
      <c r="F124" s="296">
        <f>+F91+F107+F121</f>
        <v>1954377772</v>
      </c>
    </row>
    <row r="125" spans="1:6" ht="12" customHeight="1" thickBot="1">
      <c r="A125" s="18" t="s">
        <v>500</v>
      </c>
      <c r="B125" s="122" t="s">
        <v>50</v>
      </c>
      <c r="C125" s="296">
        <f>+C126+C127+C128</f>
        <v>0</v>
      </c>
      <c r="D125" s="296">
        <f>+D126+D127+D128</f>
        <v>0</v>
      </c>
      <c r="E125" s="296">
        <f>+E126+E127+E128</f>
        <v>0</v>
      </c>
      <c r="F125" s="296">
        <f>+F126+F127+F128</f>
        <v>0</v>
      </c>
    </row>
    <row r="126" spans="1:6" ht="12" customHeight="1">
      <c r="A126" s="13" t="s">
        <v>572</v>
      </c>
      <c r="B126" s="7" t="s">
        <v>51</v>
      </c>
      <c r="C126" s="269"/>
      <c r="D126" s="269"/>
      <c r="E126" s="269"/>
      <c r="F126" s="269"/>
    </row>
    <row r="127" spans="1:6" ht="12" customHeight="1">
      <c r="A127" s="13" t="s">
        <v>573</v>
      </c>
      <c r="B127" s="7" t="s">
        <v>52</v>
      </c>
      <c r="C127" s="269"/>
      <c r="D127" s="269"/>
      <c r="E127" s="269"/>
      <c r="F127" s="269"/>
    </row>
    <row r="128" spans="1:6" ht="12" customHeight="1" thickBot="1">
      <c r="A128" s="11" t="s">
        <v>574</v>
      </c>
      <c r="B128" s="5" t="s">
        <v>53</v>
      </c>
      <c r="C128" s="269"/>
      <c r="D128" s="269"/>
      <c r="E128" s="269"/>
      <c r="F128" s="269"/>
    </row>
    <row r="129" spans="1:6" ht="12" customHeight="1" thickBot="1">
      <c r="A129" s="18" t="s">
        <v>501</v>
      </c>
      <c r="B129" s="122" t="s">
        <v>114</v>
      </c>
      <c r="C129" s="296">
        <f>+C130+C131+C132+C133</f>
        <v>0</v>
      </c>
      <c r="D129" s="296">
        <f>+D130+D131+D132+D133</f>
        <v>100000000</v>
      </c>
      <c r="E129" s="296">
        <f>+E130+E131+E132+E133</f>
        <v>100000000</v>
      </c>
      <c r="F129" s="296">
        <f>+F130+F131+F132+F133</f>
        <v>250000000</v>
      </c>
    </row>
    <row r="130" spans="1:6" ht="12" customHeight="1">
      <c r="A130" s="13" t="s">
        <v>575</v>
      </c>
      <c r="B130" s="7" t="s">
        <v>54</v>
      </c>
      <c r="C130" s="269"/>
      <c r="D130" s="269">
        <v>100000000</v>
      </c>
      <c r="E130" s="269">
        <v>100000000</v>
      </c>
      <c r="F130" s="269">
        <v>250000000</v>
      </c>
    </row>
    <row r="131" spans="1:6" ht="12" customHeight="1">
      <c r="A131" s="13" t="s">
        <v>576</v>
      </c>
      <c r="B131" s="7" t="s">
        <v>55</v>
      </c>
      <c r="C131" s="269"/>
      <c r="D131" s="269"/>
      <c r="E131" s="269"/>
      <c r="F131" s="269"/>
    </row>
    <row r="132" spans="1:6" ht="12" customHeight="1">
      <c r="A132" s="13" t="s">
        <v>781</v>
      </c>
      <c r="B132" s="7" t="s">
        <v>56</v>
      </c>
      <c r="C132" s="269"/>
      <c r="D132" s="269"/>
      <c r="E132" s="269"/>
      <c r="F132" s="269"/>
    </row>
    <row r="133" spans="1:6" ht="12" customHeight="1" thickBot="1">
      <c r="A133" s="11" t="s">
        <v>782</v>
      </c>
      <c r="B133" s="5" t="s">
        <v>57</v>
      </c>
      <c r="C133" s="269"/>
      <c r="D133" s="269"/>
      <c r="E133" s="269"/>
      <c r="F133" s="269"/>
    </row>
    <row r="134" spans="1:6" ht="12" customHeight="1" thickBot="1">
      <c r="A134" s="18" t="s">
        <v>502</v>
      </c>
      <c r="B134" s="122" t="s">
        <v>58</v>
      </c>
      <c r="C134" s="302">
        <f>+C135+C136+C137+C138</f>
        <v>0</v>
      </c>
      <c r="D134" s="302">
        <f>+D135+D136+D137+D138</f>
        <v>16048887</v>
      </c>
      <c r="E134" s="302">
        <f>+E135+E136+E137+E138</f>
        <v>16048887</v>
      </c>
      <c r="F134" s="302">
        <f>+F135+F136+F137+F138</f>
        <v>16048887</v>
      </c>
    </row>
    <row r="135" spans="1:6" ht="12" customHeight="1">
      <c r="A135" s="13" t="s">
        <v>577</v>
      </c>
      <c r="B135" s="7" t="s">
        <v>59</v>
      </c>
      <c r="C135" s="269"/>
      <c r="D135" s="269">
        <v>14042123</v>
      </c>
      <c r="E135" s="269">
        <v>14042123</v>
      </c>
      <c r="F135" s="269">
        <v>14042123</v>
      </c>
    </row>
    <row r="136" spans="1:6" ht="12" customHeight="1">
      <c r="A136" s="13" t="s">
        <v>578</v>
      </c>
      <c r="B136" s="7" t="s">
        <v>875</v>
      </c>
      <c r="C136" s="269"/>
      <c r="D136" s="269">
        <v>2006764</v>
      </c>
      <c r="E136" s="269">
        <v>2006764</v>
      </c>
      <c r="F136" s="269">
        <v>2006764</v>
      </c>
    </row>
    <row r="137" spans="1:6" ht="12" customHeight="1">
      <c r="A137" s="13" t="s">
        <v>793</v>
      </c>
      <c r="B137" s="7" t="s">
        <v>365</v>
      </c>
      <c r="C137" s="269"/>
      <c r="D137" s="269"/>
      <c r="E137" s="269"/>
      <c r="F137" s="269"/>
    </row>
    <row r="138" spans="1:6" ht="12" customHeight="1" thickBot="1">
      <c r="A138" s="11" t="s">
        <v>794</v>
      </c>
      <c r="B138" s="5" t="s">
        <v>61</v>
      </c>
      <c r="C138" s="269"/>
      <c r="D138" s="269"/>
      <c r="E138" s="269"/>
      <c r="F138" s="269"/>
    </row>
    <row r="139" spans="1:6" ht="12" customHeight="1" thickBot="1">
      <c r="A139" s="18" t="s">
        <v>503</v>
      </c>
      <c r="B139" s="122" t="s">
        <v>62</v>
      </c>
      <c r="C139" s="897">
        <f>+C140+C141+C142+C143</f>
        <v>0</v>
      </c>
      <c r="D139" s="897">
        <f>+D140+D141+D142+D143</f>
        <v>0</v>
      </c>
      <c r="E139" s="897">
        <f>+E140+E141+E142+E143</f>
        <v>0</v>
      </c>
      <c r="F139" s="897">
        <f>+F140+F141+F142+F143</f>
        <v>0</v>
      </c>
    </row>
    <row r="140" spans="1:6" ht="12" customHeight="1">
      <c r="A140" s="13" t="s">
        <v>657</v>
      </c>
      <c r="B140" s="7" t="s">
        <v>63</v>
      </c>
      <c r="C140" s="269"/>
      <c r="D140" s="269"/>
      <c r="E140" s="269"/>
      <c r="F140" s="269"/>
    </row>
    <row r="141" spans="1:6" ht="12" customHeight="1">
      <c r="A141" s="13" t="s">
        <v>658</v>
      </c>
      <c r="B141" s="7" t="s">
        <v>64</v>
      </c>
      <c r="C141" s="269"/>
      <c r="D141" s="269"/>
      <c r="E141" s="269"/>
      <c r="F141" s="269"/>
    </row>
    <row r="142" spans="1:6" ht="12" customHeight="1">
      <c r="A142" s="13" t="s">
        <v>709</v>
      </c>
      <c r="B142" s="7" t="s">
        <v>65</v>
      </c>
      <c r="C142" s="269"/>
      <c r="D142" s="269"/>
      <c r="E142" s="269"/>
      <c r="F142" s="269"/>
    </row>
    <row r="143" spans="1:6" ht="12" customHeight="1" thickBot="1">
      <c r="A143" s="13" t="s">
        <v>796</v>
      </c>
      <c r="B143" s="7" t="s">
        <v>66</v>
      </c>
      <c r="C143" s="269"/>
      <c r="D143" s="269"/>
      <c r="E143" s="269"/>
      <c r="F143" s="269"/>
    </row>
    <row r="144" spans="1:9" ht="15" customHeight="1" thickBot="1">
      <c r="A144" s="18" t="s">
        <v>504</v>
      </c>
      <c r="B144" s="122" t="s">
        <v>67</v>
      </c>
      <c r="C144" s="414">
        <f>+C125+C129+C134+C139</f>
        <v>0</v>
      </c>
      <c r="D144" s="414">
        <f>+D125+D129+D134+D139</f>
        <v>116048887</v>
      </c>
      <c r="E144" s="414">
        <f>+E125+E129+E134+E139</f>
        <v>116048887</v>
      </c>
      <c r="F144" s="414">
        <f>+F125+F129+F134+F139</f>
        <v>266048887</v>
      </c>
      <c r="G144" s="416"/>
      <c r="H144" s="416"/>
      <c r="I144" s="416"/>
    </row>
    <row r="145" spans="1:6" s="401" customFormat="1" ht="12.75" customHeight="1" thickBot="1">
      <c r="A145" s="294" t="s">
        <v>505</v>
      </c>
      <c r="B145" s="375" t="s">
        <v>68</v>
      </c>
      <c r="C145" s="414">
        <f>+C124+C144</f>
        <v>1317597984</v>
      </c>
      <c r="D145" s="414">
        <f>+D124+D144</f>
        <v>1335808379</v>
      </c>
      <c r="E145" s="414">
        <f>+E124+E144</f>
        <v>1907179848</v>
      </c>
      <c r="F145" s="414">
        <f>+F124+F144</f>
        <v>2220426659</v>
      </c>
    </row>
    <row r="146" ht="7.5" customHeight="1"/>
    <row r="147" spans="1:6" ht="15.75">
      <c r="A147" s="1138" t="s">
        <v>70</v>
      </c>
      <c r="B147" s="1138"/>
      <c r="C147" s="1138"/>
      <c r="D147" s="399"/>
      <c r="E147" s="399"/>
      <c r="F147" s="399"/>
    </row>
    <row r="148" spans="1:6" ht="15" customHeight="1" thickBot="1">
      <c r="A148" s="1135" t="s">
        <v>630</v>
      </c>
      <c r="B148" s="1135"/>
      <c r="C148" s="305"/>
      <c r="D148" s="305"/>
      <c r="E148" s="305"/>
      <c r="F148" s="305"/>
    </row>
    <row r="149" spans="1:6" ht="13.5" customHeight="1" thickBot="1">
      <c r="A149" s="18">
        <v>1</v>
      </c>
      <c r="B149" s="28" t="s">
        <v>71</v>
      </c>
      <c r="C149" s="296">
        <f>+C62-C124</f>
        <v>-494880000</v>
      </c>
      <c r="D149" s="296">
        <f>+D62-D124</f>
        <v>-383669195</v>
      </c>
      <c r="E149" s="296">
        <f>+E62-E124</f>
        <v>-383669195</v>
      </c>
      <c r="F149" s="296">
        <f>+F62-F124</f>
        <v>-453696342</v>
      </c>
    </row>
    <row r="150" spans="1:6" ht="21.75" thickBot="1">
      <c r="A150" s="18" t="s">
        <v>497</v>
      </c>
      <c r="B150" s="28" t="s">
        <v>72</v>
      </c>
      <c r="C150" s="296">
        <f>+C85-C144</f>
        <v>494880000</v>
      </c>
      <c r="D150" s="296">
        <f>+D85-D144</f>
        <v>383669195</v>
      </c>
      <c r="E150" s="296">
        <f>+E85-E144</f>
        <v>383669195</v>
      </c>
      <c r="F150" s="296">
        <f>+F85-F144</f>
        <v>453696342</v>
      </c>
    </row>
    <row r="152" ht="15.75">
      <c r="A152" s="376" t="s">
        <v>907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>
    <oddHeader>&amp;C&amp;"Times New Roman CE,Félkövér"&amp;12
Tát Város Önkormányzat
2017. ÉVI KÖLTSÉGVETÉSÉNEK ÖSSZEVONT MÉRLEGE&amp;10
&amp;R&amp;"Times New Roman CE,Félkövér dőlt"&amp;11 1.1. melléklet az 1 /2017. (II.7.) önkormányzati rendelethez</oddHeader>
  </headerFooter>
  <rowBreaks count="1" manualBreakCount="1">
    <brk id="8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4" width="25.00390625" style="248" customWidth="1"/>
    <col min="5" max="16384" width="9.375" style="248" customWidth="1"/>
  </cols>
  <sheetData>
    <row r="1" spans="1:4" s="227" customFormat="1" ht="21" customHeight="1" thickBot="1">
      <c r="A1" s="226"/>
      <c r="B1" s="228"/>
      <c r="C1" s="440"/>
      <c r="D1" s="440" t="s">
        <v>884</v>
      </c>
    </row>
    <row r="2" spans="1:4" s="441" customFormat="1" ht="25.5" customHeight="1">
      <c r="A2" s="392" t="s">
        <v>680</v>
      </c>
      <c r="B2" s="354" t="s">
        <v>163</v>
      </c>
      <c r="C2" s="369"/>
      <c r="D2" s="369" t="s">
        <v>539</v>
      </c>
    </row>
    <row r="3" spans="1:4" s="441" customFormat="1" ht="24.75" thickBot="1">
      <c r="A3" s="433" t="s">
        <v>679</v>
      </c>
      <c r="B3" s="355" t="s">
        <v>144</v>
      </c>
      <c r="C3" s="370"/>
      <c r="D3" s="370" t="s">
        <v>540</v>
      </c>
    </row>
    <row r="4" spans="1:4" s="442" customFormat="1" ht="15.75" customHeight="1" thickBot="1">
      <c r="A4" s="230"/>
      <c r="B4" s="230"/>
      <c r="C4" s="231"/>
      <c r="D4" s="231"/>
    </row>
    <row r="5" spans="1:4" ht="13.5" thickBot="1">
      <c r="A5" s="393" t="s">
        <v>681</v>
      </c>
      <c r="B5" s="232" t="s">
        <v>531</v>
      </c>
      <c r="C5" s="233" t="s">
        <v>532</v>
      </c>
      <c r="D5" s="233" t="s">
        <v>532</v>
      </c>
    </row>
    <row r="6" spans="1:4" s="443" customFormat="1" ht="12.75" customHeight="1" thickBot="1">
      <c r="A6" s="199">
        <v>1</v>
      </c>
      <c r="B6" s="200">
        <v>2</v>
      </c>
      <c r="C6" s="201">
        <v>3</v>
      </c>
      <c r="D6" s="201">
        <v>4</v>
      </c>
    </row>
    <row r="7" spans="1:4" s="443" customFormat="1" ht="15.75" customHeight="1" thickBot="1">
      <c r="A7" s="234"/>
      <c r="B7" s="235" t="s">
        <v>533</v>
      </c>
      <c r="C7" s="236"/>
      <c r="D7" s="236"/>
    </row>
    <row r="8" spans="1:4" s="371" customFormat="1" ht="12" customHeight="1" thickBot="1">
      <c r="A8" s="199" t="s">
        <v>496</v>
      </c>
      <c r="B8" s="237" t="s">
        <v>121</v>
      </c>
      <c r="C8" s="314">
        <f>SUM(C9:C18)</f>
        <v>0</v>
      </c>
      <c r="D8" s="314">
        <f>SUM(D9:D18)</f>
        <v>0</v>
      </c>
    </row>
    <row r="9" spans="1:4" s="371" customFormat="1" ht="12" customHeight="1">
      <c r="A9" s="434" t="s">
        <v>579</v>
      </c>
      <c r="B9" s="8" t="s">
        <v>770</v>
      </c>
      <c r="C9" s="360"/>
      <c r="D9" s="360"/>
    </row>
    <row r="10" spans="1:4" s="371" customFormat="1" ht="12" customHeight="1">
      <c r="A10" s="435" t="s">
        <v>580</v>
      </c>
      <c r="B10" s="6" t="s">
        <v>771</v>
      </c>
      <c r="C10" s="312"/>
      <c r="D10" s="312"/>
    </row>
    <row r="11" spans="1:4" s="371" customFormat="1" ht="12" customHeight="1">
      <c r="A11" s="435" t="s">
        <v>581</v>
      </c>
      <c r="B11" s="6" t="s">
        <v>772</v>
      </c>
      <c r="C11" s="312"/>
      <c r="D11" s="312"/>
    </row>
    <row r="12" spans="1:4" s="371" customFormat="1" ht="12" customHeight="1">
      <c r="A12" s="435" t="s">
        <v>582</v>
      </c>
      <c r="B12" s="6" t="s">
        <v>773</v>
      </c>
      <c r="C12" s="312"/>
      <c r="D12" s="312"/>
    </row>
    <row r="13" spans="1:4" s="371" customFormat="1" ht="12" customHeight="1">
      <c r="A13" s="435" t="s">
        <v>624</v>
      </c>
      <c r="B13" s="6" t="s">
        <v>774</v>
      </c>
      <c r="C13" s="312"/>
      <c r="D13" s="312"/>
    </row>
    <row r="14" spans="1:4" s="371" customFormat="1" ht="12" customHeight="1">
      <c r="A14" s="435" t="s">
        <v>583</v>
      </c>
      <c r="B14" s="6" t="s">
        <v>122</v>
      </c>
      <c r="C14" s="312"/>
      <c r="D14" s="312"/>
    </row>
    <row r="15" spans="1:4" s="371" customFormat="1" ht="12" customHeight="1">
      <c r="A15" s="435" t="s">
        <v>584</v>
      </c>
      <c r="B15" s="5" t="s">
        <v>123</v>
      </c>
      <c r="C15" s="312"/>
      <c r="D15" s="312"/>
    </row>
    <row r="16" spans="1:4" s="371" customFormat="1" ht="12" customHeight="1">
      <c r="A16" s="435" t="s">
        <v>594</v>
      </c>
      <c r="B16" s="6" t="s">
        <v>777</v>
      </c>
      <c r="C16" s="361"/>
      <c r="D16" s="361"/>
    </row>
    <row r="17" spans="1:4" s="444" customFormat="1" ht="12" customHeight="1">
      <c r="A17" s="435" t="s">
        <v>595</v>
      </c>
      <c r="B17" s="6" t="s">
        <v>778</v>
      </c>
      <c r="C17" s="312"/>
      <c r="D17" s="312"/>
    </row>
    <row r="18" spans="1:4" s="444" customFormat="1" ht="12" customHeight="1" thickBot="1">
      <c r="A18" s="435" t="s">
        <v>596</v>
      </c>
      <c r="B18" s="5" t="s">
        <v>779</v>
      </c>
      <c r="C18" s="313"/>
      <c r="D18" s="313"/>
    </row>
    <row r="19" spans="1:4" s="371" customFormat="1" ht="12" customHeight="1" thickBot="1">
      <c r="A19" s="199" t="s">
        <v>497</v>
      </c>
      <c r="B19" s="237" t="s">
        <v>124</v>
      </c>
      <c r="C19" s="314">
        <f>SUM(C20:C22)</f>
        <v>0</v>
      </c>
      <c r="D19" s="314">
        <f>SUM(D20:D22)</f>
        <v>0</v>
      </c>
    </row>
    <row r="20" spans="1:4" s="444" customFormat="1" ht="12" customHeight="1">
      <c r="A20" s="435" t="s">
        <v>585</v>
      </c>
      <c r="B20" s="7" t="s">
        <v>745</v>
      </c>
      <c r="C20" s="312"/>
      <c r="D20" s="312"/>
    </row>
    <row r="21" spans="1:4" s="444" customFormat="1" ht="12" customHeight="1">
      <c r="A21" s="435" t="s">
        <v>586</v>
      </c>
      <c r="B21" s="6" t="s">
        <v>125</v>
      </c>
      <c r="C21" s="312"/>
      <c r="D21" s="312"/>
    </row>
    <row r="22" spans="1:4" s="444" customFormat="1" ht="12" customHeight="1">
      <c r="A22" s="435" t="s">
        <v>587</v>
      </c>
      <c r="B22" s="6" t="s">
        <v>126</v>
      </c>
      <c r="C22" s="312"/>
      <c r="D22" s="312"/>
    </row>
    <row r="23" spans="1:4" s="444" customFormat="1" ht="12" customHeight="1" thickBot="1">
      <c r="A23" s="435" t="s">
        <v>588</v>
      </c>
      <c r="B23" s="6" t="s">
        <v>480</v>
      </c>
      <c r="C23" s="312"/>
      <c r="D23" s="312"/>
    </row>
    <row r="24" spans="1:4" s="444" customFormat="1" ht="12" customHeight="1" thickBot="1">
      <c r="A24" s="207" t="s">
        <v>498</v>
      </c>
      <c r="B24" s="122" t="s">
        <v>650</v>
      </c>
      <c r="C24" s="340"/>
      <c r="D24" s="340"/>
    </row>
    <row r="25" spans="1:4" s="444" customFormat="1" ht="12" customHeight="1" thickBot="1">
      <c r="A25" s="207" t="s">
        <v>499</v>
      </c>
      <c r="B25" s="122" t="s">
        <v>127</v>
      </c>
      <c r="C25" s="314">
        <f>+C26+C27</f>
        <v>0</v>
      </c>
      <c r="D25" s="314">
        <f>+D26+D27</f>
        <v>0</v>
      </c>
    </row>
    <row r="26" spans="1:4" s="444" customFormat="1" ht="12" customHeight="1">
      <c r="A26" s="436" t="s">
        <v>755</v>
      </c>
      <c r="B26" s="437" t="s">
        <v>125</v>
      </c>
      <c r="C26" s="76"/>
      <c r="D26" s="76"/>
    </row>
    <row r="27" spans="1:4" s="444" customFormat="1" ht="12" customHeight="1">
      <c r="A27" s="436" t="s">
        <v>758</v>
      </c>
      <c r="B27" s="438" t="s">
        <v>128</v>
      </c>
      <c r="C27" s="315"/>
      <c r="D27" s="315"/>
    </row>
    <row r="28" spans="1:4" s="444" customFormat="1" ht="12" customHeight="1" thickBot="1">
      <c r="A28" s="435" t="s">
        <v>759</v>
      </c>
      <c r="B28" s="439" t="s">
        <v>129</v>
      </c>
      <c r="C28" s="83"/>
      <c r="D28" s="83"/>
    </row>
    <row r="29" spans="1:4" s="444" customFormat="1" ht="12" customHeight="1" thickBot="1">
      <c r="A29" s="207" t="s">
        <v>500</v>
      </c>
      <c r="B29" s="122" t="s">
        <v>130</v>
      </c>
      <c r="C29" s="314">
        <f>+C30+C31+C32</f>
        <v>0</v>
      </c>
      <c r="D29" s="314">
        <f>+D30+D31+D32</f>
        <v>0</v>
      </c>
    </row>
    <row r="30" spans="1:4" s="444" customFormat="1" ht="12" customHeight="1">
      <c r="A30" s="436" t="s">
        <v>572</v>
      </c>
      <c r="B30" s="437" t="s">
        <v>784</v>
      </c>
      <c r="C30" s="76"/>
      <c r="D30" s="76"/>
    </row>
    <row r="31" spans="1:4" s="444" customFormat="1" ht="12" customHeight="1">
      <c r="A31" s="436" t="s">
        <v>573</v>
      </c>
      <c r="B31" s="438" t="s">
        <v>785</v>
      </c>
      <c r="C31" s="315"/>
      <c r="D31" s="315"/>
    </row>
    <row r="32" spans="1:4" s="444" customFormat="1" ht="12" customHeight="1" thickBot="1">
      <c r="A32" s="435" t="s">
        <v>574</v>
      </c>
      <c r="B32" s="138" t="s">
        <v>786</v>
      </c>
      <c r="C32" s="83"/>
      <c r="D32" s="83"/>
    </row>
    <row r="33" spans="1:4" s="371" customFormat="1" ht="12" customHeight="1" thickBot="1">
      <c r="A33" s="207" t="s">
        <v>501</v>
      </c>
      <c r="B33" s="122" t="s">
        <v>75</v>
      </c>
      <c r="C33" s="340"/>
      <c r="D33" s="340"/>
    </row>
    <row r="34" spans="1:4" s="371" customFormat="1" ht="12" customHeight="1" thickBot="1">
      <c r="A34" s="207" t="s">
        <v>502</v>
      </c>
      <c r="B34" s="122" t="s">
        <v>131</v>
      </c>
      <c r="C34" s="362"/>
      <c r="D34" s="362"/>
    </row>
    <row r="35" spans="1:4" s="371" customFormat="1" ht="12" customHeight="1" thickBot="1">
      <c r="A35" s="199" t="s">
        <v>503</v>
      </c>
      <c r="B35" s="122" t="s">
        <v>132</v>
      </c>
      <c r="C35" s="363">
        <f>+C8+C19+C24+C25+C29+C33+C34</f>
        <v>0</v>
      </c>
      <c r="D35" s="363">
        <f>+D8+D19+D24+D25+D29+D33+D34</f>
        <v>0</v>
      </c>
    </row>
    <row r="36" spans="1:4" s="371" customFormat="1" ht="12" customHeight="1" thickBot="1">
      <c r="A36" s="238" t="s">
        <v>504</v>
      </c>
      <c r="B36" s="122" t="s">
        <v>133</v>
      </c>
      <c r="C36" s="363">
        <f>+C37+C38+C39</f>
        <v>0</v>
      </c>
      <c r="D36" s="363">
        <f>+D37+D38+D39</f>
        <v>0</v>
      </c>
    </row>
    <row r="37" spans="1:4" s="371" customFormat="1" ht="12" customHeight="1">
      <c r="A37" s="436" t="s">
        <v>134</v>
      </c>
      <c r="B37" s="437" t="s">
        <v>717</v>
      </c>
      <c r="C37" s="76"/>
      <c r="D37" s="76"/>
    </row>
    <row r="38" spans="1:4" s="371" customFormat="1" ht="12" customHeight="1">
      <c r="A38" s="436" t="s">
        <v>135</v>
      </c>
      <c r="B38" s="438" t="s">
        <v>481</v>
      </c>
      <c r="C38" s="315"/>
      <c r="D38" s="315"/>
    </row>
    <row r="39" spans="1:4" s="444" customFormat="1" ht="12" customHeight="1" thickBot="1">
      <c r="A39" s="435" t="s">
        <v>136</v>
      </c>
      <c r="B39" s="138" t="s">
        <v>137</v>
      </c>
      <c r="C39" s="83"/>
      <c r="D39" s="83"/>
    </row>
    <row r="40" spans="1:4" s="444" customFormat="1" ht="15" customHeight="1" thickBot="1">
      <c r="A40" s="238" t="s">
        <v>505</v>
      </c>
      <c r="B40" s="239" t="s">
        <v>138</v>
      </c>
      <c r="C40" s="366">
        <f>+C35+C36</f>
        <v>0</v>
      </c>
      <c r="D40" s="366">
        <f>+D35+D36</f>
        <v>0</v>
      </c>
    </row>
    <row r="41" spans="1:4" s="444" customFormat="1" ht="15" customHeight="1">
      <c r="A41" s="240"/>
      <c r="B41" s="241"/>
      <c r="C41" s="364"/>
      <c r="D41" s="364"/>
    </row>
    <row r="42" spans="1:4" ht="13.5" thickBot="1">
      <c r="A42" s="242"/>
      <c r="B42" s="243"/>
      <c r="C42" s="365"/>
      <c r="D42" s="365"/>
    </row>
    <row r="43" spans="1:4" s="443" customFormat="1" ht="16.5" customHeight="1" thickBot="1">
      <c r="A43" s="244"/>
      <c r="B43" s="245" t="s">
        <v>535</v>
      </c>
      <c r="C43" s="366"/>
      <c r="D43" s="366"/>
    </row>
    <row r="44" spans="1:4" s="445" customFormat="1" ht="12" customHeight="1" thickBot="1">
      <c r="A44" s="207" t="s">
        <v>496</v>
      </c>
      <c r="B44" s="122" t="s">
        <v>139</v>
      </c>
      <c r="C44" s="314">
        <f>SUM(C45:C49)</f>
        <v>0</v>
      </c>
      <c r="D44" s="314">
        <f>SUM(D45:D49)</f>
        <v>0</v>
      </c>
    </row>
    <row r="45" spans="1:4" ht="12" customHeight="1">
      <c r="A45" s="435" t="s">
        <v>579</v>
      </c>
      <c r="B45" s="7" t="s">
        <v>526</v>
      </c>
      <c r="C45" s="76"/>
      <c r="D45" s="76"/>
    </row>
    <row r="46" spans="1:4" ht="12" customHeight="1">
      <c r="A46" s="435" t="s">
        <v>580</v>
      </c>
      <c r="B46" s="6" t="s">
        <v>659</v>
      </c>
      <c r="C46" s="79"/>
      <c r="D46" s="79"/>
    </row>
    <row r="47" spans="1:4" ht="12" customHeight="1">
      <c r="A47" s="435" t="s">
        <v>581</v>
      </c>
      <c r="B47" s="6" t="s">
        <v>616</v>
      </c>
      <c r="C47" s="79"/>
      <c r="D47" s="79"/>
    </row>
    <row r="48" spans="1:4" ht="12" customHeight="1">
      <c r="A48" s="435" t="s">
        <v>582</v>
      </c>
      <c r="B48" s="6" t="s">
        <v>660</v>
      </c>
      <c r="C48" s="79"/>
      <c r="D48" s="79"/>
    </row>
    <row r="49" spans="1:4" ht="12" customHeight="1" thickBot="1">
      <c r="A49" s="435" t="s">
        <v>624</v>
      </c>
      <c r="B49" s="6" t="s">
        <v>661</v>
      </c>
      <c r="C49" s="79"/>
      <c r="D49" s="79"/>
    </row>
    <row r="50" spans="1:4" ht="12" customHeight="1" thickBot="1">
      <c r="A50" s="207" t="s">
        <v>497</v>
      </c>
      <c r="B50" s="122" t="s">
        <v>140</v>
      </c>
      <c r="C50" s="314">
        <f>SUM(C51:C53)</f>
        <v>0</v>
      </c>
      <c r="D50" s="314">
        <f>SUM(D51:D53)</f>
        <v>0</v>
      </c>
    </row>
    <row r="51" spans="1:4" s="445" customFormat="1" ht="12" customHeight="1">
      <c r="A51" s="435" t="s">
        <v>585</v>
      </c>
      <c r="B51" s="7" t="s">
        <v>708</v>
      </c>
      <c r="C51" s="76"/>
      <c r="D51" s="76"/>
    </row>
    <row r="52" spans="1:4" ht="12" customHeight="1">
      <c r="A52" s="435" t="s">
        <v>586</v>
      </c>
      <c r="B52" s="6" t="s">
        <v>663</v>
      </c>
      <c r="C52" s="79"/>
      <c r="D52" s="79"/>
    </row>
    <row r="53" spans="1:4" ht="12" customHeight="1">
      <c r="A53" s="435" t="s">
        <v>587</v>
      </c>
      <c r="B53" s="6" t="s">
        <v>536</v>
      </c>
      <c r="C53" s="79"/>
      <c r="D53" s="79"/>
    </row>
    <row r="54" spans="1:4" ht="12" customHeight="1" thickBot="1">
      <c r="A54" s="435" t="s">
        <v>588</v>
      </c>
      <c r="B54" s="6" t="s">
        <v>482</v>
      </c>
      <c r="C54" s="79"/>
      <c r="D54" s="79"/>
    </row>
    <row r="55" spans="1:4" ht="15" customHeight="1" thickBot="1">
      <c r="A55" s="207" t="s">
        <v>498</v>
      </c>
      <c r="B55" s="246" t="s">
        <v>141</v>
      </c>
      <c r="C55" s="367">
        <f>+C44+C50</f>
        <v>0</v>
      </c>
      <c r="D55" s="367">
        <f>+D44+D50</f>
        <v>0</v>
      </c>
    </row>
    <row r="56" spans="3:4" ht="13.5" thickBot="1">
      <c r="C56" s="368"/>
      <c r="D56" s="368"/>
    </row>
    <row r="57" spans="1:4" ht="15" customHeight="1" thickBot="1">
      <c r="A57" s="249" t="s">
        <v>682</v>
      </c>
      <c r="B57" s="250"/>
      <c r="C57" s="119"/>
      <c r="D57" s="119"/>
    </row>
    <row r="58" spans="1:4" ht="14.25" customHeight="1" thickBot="1">
      <c r="A58" s="249" t="s">
        <v>683</v>
      </c>
      <c r="B58" s="250"/>
      <c r="C58" s="119"/>
      <c r="D58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view="pageBreakPreview" zoomScale="60" workbookViewId="0" topLeftCell="A1">
      <selection activeCell="G2" sqref="G2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6" width="25.00390625" style="248" customWidth="1"/>
    <col min="7" max="16384" width="9.375" style="248" customWidth="1"/>
  </cols>
  <sheetData>
    <row r="1" spans="1:6" s="227" customFormat="1" ht="21" customHeight="1" thickBot="1">
      <c r="A1" s="226"/>
      <c r="B1" s="228"/>
      <c r="C1" s="440"/>
      <c r="D1" s="440"/>
      <c r="E1" s="440"/>
      <c r="F1" s="440" t="s">
        <v>885</v>
      </c>
    </row>
    <row r="2" spans="1:6" s="441" customFormat="1" ht="25.5" customHeight="1">
      <c r="A2" s="392" t="s">
        <v>680</v>
      </c>
      <c r="B2" s="354" t="s">
        <v>164</v>
      </c>
      <c r="C2" s="369"/>
      <c r="D2" s="369"/>
      <c r="E2" s="369"/>
      <c r="F2" s="369" t="s">
        <v>540</v>
      </c>
    </row>
    <row r="3" spans="1:6" s="441" customFormat="1" ht="24.75" thickBot="1">
      <c r="A3" s="433" t="s">
        <v>679</v>
      </c>
      <c r="B3" s="355" t="s">
        <v>120</v>
      </c>
      <c r="C3" s="370"/>
      <c r="D3" s="370"/>
      <c r="E3" s="370"/>
      <c r="F3" s="370" t="s">
        <v>530</v>
      </c>
    </row>
    <row r="4" spans="1:6" s="442" customFormat="1" ht="15.75" customHeight="1" thickBot="1">
      <c r="A4" s="627"/>
      <c r="B4" s="628"/>
      <c r="C4" s="629"/>
      <c r="D4" s="629"/>
      <c r="E4" s="629"/>
      <c r="F4" s="629"/>
    </row>
    <row r="5" spans="1:6" ht="13.5" thickBot="1">
      <c r="A5" s="393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  <c r="F5" s="233" t="s">
        <v>532</v>
      </c>
    </row>
    <row r="6" spans="1:6" s="443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  <c r="F6" s="201">
        <v>6</v>
      </c>
    </row>
    <row r="7" spans="1:6" s="443" customFormat="1" ht="15.75" customHeight="1" thickBot="1">
      <c r="A7" s="234"/>
      <c r="B7" s="235" t="s">
        <v>533</v>
      </c>
      <c r="C7" s="236"/>
      <c r="D7" s="236"/>
      <c r="E7" s="236"/>
      <c r="F7" s="236"/>
    </row>
    <row r="8" spans="1:6" s="371" customFormat="1" ht="12" customHeight="1" thickBot="1">
      <c r="A8" s="199" t="s">
        <v>496</v>
      </c>
      <c r="B8" s="237" t="s">
        <v>121</v>
      </c>
      <c r="C8" s="314">
        <v>3030000</v>
      </c>
      <c r="D8" s="314">
        <v>3030000</v>
      </c>
      <c r="E8" s="314">
        <v>3030000</v>
      </c>
      <c r="F8" s="314">
        <f>F10+F13+F16+F18</f>
        <v>5131567</v>
      </c>
    </row>
    <row r="9" spans="1:6" s="371" customFormat="1" ht="12" customHeight="1">
      <c r="A9" s="434" t="s">
        <v>579</v>
      </c>
      <c r="B9" s="8" t="s">
        <v>770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  <c r="F9" s="311">
        <f>'9.3.1.melléklet'!F9+'9.3.2.melléklet'!F9+'9.3.3. melléklet'!F9</f>
        <v>0</v>
      </c>
    </row>
    <row r="10" spans="1:6" s="371" customFormat="1" ht="12" customHeight="1">
      <c r="A10" s="435" t="s">
        <v>580</v>
      </c>
      <c r="B10" s="6" t="s">
        <v>771</v>
      </c>
      <c r="C10" s="311">
        <v>1000000</v>
      </c>
      <c r="D10" s="311">
        <v>1000000</v>
      </c>
      <c r="E10" s="311">
        <v>1209770</v>
      </c>
      <c r="F10" s="311">
        <v>1527050</v>
      </c>
    </row>
    <row r="11" spans="1:6" s="371" customFormat="1" ht="12" customHeight="1">
      <c r="A11" s="435" t="s">
        <v>581</v>
      </c>
      <c r="B11" s="6" t="s">
        <v>772</v>
      </c>
      <c r="C11" s="311"/>
      <c r="D11" s="311"/>
      <c r="E11" s="311"/>
      <c r="F11" s="311"/>
    </row>
    <row r="12" spans="1:6" s="371" customFormat="1" ht="12" customHeight="1">
      <c r="A12" s="435" t="s">
        <v>582</v>
      </c>
      <c r="B12" s="6" t="s">
        <v>773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  <c r="F12" s="311">
        <f>'9.3.1.melléklet'!F12+'9.3.2.melléklet'!F12+'9.3.3. melléklet'!F12</f>
        <v>0</v>
      </c>
    </row>
    <row r="13" spans="1:6" s="371" customFormat="1" ht="12" customHeight="1">
      <c r="A13" s="435" t="s">
        <v>624</v>
      </c>
      <c r="B13" s="6" t="s">
        <v>774</v>
      </c>
      <c r="C13" s="311">
        <v>30000</v>
      </c>
      <c r="D13" s="311">
        <v>30000</v>
      </c>
      <c r="E13" s="311">
        <v>30000</v>
      </c>
      <c r="F13" s="311">
        <v>30000</v>
      </c>
    </row>
    <row r="14" spans="1:6" s="371" customFormat="1" ht="12" customHeight="1">
      <c r="A14" s="435" t="s">
        <v>583</v>
      </c>
      <c r="B14" s="6" t="s">
        <v>122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  <c r="F14" s="311">
        <f>'9.3.1.melléklet'!F14+'9.3.2.melléklet'!F14+'9.3.3. melléklet'!F14</f>
        <v>0</v>
      </c>
    </row>
    <row r="15" spans="1:6" s="371" customFormat="1" ht="12" customHeight="1">
      <c r="A15" s="435" t="s">
        <v>584</v>
      </c>
      <c r="B15" s="5" t="s">
        <v>123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  <c r="F15" s="311">
        <f>'9.3.1.melléklet'!F15+'9.3.2.melléklet'!F15+'9.3.3. melléklet'!F15</f>
        <v>0</v>
      </c>
    </row>
    <row r="16" spans="1:6" s="371" customFormat="1" ht="12" customHeight="1">
      <c r="A16" s="435" t="s">
        <v>594</v>
      </c>
      <c r="B16" s="6" t="s">
        <v>777</v>
      </c>
      <c r="C16" s="311"/>
      <c r="D16" s="311"/>
      <c r="E16" s="311"/>
      <c r="F16" s="311">
        <v>70</v>
      </c>
    </row>
    <row r="17" spans="1:6" s="444" customFormat="1" ht="12" customHeight="1">
      <c r="A17" s="435" t="s">
        <v>595</v>
      </c>
      <c r="B17" s="6" t="s">
        <v>778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  <c r="F17" s="311">
        <f>'9.3.1.melléklet'!F17+'9.3.2.melléklet'!F17+'9.3.3. melléklet'!F17</f>
        <v>0</v>
      </c>
    </row>
    <row r="18" spans="1:6" s="444" customFormat="1" ht="12" customHeight="1" thickBot="1">
      <c r="A18" s="435" t="s">
        <v>596</v>
      </c>
      <c r="B18" s="5" t="s">
        <v>779</v>
      </c>
      <c r="C18" s="311">
        <v>2000000</v>
      </c>
      <c r="D18" s="311">
        <v>2000000</v>
      </c>
      <c r="E18" s="311">
        <v>3385044</v>
      </c>
      <c r="F18" s="311">
        <v>3574447</v>
      </c>
    </row>
    <row r="19" spans="1:6" s="371" customFormat="1" ht="12" customHeight="1" thickBot="1">
      <c r="A19" s="199" t="s">
        <v>497</v>
      </c>
      <c r="B19" s="237" t="s">
        <v>124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</row>
    <row r="20" spans="1:6" s="444" customFormat="1" ht="12" customHeight="1">
      <c r="A20" s="435" t="s">
        <v>585</v>
      </c>
      <c r="B20" s="7" t="s">
        <v>745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  <c r="F20" s="311">
        <f>'9.3.1.melléklet'!F20+'9.3.2.melléklet'!F20+'9.3.3. melléklet'!F20</f>
        <v>0</v>
      </c>
    </row>
    <row r="21" spans="1:6" s="444" customFormat="1" ht="12" customHeight="1">
      <c r="A21" s="435" t="s">
        <v>586</v>
      </c>
      <c r="B21" s="6" t="s">
        <v>125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  <c r="F21" s="311">
        <f>'9.3.1.melléklet'!F21+'9.3.2.melléklet'!F21+'9.3.3. melléklet'!F21</f>
        <v>0</v>
      </c>
    </row>
    <row r="22" spans="1:6" s="444" customFormat="1" ht="12" customHeight="1">
      <c r="A22" s="435" t="s">
        <v>587</v>
      </c>
      <c r="B22" s="6" t="s">
        <v>126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  <c r="F22" s="311">
        <f>'9.3.1.melléklet'!F22+'9.3.2.melléklet'!F22+'9.3.3. melléklet'!F22</f>
        <v>0</v>
      </c>
    </row>
    <row r="23" spans="1:6" s="444" customFormat="1" ht="12" customHeight="1" thickBot="1">
      <c r="A23" s="435" t="s">
        <v>588</v>
      </c>
      <c r="B23" s="6" t="s">
        <v>480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  <c r="F23" s="311">
        <f>'9.3.1.melléklet'!F23+'9.3.2.melléklet'!F23+'9.3.3. melléklet'!F23</f>
        <v>0</v>
      </c>
    </row>
    <row r="24" spans="1:6" s="444" customFormat="1" ht="12" customHeight="1" thickBot="1">
      <c r="A24" s="207" t="s">
        <v>498</v>
      </c>
      <c r="B24" s="122" t="s">
        <v>650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  <c r="F24" s="314">
        <f>SUM(F25:F27)</f>
        <v>0</v>
      </c>
    </row>
    <row r="25" spans="1:6" s="444" customFormat="1" ht="12" customHeight="1" thickBot="1">
      <c r="A25" s="207" t="s">
        <v>499</v>
      </c>
      <c r="B25" s="122" t="s">
        <v>127</v>
      </c>
      <c r="C25" s="314">
        <f t="shared" si="0"/>
        <v>0</v>
      </c>
      <c r="D25" s="314">
        <f t="shared" si="0"/>
        <v>0</v>
      </c>
      <c r="E25" s="314">
        <f t="shared" si="0"/>
        <v>0</v>
      </c>
      <c r="F25" s="314">
        <f>SUM(F26:F28)</f>
        <v>0</v>
      </c>
    </row>
    <row r="26" spans="1:6" s="444" customFormat="1" ht="12" customHeight="1">
      <c r="A26" s="436" t="s">
        <v>755</v>
      </c>
      <c r="B26" s="437" t="s">
        <v>125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  <c r="F26" s="311">
        <f>'9.3.1.melléklet'!F26+'9.3.2.melléklet'!F26+'9.3.3. melléklet'!F26</f>
        <v>0</v>
      </c>
    </row>
    <row r="27" spans="1:6" s="444" customFormat="1" ht="12" customHeight="1">
      <c r="A27" s="436" t="s">
        <v>758</v>
      </c>
      <c r="B27" s="438" t="s">
        <v>128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  <c r="F27" s="311">
        <f>'9.3.1.melléklet'!F27+'9.3.2.melléklet'!F27+'9.3.3. melléklet'!F27</f>
        <v>0</v>
      </c>
    </row>
    <row r="28" spans="1:6" s="444" customFormat="1" ht="12" customHeight="1" thickBot="1">
      <c r="A28" s="435" t="s">
        <v>759</v>
      </c>
      <c r="B28" s="439" t="s">
        <v>129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  <c r="F28" s="311">
        <f>'9.3.1.melléklet'!F28+'9.3.2.melléklet'!F28+'9.3.3. melléklet'!F28</f>
        <v>0</v>
      </c>
    </row>
    <row r="29" spans="1:6" s="444" customFormat="1" ht="12" customHeight="1" thickBot="1">
      <c r="A29" s="207" t="s">
        <v>500</v>
      </c>
      <c r="B29" s="122" t="s">
        <v>130</v>
      </c>
      <c r="C29" s="314">
        <f>SUM(C30:C32)</f>
        <v>0</v>
      </c>
      <c r="D29" s="314">
        <f>SUM(D30:D32)</f>
        <v>0</v>
      </c>
      <c r="E29" s="314">
        <f>SUM(E30:E32)</f>
        <v>0</v>
      </c>
      <c r="F29" s="314">
        <f>SUM(F30:F32)</f>
        <v>0</v>
      </c>
    </row>
    <row r="30" spans="1:6" s="444" customFormat="1" ht="12" customHeight="1">
      <c r="A30" s="436" t="s">
        <v>572</v>
      </c>
      <c r="B30" s="437" t="s">
        <v>784</v>
      </c>
      <c r="C30" s="630"/>
      <c r="D30" s="630"/>
      <c r="E30" s="630"/>
      <c r="F30" s="630"/>
    </row>
    <row r="31" spans="1:6" s="444" customFormat="1" ht="12" customHeight="1">
      <c r="A31" s="436" t="s">
        <v>573</v>
      </c>
      <c r="B31" s="438" t="s">
        <v>785</v>
      </c>
      <c r="C31" s="631"/>
      <c r="D31" s="631"/>
      <c r="E31" s="631"/>
      <c r="F31" s="631"/>
    </row>
    <row r="32" spans="1:6" s="444" customFormat="1" ht="12" customHeight="1" thickBot="1">
      <c r="A32" s="435" t="s">
        <v>574</v>
      </c>
      <c r="B32" s="138" t="s">
        <v>786</v>
      </c>
      <c r="C32" s="630"/>
      <c r="D32" s="630"/>
      <c r="E32" s="630"/>
      <c r="F32" s="630"/>
    </row>
    <row r="33" spans="1:6" s="371" customFormat="1" ht="12" customHeight="1" thickBot="1">
      <c r="A33" s="207" t="s">
        <v>501</v>
      </c>
      <c r="B33" s="122" t="s">
        <v>75</v>
      </c>
      <c r="C33" s="340"/>
      <c r="D33" s="340"/>
      <c r="E33" s="340">
        <v>300000</v>
      </c>
      <c r="F33" s="340">
        <v>510000</v>
      </c>
    </row>
    <row r="34" spans="1:6" s="371" customFormat="1" ht="12" customHeight="1" thickBot="1">
      <c r="A34" s="207" t="s">
        <v>502</v>
      </c>
      <c r="B34" s="122" t="s">
        <v>131</v>
      </c>
      <c r="C34" s="362"/>
      <c r="D34" s="362"/>
      <c r="E34" s="362"/>
      <c r="F34" s="362"/>
    </row>
    <row r="35" spans="1:6" s="371" customFormat="1" ht="12" customHeight="1" thickBot="1">
      <c r="A35" s="199" t="s">
        <v>503</v>
      </c>
      <c r="B35" s="122" t="s">
        <v>132</v>
      </c>
      <c r="C35" s="363">
        <v>3030000</v>
      </c>
      <c r="D35" s="363">
        <v>3030000</v>
      </c>
      <c r="E35" s="363">
        <v>4924814</v>
      </c>
      <c r="F35" s="363">
        <f>F8+F33</f>
        <v>5641567</v>
      </c>
    </row>
    <row r="36" spans="1:6" s="371" customFormat="1" ht="12" customHeight="1" thickBot="1">
      <c r="A36" s="238" t="s">
        <v>504</v>
      </c>
      <c r="B36" s="122" t="s">
        <v>133</v>
      </c>
      <c r="C36" s="363">
        <f>C39</f>
        <v>20194893</v>
      </c>
      <c r="D36" s="363">
        <f>D39</f>
        <v>21570573</v>
      </c>
      <c r="E36" s="363">
        <f>E39</f>
        <v>27152942</v>
      </c>
      <c r="F36" s="363">
        <f>F39</f>
        <v>27483908</v>
      </c>
    </row>
    <row r="37" spans="1:6" s="371" customFormat="1" ht="12" customHeight="1">
      <c r="A37" s="436" t="s">
        <v>134</v>
      </c>
      <c r="B37" s="437" t="s">
        <v>717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  <c r="F37" s="311">
        <f>'9.3.1.melléklet'!F37+'9.3.2.melléklet'!F37+'9.3.3. melléklet'!F37</f>
        <v>0</v>
      </c>
    </row>
    <row r="38" spans="1:6" s="371" customFormat="1" ht="12" customHeight="1">
      <c r="A38" s="436" t="s">
        <v>135</v>
      </c>
      <c r="B38" s="438" t="s">
        <v>481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  <c r="F38" s="311">
        <f>'9.3.1.melléklet'!F38+'9.3.2.melléklet'!F38+'9.3.3. melléklet'!F38</f>
        <v>0</v>
      </c>
    </row>
    <row r="39" spans="1:6" s="444" customFormat="1" ht="12" customHeight="1" thickBot="1">
      <c r="A39" s="435" t="s">
        <v>136</v>
      </c>
      <c r="B39" s="138" t="s">
        <v>137</v>
      </c>
      <c r="C39" s="311">
        <v>20194893</v>
      </c>
      <c r="D39" s="311">
        <v>21570573</v>
      </c>
      <c r="E39" s="311">
        <v>27152942</v>
      </c>
      <c r="F39" s="311">
        <v>27483908</v>
      </c>
    </row>
    <row r="40" spans="1:6" s="444" customFormat="1" ht="15" customHeight="1" thickBot="1">
      <c r="A40" s="238" t="s">
        <v>505</v>
      </c>
      <c r="B40" s="239" t="s">
        <v>138</v>
      </c>
      <c r="C40" s="366">
        <f>C36+C35</f>
        <v>23224893</v>
      </c>
      <c r="D40" s="366">
        <f>D36+D35</f>
        <v>24600573</v>
      </c>
      <c r="E40" s="366">
        <f>E36+E35</f>
        <v>32077756</v>
      </c>
      <c r="F40" s="366">
        <f>F36+F35</f>
        <v>33125475</v>
      </c>
    </row>
    <row r="41" spans="1:6" s="444" customFormat="1" ht="15" customHeight="1">
      <c r="A41" s="240"/>
      <c r="B41" s="241"/>
      <c r="C41" s="364"/>
      <c r="D41" s="364"/>
      <c r="E41" s="364"/>
      <c r="F41" s="364"/>
    </row>
    <row r="42" spans="1:6" ht="13.5" thickBot="1">
      <c r="A42" s="242"/>
      <c r="B42" s="243"/>
      <c r="C42" s="365"/>
      <c r="D42" s="365"/>
      <c r="E42" s="365"/>
      <c r="F42" s="365"/>
    </row>
    <row r="43" spans="1:6" s="443" customFormat="1" ht="16.5" customHeight="1" thickBot="1">
      <c r="A43" s="244"/>
      <c r="B43" s="245" t="s">
        <v>535</v>
      </c>
      <c r="C43" s="366"/>
      <c r="D43" s="366"/>
      <c r="E43" s="366"/>
      <c r="F43" s="366"/>
    </row>
    <row r="44" spans="1:6" s="445" customFormat="1" ht="12" customHeight="1" thickBot="1">
      <c r="A44" s="207" t="s">
        <v>496</v>
      </c>
      <c r="B44" s="122" t="s">
        <v>139</v>
      </c>
      <c r="C44" s="314">
        <f>C45+C46+C47</f>
        <v>23224893</v>
      </c>
      <c r="D44" s="314">
        <f>D45+D46+D47</f>
        <v>24600573</v>
      </c>
      <c r="E44" s="314">
        <f>E45+E46+E47</f>
        <v>31827756</v>
      </c>
      <c r="F44" s="314">
        <f>F45+F46+F47</f>
        <v>32875475</v>
      </c>
    </row>
    <row r="45" spans="1:6" ht="12" customHeight="1">
      <c r="A45" s="435" t="s">
        <v>579</v>
      </c>
      <c r="B45" s="7" t="s">
        <v>526</v>
      </c>
      <c r="C45" s="311">
        <v>11661900</v>
      </c>
      <c r="D45" s="311">
        <v>12479318</v>
      </c>
      <c r="E45" s="311">
        <v>13021420</v>
      </c>
      <c r="F45" s="311">
        <v>13293524</v>
      </c>
    </row>
    <row r="46" spans="1:6" ht="12" customHeight="1">
      <c r="A46" s="435" t="s">
        <v>580</v>
      </c>
      <c r="B46" s="6" t="s">
        <v>659</v>
      </c>
      <c r="C46" s="311">
        <v>2577993</v>
      </c>
      <c r="D46" s="311">
        <v>2817336</v>
      </c>
      <c r="E46" s="311">
        <v>2936597</v>
      </c>
      <c r="F46" s="311">
        <v>2996459</v>
      </c>
    </row>
    <row r="47" spans="1:6" ht="12" customHeight="1">
      <c r="A47" s="435" t="s">
        <v>581</v>
      </c>
      <c r="B47" s="6" t="s">
        <v>616</v>
      </c>
      <c r="C47" s="311">
        <v>8985000</v>
      </c>
      <c r="D47" s="311">
        <v>9303919</v>
      </c>
      <c r="E47" s="311">
        <v>15869739</v>
      </c>
      <c r="F47" s="311">
        <v>16585492</v>
      </c>
    </row>
    <row r="48" spans="1:6" ht="12" customHeight="1">
      <c r="A48" s="435" t="s">
        <v>582</v>
      </c>
      <c r="B48" s="6" t="s">
        <v>660</v>
      </c>
      <c r="C48" s="311"/>
      <c r="D48" s="311"/>
      <c r="E48" s="311"/>
      <c r="F48" s="311"/>
    </row>
    <row r="49" spans="1:6" ht="12" customHeight="1" thickBot="1">
      <c r="A49" s="435" t="s">
        <v>624</v>
      </c>
      <c r="B49" s="6" t="s">
        <v>661</v>
      </c>
      <c r="C49" s="79"/>
      <c r="D49" s="79"/>
      <c r="E49" s="79"/>
      <c r="F49" s="79"/>
    </row>
    <row r="50" spans="1:6" ht="12" customHeight="1" thickBot="1">
      <c r="A50" s="207" t="s">
        <v>497</v>
      </c>
      <c r="B50" s="122" t="s">
        <v>140</v>
      </c>
      <c r="C50" s="314">
        <f>SUM(C51:C53)</f>
        <v>0</v>
      </c>
      <c r="D50" s="314">
        <f>SUM(D51:D53)</f>
        <v>0</v>
      </c>
      <c r="E50" s="314">
        <f>SUM(E51:E53)</f>
        <v>250000</v>
      </c>
      <c r="F50" s="314">
        <f>SUM(F51:F53)</f>
        <v>250000</v>
      </c>
    </row>
    <row r="51" spans="1:6" s="445" customFormat="1" ht="12" customHeight="1">
      <c r="A51" s="435" t="s">
        <v>585</v>
      </c>
      <c r="B51" s="7" t="s">
        <v>708</v>
      </c>
      <c r="C51" s="311"/>
      <c r="D51" s="311"/>
      <c r="E51" s="311">
        <v>250000</v>
      </c>
      <c r="F51" s="311">
        <v>250000</v>
      </c>
    </row>
    <row r="52" spans="1:6" ht="12" customHeight="1">
      <c r="A52" s="435" t="s">
        <v>586</v>
      </c>
      <c r="B52" s="6" t="s">
        <v>663</v>
      </c>
      <c r="C52" s="79"/>
      <c r="D52" s="79"/>
      <c r="E52" s="79"/>
      <c r="F52" s="79"/>
    </row>
    <row r="53" spans="1:6" ht="12" customHeight="1">
      <c r="A53" s="435" t="s">
        <v>587</v>
      </c>
      <c r="B53" s="6" t="s">
        <v>536</v>
      </c>
      <c r="C53" s="79"/>
      <c r="D53" s="79"/>
      <c r="E53" s="79"/>
      <c r="F53" s="79"/>
    </row>
    <row r="54" spans="1:6" ht="12" customHeight="1" thickBot="1">
      <c r="A54" s="435" t="s">
        <v>588</v>
      </c>
      <c r="B54" s="6" t="s">
        <v>482</v>
      </c>
      <c r="C54" s="79"/>
      <c r="D54" s="79"/>
      <c r="E54" s="79"/>
      <c r="F54" s="79"/>
    </row>
    <row r="55" spans="1:6" ht="15" customHeight="1" thickBot="1">
      <c r="A55" s="207" t="s">
        <v>498</v>
      </c>
      <c r="B55" s="246" t="s">
        <v>141</v>
      </c>
      <c r="C55" s="367">
        <f>+C44+C50</f>
        <v>23224893</v>
      </c>
      <c r="D55" s="367">
        <f>+D44+D50</f>
        <v>24600573</v>
      </c>
      <c r="E55" s="367">
        <f>+E44+E50</f>
        <v>32077756</v>
      </c>
      <c r="F55" s="367">
        <f>+F44+F50</f>
        <v>33125475</v>
      </c>
    </row>
    <row r="56" spans="3:6" ht="13.5" thickBot="1">
      <c r="C56" s="368"/>
      <c r="D56" s="368"/>
      <c r="E56" s="368"/>
      <c r="F56" s="368"/>
    </row>
    <row r="57" spans="1:6" ht="15" customHeight="1" thickBot="1">
      <c r="A57" s="249" t="s">
        <v>682</v>
      </c>
      <c r="B57" s="250"/>
      <c r="C57" s="119">
        <v>4</v>
      </c>
      <c r="D57" s="119">
        <v>4</v>
      </c>
      <c r="E57" s="119">
        <v>4</v>
      </c>
      <c r="F57" s="119">
        <v>4</v>
      </c>
    </row>
    <row r="58" spans="1:6" ht="14.25" customHeight="1" thickBot="1">
      <c r="A58" s="249" t="s">
        <v>683</v>
      </c>
      <c r="B58" s="250"/>
      <c r="C58" s="119">
        <v>0</v>
      </c>
      <c r="D58" s="119">
        <v>0</v>
      </c>
      <c r="E58" s="119">
        <v>0</v>
      </c>
      <c r="F58" s="119">
        <v>0</v>
      </c>
    </row>
    <row r="59" spans="1:2" ht="12.75">
      <c r="A59" s="1159" t="s">
        <v>901</v>
      </c>
      <c r="B59" s="1160"/>
    </row>
  </sheetData>
  <sheetProtection formatCells="0"/>
  <mergeCells count="1">
    <mergeCell ref="A59:B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view="pageBreakPreview" zoomScale="60" workbookViewId="0" topLeftCell="A1">
      <selection activeCell="E10" sqref="E10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6" width="25.00390625" style="248" customWidth="1"/>
    <col min="7" max="16384" width="9.375" style="248" customWidth="1"/>
  </cols>
  <sheetData>
    <row r="1" spans="1:6" s="227" customFormat="1" ht="21" customHeight="1" thickBot="1">
      <c r="A1" s="226"/>
      <c r="B1" s="228"/>
      <c r="C1" s="440"/>
      <c r="D1" s="440"/>
      <c r="E1" s="440"/>
      <c r="F1" s="440" t="s">
        <v>885</v>
      </c>
    </row>
    <row r="2" spans="1:6" s="441" customFormat="1" ht="25.5" customHeight="1">
      <c r="A2" s="392" t="s">
        <v>680</v>
      </c>
      <c r="B2" s="354" t="s">
        <v>164</v>
      </c>
      <c r="C2" s="369"/>
      <c r="D2" s="369"/>
      <c r="E2" s="369"/>
      <c r="F2" s="369" t="s">
        <v>540</v>
      </c>
    </row>
    <row r="3" spans="1:6" s="441" customFormat="1" ht="24.75" thickBot="1">
      <c r="A3" s="433" t="s">
        <v>679</v>
      </c>
      <c r="B3" s="355" t="s">
        <v>143</v>
      </c>
      <c r="C3" s="370"/>
      <c r="D3" s="370"/>
      <c r="E3" s="370"/>
      <c r="F3" s="370" t="s">
        <v>539</v>
      </c>
    </row>
    <row r="4" spans="1:6" s="442" customFormat="1" ht="15.75" customHeight="1" thickBot="1">
      <c r="A4" s="230"/>
      <c r="B4" s="230"/>
      <c r="C4" s="629"/>
      <c r="D4" s="629"/>
      <c r="E4" s="629"/>
      <c r="F4" s="629"/>
    </row>
    <row r="5" spans="1:6" ht="13.5" thickBot="1">
      <c r="A5" s="393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  <c r="F5" s="233" t="s">
        <v>532</v>
      </c>
    </row>
    <row r="6" spans="1:6" s="443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  <c r="F6" s="201">
        <v>6</v>
      </c>
    </row>
    <row r="7" spans="1:6" s="443" customFormat="1" ht="15.75" customHeight="1" thickBot="1">
      <c r="A7" s="234"/>
      <c r="B7" s="235" t="s">
        <v>533</v>
      </c>
      <c r="C7" s="236"/>
      <c r="D7" s="236"/>
      <c r="E7" s="236"/>
      <c r="F7" s="236"/>
    </row>
    <row r="8" spans="1:6" s="371" customFormat="1" ht="12" customHeight="1" thickBot="1">
      <c r="A8" s="199" t="s">
        <v>496</v>
      </c>
      <c r="B8" s="237" t="s">
        <v>121</v>
      </c>
      <c r="C8" s="314">
        <v>3030000</v>
      </c>
      <c r="D8" s="314">
        <v>3030000</v>
      </c>
      <c r="E8" s="314">
        <v>3030000</v>
      </c>
      <c r="F8" s="314">
        <f>F10+F13+F16+F18</f>
        <v>5131567</v>
      </c>
    </row>
    <row r="9" spans="1:6" s="371" customFormat="1" ht="12" customHeight="1">
      <c r="A9" s="434" t="s">
        <v>579</v>
      </c>
      <c r="B9" s="8" t="s">
        <v>770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  <c r="F9" s="311">
        <f>'9.3.1.melléklet'!F9+'9.3.2.melléklet'!F9+'9.3.3. melléklet'!F9</f>
        <v>0</v>
      </c>
    </row>
    <row r="10" spans="1:6" s="371" customFormat="1" ht="12" customHeight="1">
      <c r="A10" s="435" t="s">
        <v>580</v>
      </c>
      <c r="B10" s="6" t="s">
        <v>771</v>
      </c>
      <c r="C10" s="311">
        <v>1000000</v>
      </c>
      <c r="D10" s="311">
        <v>1000000</v>
      </c>
      <c r="E10" s="311">
        <v>1209770</v>
      </c>
      <c r="F10" s="311">
        <v>1527050</v>
      </c>
    </row>
    <row r="11" spans="1:6" s="371" customFormat="1" ht="12" customHeight="1">
      <c r="A11" s="435" t="s">
        <v>581</v>
      </c>
      <c r="B11" s="6" t="s">
        <v>772</v>
      </c>
      <c r="C11" s="311"/>
      <c r="D11" s="311"/>
      <c r="E11" s="311"/>
      <c r="F11" s="311"/>
    </row>
    <row r="12" spans="1:6" s="371" customFormat="1" ht="12" customHeight="1">
      <c r="A12" s="435" t="s">
        <v>582</v>
      </c>
      <c r="B12" s="6" t="s">
        <v>773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  <c r="F12" s="311">
        <f>'9.3.1.melléklet'!F12+'9.3.2.melléklet'!F12+'9.3.3. melléklet'!F12</f>
        <v>0</v>
      </c>
    </row>
    <row r="13" spans="1:6" s="371" customFormat="1" ht="12" customHeight="1">
      <c r="A13" s="435" t="s">
        <v>624</v>
      </c>
      <c r="B13" s="6" t="s">
        <v>774</v>
      </c>
      <c r="C13" s="311">
        <v>30000</v>
      </c>
      <c r="D13" s="311">
        <v>30000</v>
      </c>
      <c r="E13" s="311">
        <v>30000</v>
      </c>
      <c r="F13" s="311">
        <v>30000</v>
      </c>
    </row>
    <row r="14" spans="1:6" s="371" customFormat="1" ht="12" customHeight="1">
      <c r="A14" s="435" t="s">
        <v>583</v>
      </c>
      <c r="B14" s="6" t="s">
        <v>122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  <c r="F14" s="311">
        <f>'9.3.1.melléklet'!F14+'9.3.2.melléklet'!F14+'9.3.3. melléklet'!F14</f>
        <v>0</v>
      </c>
    </row>
    <row r="15" spans="1:6" s="371" customFormat="1" ht="12" customHeight="1">
      <c r="A15" s="435" t="s">
        <v>584</v>
      </c>
      <c r="B15" s="5" t="s">
        <v>123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  <c r="F15" s="311">
        <f>'9.3.1.melléklet'!F15+'9.3.2.melléklet'!F15+'9.3.3. melléklet'!F15</f>
        <v>0</v>
      </c>
    </row>
    <row r="16" spans="1:6" s="371" customFormat="1" ht="12" customHeight="1">
      <c r="A16" s="435" t="s">
        <v>594</v>
      </c>
      <c r="B16" s="6" t="s">
        <v>777</v>
      </c>
      <c r="C16" s="311"/>
      <c r="D16" s="311"/>
      <c r="E16" s="311"/>
      <c r="F16" s="311">
        <v>70</v>
      </c>
    </row>
    <row r="17" spans="1:6" s="444" customFormat="1" ht="12" customHeight="1">
      <c r="A17" s="435" t="s">
        <v>595</v>
      </c>
      <c r="B17" s="6" t="s">
        <v>778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  <c r="F17" s="311">
        <f>'9.3.1.melléklet'!F17+'9.3.2.melléklet'!F17+'9.3.3. melléklet'!F17</f>
        <v>0</v>
      </c>
    </row>
    <row r="18" spans="1:6" s="444" customFormat="1" ht="12" customHeight="1" thickBot="1">
      <c r="A18" s="435" t="s">
        <v>596</v>
      </c>
      <c r="B18" s="5" t="s">
        <v>779</v>
      </c>
      <c r="C18" s="311">
        <v>2000000</v>
      </c>
      <c r="D18" s="311">
        <v>2000000</v>
      </c>
      <c r="E18" s="311">
        <v>3385044</v>
      </c>
      <c r="F18" s="311">
        <v>3574447</v>
      </c>
    </row>
    <row r="19" spans="1:6" s="371" customFormat="1" ht="12" customHeight="1" thickBot="1">
      <c r="A19" s="199" t="s">
        <v>497</v>
      </c>
      <c r="B19" s="237" t="s">
        <v>124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</row>
    <row r="20" spans="1:6" s="444" customFormat="1" ht="12" customHeight="1">
      <c r="A20" s="435" t="s">
        <v>585</v>
      </c>
      <c r="B20" s="7" t="s">
        <v>745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  <c r="F20" s="311">
        <f>'9.3.1.melléklet'!F20+'9.3.2.melléklet'!F20+'9.3.3. melléklet'!F20</f>
        <v>0</v>
      </c>
    </row>
    <row r="21" spans="1:6" s="444" customFormat="1" ht="12" customHeight="1">
      <c r="A21" s="435" t="s">
        <v>586</v>
      </c>
      <c r="B21" s="6" t="s">
        <v>125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  <c r="F21" s="311">
        <f>'9.3.1.melléklet'!F21+'9.3.2.melléklet'!F21+'9.3.3. melléklet'!F21</f>
        <v>0</v>
      </c>
    </row>
    <row r="22" spans="1:6" s="444" customFormat="1" ht="12" customHeight="1">
      <c r="A22" s="435" t="s">
        <v>587</v>
      </c>
      <c r="B22" s="6" t="s">
        <v>126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  <c r="F22" s="311">
        <f>'9.3.1.melléklet'!F22+'9.3.2.melléklet'!F22+'9.3.3. melléklet'!F22</f>
        <v>0</v>
      </c>
    </row>
    <row r="23" spans="1:6" s="444" customFormat="1" ht="12" customHeight="1" thickBot="1">
      <c r="A23" s="435" t="s">
        <v>588</v>
      </c>
      <c r="B23" s="6" t="s">
        <v>480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  <c r="F23" s="311">
        <f>'9.3.1.melléklet'!F23+'9.3.2.melléklet'!F23+'9.3.3. melléklet'!F23</f>
        <v>0</v>
      </c>
    </row>
    <row r="24" spans="1:6" s="444" customFormat="1" ht="12" customHeight="1" thickBot="1">
      <c r="A24" s="207" t="s">
        <v>498</v>
      </c>
      <c r="B24" s="122" t="s">
        <v>650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  <c r="F24" s="314">
        <f>SUM(F25:F27)</f>
        <v>0</v>
      </c>
    </row>
    <row r="25" spans="1:6" s="444" customFormat="1" ht="12" customHeight="1" thickBot="1">
      <c r="A25" s="207" t="s">
        <v>499</v>
      </c>
      <c r="B25" s="122" t="s">
        <v>127</v>
      </c>
      <c r="C25" s="314">
        <f t="shared" si="0"/>
        <v>0</v>
      </c>
      <c r="D25" s="314">
        <f t="shared" si="0"/>
        <v>0</v>
      </c>
      <c r="E25" s="314">
        <f t="shared" si="0"/>
        <v>0</v>
      </c>
      <c r="F25" s="314">
        <f>SUM(F26:F28)</f>
        <v>0</v>
      </c>
    </row>
    <row r="26" spans="1:6" s="444" customFormat="1" ht="12" customHeight="1">
      <c r="A26" s="436" t="s">
        <v>755</v>
      </c>
      <c r="B26" s="437" t="s">
        <v>125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  <c r="F26" s="311">
        <f>'9.3.1.melléklet'!F26+'9.3.2.melléklet'!F26+'9.3.3. melléklet'!F26</f>
        <v>0</v>
      </c>
    </row>
    <row r="27" spans="1:6" s="444" customFormat="1" ht="12" customHeight="1">
      <c r="A27" s="436" t="s">
        <v>758</v>
      </c>
      <c r="B27" s="438" t="s">
        <v>128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  <c r="F27" s="311">
        <f>'9.3.1.melléklet'!F27+'9.3.2.melléklet'!F27+'9.3.3. melléklet'!F27</f>
        <v>0</v>
      </c>
    </row>
    <row r="28" spans="1:6" s="444" customFormat="1" ht="12" customHeight="1" thickBot="1">
      <c r="A28" s="435" t="s">
        <v>759</v>
      </c>
      <c r="B28" s="439" t="s">
        <v>129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  <c r="F28" s="311">
        <f>'9.3.1.melléklet'!F28+'9.3.2.melléklet'!F28+'9.3.3. melléklet'!F28</f>
        <v>0</v>
      </c>
    </row>
    <row r="29" spans="1:6" s="444" customFormat="1" ht="12" customHeight="1" thickBot="1">
      <c r="A29" s="207" t="s">
        <v>500</v>
      </c>
      <c r="B29" s="122" t="s">
        <v>130</v>
      </c>
      <c r="C29" s="314">
        <f>SUM(C30:C32)</f>
        <v>0</v>
      </c>
      <c r="D29" s="314">
        <f>SUM(D30:D32)</f>
        <v>0</v>
      </c>
      <c r="E29" s="314">
        <f>SUM(E30:E32)</f>
        <v>0</v>
      </c>
      <c r="F29" s="314">
        <f>SUM(F30:F32)</f>
        <v>0</v>
      </c>
    </row>
    <row r="30" spans="1:6" s="444" customFormat="1" ht="12" customHeight="1">
      <c r="A30" s="436" t="s">
        <v>572</v>
      </c>
      <c r="B30" s="437" t="s">
        <v>784</v>
      </c>
      <c r="C30" s="630"/>
      <c r="D30" s="630"/>
      <c r="E30" s="630"/>
      <c r="F30" s="630"/>
    </row>
    <row r="31" spans="1:6" s="444" customFormat="1" ht="12" customHeight="1">
      <c r="A31" s="436" t="s">
        <v>573</v>
      </c>
      <c r="B31" s="438" t="s">
        <v>785</v>
      </c>
      <c r="C31" s="631"/>
      <c r="D31" s="631"/>
      <c r="E31" s="631"/>
      <c r="F31" s="631"/>
    </row>
    <row r="32" spans="1:6" s="444" customFormat="1" ht="12" customHeight="1" thickBot="1">
      <c r="A32" s="435" t="s">
        <v>574</v>
      </c>
      <c r="B32" s="138" t="s">
        <v>786</v>
      </c>
      <c r="C32" s="630"/>
      <c r="D32" s="630"/>
      <c r="E32" s="630"/>
      <c r="F32" s="630"/>
    </row>
    <row r="33" spans="1:6" s="371" customFormat="1" ht="12" customHeight="1" thickBot="1">
      <c r="A33" s="207" t="s">
        <v>501</v>
      </c>
      <c r="B33" s="122" t="s">
        <v>75</v>
      </c>
      <c r="C33" s="340"/>
      <c r="D33" s="340"/>
      <c r="E33" s="340">
        <v>300000</v>
      </c>
      <c r="F33" s="340">
        <v>510000</v>
      </c>
    </row>
    <row r="34" spans="1:6" s="371" customFormat="1" ht="12" customHeight="1" thickBot="1">
      <c r="A34" s="207" t="s">
        <v>502</v>
      </c>
      <c r="B34" s="122" t="s">
        <v>131</v>
      </c>
      <c r="C34" s="362"/>
      <c r="D34" s="362"/>
      <c r="E34" s="362"/>
      <c r="F34" s="362"/>
    </row>
    <row r="35" spans="1:6" s="371" customFormat="1" ht="12" customHeight="1" thickBot="1">
      <c r="A35" s="199" t="s">
        <v>503</v>
      </c>
      <c r="B35" s="122" t="s">
        <v>132</v>
      </c>
      <c r="C35" s="363">
        <v>3030000</v>
      </c>
      <c r="D35" s="363">
        <v>3030000</v>
      </c>
      <c r="E35" s="363">
        <v>4924814</v>
      </c>
      <c r="F35" s="363">
        <f>F8+F33</f>
        <v>5641567</v>
      </c>
    </row>
    <row r="36" spans="1:6" s="371" customFormat="1" ht="12" customHeight="1" thickBot="1">
      <c r="A36" s="238" t="s">
        <v>504</v>
      </c>
      <c r="B36" s="122" t="s">
        <v>133</v>
      </c>
      <c r="C36" s="363">
        <f>C39</f>
        <v>20194893</v>
      </c>
      <c r="D36" s="363">
        <f>D39</f>
        <v>21570573</v>
      </c>
      <c r="E36" s="363">
        <f>E39</f>
        <v>27152942</v>
      </c>
      <c r="F36" s="363">
        <f>F39</f>
        <v>27483908</v>
      </c>
    </row>
    <row r="37" spans="1:6" s="371" customFormat="1" ht="12" customHeight="1">
      <c r="A37" s="436" t="s">
        <v>134</v>
      </c>
      <c r="B37" s="437" t="s">
        <v>717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  <c r="F37" s="311">
        <f>'9.3.1.melléklet'!F37+'9.3.2.melléklet'!F37+'9.3.3. melléklet'!F37</f>
        <v>0</v>
      </c>
    </row>
    <row r="38" spans="1:6" s="371" customFormat="1" ht="12" customHeight="1">
      <c r="A38" s="436" t="s">
        <v>135</v>
      </c>
      <c r="B38" s="438" t="s">
        <v>481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  <c r="F38" s="311">
        <f>'9.3.1.melléklet'!F38+'9.3.2.melléklet'!F38+'9.3.3. melléklet'!F38</f>
        <v>0</v>
      </c>
    </row>
    <row r="39" spans="1:6" s="444" customFormat="1" ht="12" customHeight="1" thickBot="1">
      <c r="A39" s="435" t="s">
        <v>136</v>
      </c>
      <c r="B39" s="138" t="s">
        <v>137</v>
      </c>
      <c r="C39" s="311">
        <v>20194893</v>
      </c>
      <c r="D39" s="311">
        <v>21570573</v>
      </c>
      <c r="E39" s="311">
        <v>27152942</v>
      </c>
      <c r="F39" s="311">
        <v>27483908</v>
      </c>
    </row>
    <row r="40" spans="1:6" s="444" customFormat="1" ht="15" customHeight="1" thickBot="1">
      <c r="A40" s="238" t="s">
        <v>505</v>
      </c>
      <c r="B40" s="239" t="s">
        <v>138</v>
      </c>
      <c r="C40" s="366">
        <f>C36+C35</f>
        <v>23224893</v>
      </c>
      <c r="D40" s="366">
        <f>D36+D35</f>
        <v>24600573</v>
      </c>
      <c r="E40" s="366">
        <f>E36+E35</f>
        <v>32077756</v>
      </c>
      <c r="F40" s="366">
        <f>F36+F35</f>
        <v>33125475</v>
      </c>
    </row>
    <row r="41" spans="1:6" s="444" customFormat="1" ht="15" customHeight="1">
      <c r="A41" s="240"/>
      <c r="B41" s="241"/>
      <c r="C41" s="364"/>
      <c r="D41" s="364"/>
      <c r="E41" s="364"/>
      <c r="F41" s="364"/>
    </row>
    <row r="42" spans="1:6" ht="13.5" thickBot="1">
      <c r="A42" s="242"/>
      <c r="B42" s="243"/>
      <c r="C42" s="365"/>
      <c r="D42" s="365"/>
      <c r="E42" s="365"/>
      <c r="F42" s="365"/>
    </row>
    <row r="43" spans="1:6" s="443" customFormat="1" ht="16.5" customHeight="1" thickBot="1">
      <c r="A43" s="244"/>
      <c r="B43" s="245" t="s">
        <v>535</v>
      </c>
      <c r="C43" s="366"/>
      <c r="D43" s="366"/>
      <c r="E43" s="366"/>
      <c r="F43" s="366"/>
    </row>
    <row r="44" spans="1:6" s="445" customFormat="1" ht="12" customHeight="1" thickBot="1">
      <c r="A44" s="207" t="s">
        <v>496</v>
      </c>
      <c r="B44" s="122" t="s">
        <v>139</v>
      </c>
      <c r="C44" s="314">
        <f>C45+C46+C47</f>
        <v>23224893</v>
      </c>
      <c r="D44" s="314">
        <f>D45+D46+D47</f>
        <v>24600573</v>
      </c>
      <c r="E44" s="314">
        <f>E45+E46+E47</f>
        <v>31827756</v>
      </c>
      <c r="F44" s="314">
        <f>F45+F46+F47</f>
        <v>32875475</v>
      </c>
    </row>
    <row r="45" spans="1:6" ht="12" customHeight="1">
      <c r="A45" s="435" t="s">
        <v>579</v>
      </c>
      <c r="B45" s="7" t="s">
        <v>526</v>
      </c>
      <c r="C45" s="311">
        <v>11661900</v>
      </c>
      <c r="D45" s="311">
        <v>12479318</v>
      </c>
      <c r="E45" s="311">
        <v>13021420</v>
      </c>
      <c r="F45" s="311">
        <v>13293524</v>
      </c>
    </row>
    <row r="46" spans="1:6" ht="12" customHeight="1">
      <c r="A46" s="435" t="s">
        <v>580</v>
      </c>
      <c r="B46" s="6" t="s">
        <v>659</v>
      </c>
      <c r="C46" s="311">
        <v>2577993</v>
      </c>
      <c r="D46" s="311">
        <v>2817336</v>
      </c>
      <c r="E46" s="311">
        <v>2936597</v>
      </c>
      <c r="F46" s="311">
        <v>2996459</v>
      </c>
    </row>
    <row r="47" spans="1:6" ht="12" customHeight="1">
      <c r="A47" s="435" t="s">
        <v>581</v>
      </c>
      <c r="B47" s="6" t="s">
        <v>616</v>
      </c>
      <c r="C47" s="311">
        <v>8985000</v>
      </c>
      <c r="D47" s="311">
        <v>9303919</v>
      </c>
      <c r="E47" s="311">
        <v>15869739</v>
      </c>
      <c r="F47" s="311">
        <v>16585492</v>
      </c>
    </row>
    <row r="48" spans="1:6" ht="12" customHeight="1">
      <c r="A48" s="435" t="s">
        <v>582</v>
      </c>
      <c r="B48" s="6" t="s">
        <v>660</v>
      </c>
      <c r="C48" s="311"/>
      <c r="D48" s="311"/>
      <c r="E48" s="311"/>
      <c r="F48" s="311"/>
    </row>
    <row r="49" spans="1:6" ht="12" customHeight="1" thickBot="1">
      <c r="A49" s="435" t="s">
        <v>624</v>
      </c>
      <c r="B49" s="6" t="s">
        <v>661</v>
      </c>
      <c r="C49" s="79"/>
      <c r="D49" s="79"/>
      <c r="E49" s="79"/>
      <c r="F49" s="79"/>
    </row>
    <row r="50" spans="1:6" ht="12" customHeight="1" thickBot="1">
      <c r="A50" s="207" t="s">
        <v>497</v>
      </c>
      <c r="B50" s="122" t="s">
        <v>140</v>
      </c>
      <c r="C50" s="314">
        <f>SUM(C51:C53)</f>
        <v>0</v>
      </c>
      <c r="D50" s="314">
        <f>SUM(D51:D53)</f>
        <v>0</v>
      </c>
      <c r="E50" s="314">
        <f>SUM(E51:E53)</f>
        <v>250000</v>
      </c>
      <c r="F50" s="314">
        <f>SUM(F51:F53)</f>
        <v>250000</v>
      </c>
    </row>
    <row r="51" spans="1:6" s="445" customFormat="1" ht="12" customHeight="1">
      <c r="A51" s="435" t="s">
        <v>585</v>
      </c>
      <c r="B51" s="7" t="s">
        <v>708</v>
      </c>
      <c r="C51" s="311"/>
      <c r="D51" s="311"/>
      <c r="E51" s="311">
        <v>250000</v>
      </c>
      <c r="F51" s="311">
        <v>250000</v>
      </c>
    </row>
    <row r="52" spans="1:6" ht="12" customHeight="1">
      <c r="A52" s="435" t="s">
        <v>586</v>
      </c>
      <c r="B52" s="6" t="s">
        <v>663</v>
      </c>
      <c r="C52" s="79"/>
      <c r="D52" s="79"/>
      <c r="E52" s="79"/>
      <c r="F52" s="79"/>
    </row>
    <row r="53" spans="1:6" ht="12" customHeight="1">
      <c r="A53" s="435" t="s">
        <v>587</v>
      </c>
      <c r="B53" s="6" t="s">
        <v>536</v>
      </c>
      <c r="C53" s="79"/>
      <c r="D53" s="79"/>
      <c r="E53" s="79"/>
      <c r="F53" s="79"/>
    </row>
    <row r="54" spans="1:6" ht="12" customHeight="1" thickBot="1">
      <c r="A54" s="435" t="s">
        <v>588</v>
      </c>
      <c r="B54" s="6" t="s">
        <v>482</v>
      </c>
      <c r="C54" s="79"/>
      <c r="D54" s="79"/>
      <c r="E54" s="79"/>
      <c r="F54" s="79"/>
    </row>
    <row r="55" spans="1:6" ht="15" customHeight="1" thickBot="1">
      <c r="A55" s="207" t="s">
        <v>498</v>
      </c>
      <c r="B55" s="246" t="s">
        <v>141</v>
      </c>
      <c r="C55" s="367">
        <f>+C44+C50</f>
        <v>23224893</v>
      </c>
      <c r="D55" s="367">
        <f>+D44+D50</f>
        <v>24600573</v>
      </c>
      <c r="E55" s="367">
        <f>+E44+E50</f>
        <v>32077756</v>
      </c>
      <c r="F55" s="367">
        <f>+F44+F50</f>
        <v>33125475</v>
      </c>
    </row>
    <row r="56" spans="3:6" ht="13.5" thickBot="1">
      <c r="C56" s="368"/>
      <c r="D56" s="368"/>
      <c r="E56" s="368"/>
      <c r="F56" s="368"/>
    </row>
    <row r="57" spans="1:6" ht="15" customHeight="1" thickBot="1">
      <c r="A57" s="249" t="s">
        <v>682</v>
      </c>
      <c r="B57" s="250"/>
      <c r="C57" s="119">
        <v>4</v>
      </c>
      <c r="D57" s="119">
        <v>4</v>
      </c>
      <c r="E57" s="119">
        <v>4</v>
      </c>
      <c r="F57" s="119">
        <v>4</v>
      </c>
    </row>
    <row r="58" spans="1:6" ht="14.25" customHeight="1" thickBot="1">
      <c r="A58" s="249" t="s">
        <v>683</v>
      </c>
      <c r="B58" s="250"/>
      <c r="C58" s="119">
        <v>0</v>
      </c>
      <c r="D58" s="119">
        <v>0</v>
      </c>
      <c r="E58" s="119">
        <v>0</v>
      </c>
      <c r="F58" s="119">
        <v>0</v>
      </c>
    </row>
    <row r="59" spans="1:2" ht="12.75">
      <c r="A59" s="1070"/>
      <c r="B59" s="1042"/>
    </row>
    <row r="60" spans="1:2" ht="12.75">
      <c r="A60" s="1172" t="s">
        <v>902</v>
      </c>
      <c r="B60" s="1173"/>
    </row>
  </sheetData>
  <sheetProtection formatCells="0"/>
  <mergeCells count="1">
    <mergeCell ref="A60:B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B1">
      <selection activeCell="F68" sqref="F68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4" width="25.00390625" style="248" customWidth="1"/>
    <col min="5" max="16384" width="9.375" style="248" customWidth="1"/>
  </cols>
  <sheetData>
    <row r="1" spans="1:4" s="227" customFormat="1" ht="21" customHeight="1" thickBot="1">
      <c r="A1" s="226"/>
      <c r="B1" s="228"/>
      <c r="C1" s="440"/>
      <c r="D1" s="440" t="s">
        <v>886</v>
      </c>
    </row>
    <row r="2" spans="1:4" s="441" customFormat="1" ht="25.5" customHeight="1">
      <c r="A2" s="392" t="s">
        <v>680</v>
      </c>
      <c r="B2" s="354" t="s">
        <v>164</v>
      </c>
      <c r="C2" s="369"/>
      <c r="D2" s="369" t="s">
        <v>540</v>
      </c>
    </row>
    <row r="3" spans="1:4" s="441" customFormat="1" ht="24.75" thickBot="1">
      <c r="A3" s="433" t="s">
        <v>679</v>
      </c>
      <c r="B3" s="355" t="s">
        <v>144</v>
      </c>
      <c r="C3" s="370"/>
      <c r="D3" s="370" t="s">
        <v>540</v>
      </c>
    </row>
    <row r="4" spans="1:4" s="442" customFormat="1" ht="15.75" customHeight="1" thickBot="1">
      <c r="A4" s="230"/>
      <c r="B4" s="230"/>
      <c r="C4" s="231"/>
      <c r="D4" s="231"/>
    </row>
    <row r="5" spans="1:4" ht="13.5" thickBot="1">
      <c r="A5" s="393" t="s">
        <v>681</v>
      </c>
      <c r="B5" s="232" t="s">
        <v>531</v>
      </c>
      <c r="C5" s="233" t="s">
        <v>532</v>
      </c>
      <c r="D5" s="233" t="s">
        <v>532</v>
      </c>
    </row>
    <row r="6" spans="1:4" s="443" customFormat="1" ht="12.75" customHeight="1" thickBot="1">
      <c r="A6" s="199">
        <v>1</v>
      </c>
      <c r="B6" s="200">
        <v>2</v>
      </c>
      <c r="C6" s="201">
        <v>3</v>
      </c>
      <c r="D6" s="201">
        <v>4</v>
      </c>
    </row>
    <row r="7" spans="1:4" s="443" customFormat="1" ht="15.75" customHeight="1" thickBot="1">
      <c r="A7" s="234"/>
      <c r="B7" s="235" t="s">
        <v>533</v>
      </c>
      <c r="C7" s="236"/>
      <c r="D7" s="236"/>
    </row>
    <row r="8" spans="1:4" s="371" customFormat="1" ht="12" customHeight="1" thickBot="1">
      <c r="A8" s="199" t="s">
        <v>496</v>
      </c>
      <c r="B8" s="237" t="s">
        <v>121</v>
      </c>
      <c r="C8" s="314">
        <f>SUM(C9:C18)</f>
        <v>0</v>
      </c>
      <c r="D8" s="314">
        <f>SUM(D9:D18)</f>
        <v>0</v>
      </c>
    </row>
    <row r="9" spans="1:4" s="371" customFormat="1" ht="12" customHeight="1">
      <c r="A9" s="434" t="s">
        <v>579</v>
      </c>
      <c r="B9" s="8" t="s">
        <v>770</v>
      </c>
      <c r="C9" s="360"/>
      <c r="D9" s="360"/>
    </row>
    <row r="10" spans="1:4" s="371" customFormat="1" ht="12" customHeight="1">
      <c r="A10" s="435" t="s">
        <v>580</v>
      </c>
      <c r="B10" s="6" t="s">
        <v>771</v>
      </c>
      <c r="C10" s="312"/>
      <c r="D10" s="312"/>
    </row>
    <row r="11" spans="1:4" s="371" customFormat="1" ht="12" customHeight="1">
      <c r="A11" s="435" t="s">
        <v>581</v>
      </c>
      <c r="B11" s="6" t="s">
        <v>772</v>
      </c>
      <c r="C11" s="312"/>
      <c r="D11" s="312"/>
    </row>
    <row r="12" spans="1:4" s="371" customFormat="1" ht="12" customHeight="1">
      <c r="A12" s="435" t="s">
        <v>582</v>
      </c>
      <c r="B12" s="6" t="s">
        <v>773</v>
      </c>
      <c r="C12" s="312"/>
      <c r="D12" s="312"/>
    </row>
    <row r="13" spans="1:4" s="371" customFormat="1" ht="12" customHeight="1">
      <c r="A13" s="435" t="s">
        <v>624</v>
      </c>
      <c r="B13" s="6" t="s">
        <v>774</v>
      </c>
      <c r="C13" s="312"/>
      <c r="D13" s="312"/>
    </row>
    <row r="14" spans="1:4" s="371" customFormat="1" ht="12" customHeight="1">
      <c r="A14" s="435" t="s">
        <v>583</v>
      </c>
      <c r="B14" s="6" t="s">
        <v>122</v>
      </c>
      <c r="C14" s="312"/>
      <c r="D14" s="312"/>
    </row>
    <row r="15" spans="1:4" s="371" customFormat="1" ht="12" customHeight="1">
      <c r="A15" s="435" t="s">
        <v>584</v>
      </c>
      <c r="B15" s="5" t="s">
        <v>123</v>
      </c>
      <c r="C15" s="312"/>
      <c r="D15" s="312"/>
    </row>
    <row r="16" spans="1:4" s="371" customFormat="1" ht="12" customHeight="1">
      <c r="A16" s="435" t="s">
        <v>594</v>
      </c>
      <c r="B16" s="6" t="s">
        <v>777</v>
      </c>
      <c r="C16" s="361"/>
      <c r="D16" s="361"/>
    </row>
    <row r="17" spans="1:4" s="444" customFormat="1" ht="12" customHeight="1">
      <c r="A17" s="435" t="s">
        <v>595</v>
      </c>
      <c r="B17" s="6" t="s">
        <v>778</v>
      </c>
      <c r="C17" s="312"/>
      <c r="D17" s="312"/>
    </row>
    <row r="18" spans="1:4" s="444" customFormat="1" ht="12" customHeight="1" thickBot="1">
      <c r="A18" s="435" t="s">
        <v>596</v>
      </c>
      <c r="B18" s="5" t="s">
        <v>779</v>
      </c>
      <c r="C18" s="313"/>
      <c r="D18" s="313"/>
    </row>
    <row r="19" spans="1:4" s="371" customFormat="1" ht="12" customHeight="1" thickBot="1">
      <c r="A19" s="199" t="s">
        <v>497</v>
      </c>
      <c r="B19" s="237" t="s">
        <v>124</v>
      </c>
      <c r="C19" s="314">
        <f>SUM(C20:C22)</f>
        <v>0</v>
      </c>
      <c r="D19" s="314">
        <f>SUM(D20:D22)</f>
        <v>0</v>
      </c>
    </row>
    <row r="20" spans="1:4" s="444" customFormat="1" ht="12" customHeight="1">
      <c r="A20" s="435" t="s">
        <v>585</v>
      </c>
      <c r="B20" s="7" t="s">
        <v>745</v>
      </c>
      <c r="C20" s="312"/>
      <c r="D20" s="312"/>
    </row>
    <row r="21" spans="1:4" s="444" customFormat="1" ht="12" customHeight="1">
      <c r="A21" s="435" t="s">
        <v>586</v>
      </c>
      <c r="B21" s="6" t="s">
        <v>125</v>
      </c>
      <c r="C21" s="312"/>
      <c r="D21" s="312"/>
    </row>
    <row r="22" spans="1:4" s="444" customFormat="1" ht="12" customHeight="1">
      <c r="A22" s="435" t="s">
        <v>587</v>
      </c>
      <c r="B22" s="6" t="s">
        <v>126</v>
      </c>
      <c r="C22" s="312"/>
      <c r="D22" s="312"/>
    </row>
    <row r="23" spans="1:4" s="444" customFormat="1" ht="12" customHeight="1" thickBot="1">
      <c r="A23" s="435" t="s">
        <v>588</v>
      </c>
      <c r="B23" s="6" t="s">
        <v>480</v>
      </c>
      <c r="C23" s="312"/>
      <c r="D23" s="312"/>
    </row>
    <row r="24" spans="1:4" s="444" customFormat="1" ht="12" customHeight="1" thickBot="1">
      <c r="A24" s="207" t="s">
        <v>498</v>
      </c>
      <c r="B24" s="122" t="s">
        <v>650</v>
      </c>
      <c r="C24" s="340"/>
      <c r="D24" s="340"/>
    </row>
    <row r="25" spans="1:4" s="444" customFormat="1" ht="12" customHeight="1" thickBot="1">
      <c r="A25" s="207" t="s">
        <v>499</v>
      </c>
      <c r="B25" s="122" t="s">
        <v>127</v>
      </c>
      <c r="C25" s="314">
        <f>+C26+C27</f>
        <v>0</v>
      </c>
      <c r="D25" s="314">
        <f>+D26+D27</f>
        <v>0</v>
      </c>
    </row>
    <row r="26" spans="1:4" s="444" customFormat="1" ht="12" customHeight="1">
      <c r="A26" s="436" t="s">
        <v>755</v>
      </c>
      <c r="B26" s="437" t="s">
        <v>125</v>
      </c>
      <c r="C26" s="76"/>
      <c r="D26" s="76"/>
    </row>
    <row r="27" spans="1:4" s="444" customFormat="1" ht="12" customHeight="1">
      <c r="A27" s="436" t="s">
        <v>758</v>
      </c>
      <c r="B27" s="438" t="s">
        <v>128</v>
      </c>
      <c r="C27" s="315"/>
      <c r="D27" s="315"/>
    </row>
    <row r="28" spans="1:4" s="444" customFormat="1" ht="12" customHeight="1" thickBot="1">
      <c r="A28" s="435" t="s">
        <v>759</v>
      </c>
      <c r="B28" s="439" t="s">
        <v>129</v>
      </c>
      <c r="C28" s="83"/>
      <c r="D28" s="83"/>
    </row>
    <row r="29" spans="1:4" s="444" customFormat="1" ht="12" customHeight="1" thickBot="1">
      <c r="A29" s="207" t="s">
        <v>500</v>
      </c>
      <c r="B29" s="122" t="s">
        <v>130</v>
      </c>
      <c r="C29" s="314">
        <f>+C30+C31+C32</f>
        <v>0</v>
      </c>
      <c r="D29" s="314">
        <f>+D30+D31+D32</f>
        <v>0</v>
      </c>
    </row>
    <row r="30" spans="1:4" s="444" customFormat="1" ht="12" customHeight="1">
      <c r="A30" s="436" t="s">
        <v>572</v>
      </c>
      <c r="B30" s="437" t="s">
        <v>784</v>
      </c>
      <c r="C30" s="76"/>
      <c r="D30" s="76"/>
    </row>
    <row r="31" spans="1:4" s="444" customFormat="1" ht="12" customHeight="1">
      <c r="A31" s="436" t="s">
        <v>573</v>
      </c>
      <c r="B31" s="438" t="s">
        <v>785</v>
      </c>
      <c r="C31" s="315"/>
      <c r="D31" s="315"/>
    </row>
    <row r="32" spans="1:4" s="444" customFormat="1" ht="12" customHeight="1" thickBot="1">
      <c r="A32" s="435" t="s">
        <v>574</v>
      </c>
      <c r="B32" s="138" t="s">
        <v>786</v>
      </c>
      <c r="C32" s="83"/>
      <c r="D32" s="83"/>
    </row>
    <row r="33" spans="1:4" s="371" customFormat="1" ht="12" customHeight="1" thickBot="1">
      <c r="A33" s="207" t="s">
        <v>501</v>
      </c>
      <c r="B33" s="122" t="s">
        <v>75</v>
      </c>
      <c r="C33" s="340"/>
      <c r="D33" s="340"/>
    </row>
    <row r="34" spans="1:4" s="371" customFormat="1" ht="12" customHeight="1" thickBot="1">
      <c r="A34" s="207" t="s">
        <v>502</v>
      </c>
      <c r="B34" s="122" t="s">
        <v>131</v>
      </c>
      <c r="C34" s="362"/>
      <c r="D34" s="362"/>
    </row>
    <row r="35" spans="1:4" s="371" customFormat="1" ht="12" customHeight="1" thickBot="1">
      <c r="A35" s="199" t="s">
        <v>503</v>
      </c>
      <c r="B35" s="122" t="s">
        <v>132</v>
      </c>
      <c r="C35" s="363">
        <f>+C8+C19+C24+C25+C29+C33+C34</f>
        <v>0</v>
      </c>
      <c r="D35" s="363">
        <f>+D8+D19+D24+D25+D29+D33+D34</f>
        <v>0</v>
      </c>
    </row>
    <row r="36" spans="1:4" s="371" customFormat="1" ht="12" customHeight="1" thickBot="1">
      <c r="A36" s="238" t="s">
        <v>504</v>
      </c>
      <c r="B36" s="122" t="s">
        <v>133</v>
      </c>
      <c r="C36" s="363">
        <f>+C37+C38+C39</f>
        <v>0</v>
      </c>
      <c r="D36" s="363">
        <f>+D37+D38+D39</f>
        <v>0</v>
      </c>
    </row>
    <row r="37" spans="1:4" s="371" customFormat="1" ht="12" customHeight="1">
      <c r="A37" s="436" t="s">
        <v>134</v>
      </c>
      <c r="B37" s="437" t="s">
        <v>717</v>
      </c>
      <c r="C37" s="76"/>
      <c r="D37" s="76"/>
    </row>
    <row r="38" spans="1:4" s="371" customFormat="1" ht="12" customHeight="1">
      <c r="A38" s="436" t="s">
        <v>135</v>
      </c>
      <c r="B38" s="438" t="s">
        <v>481</v>
      </c>
      <c r="C38" s="315"/>
      <c r="D38" s="315"/>
    </row>
    <row r="39" spans="1:4" s="444" customFormat="1" ht="12" customHeight="1" thickBot="1">
      <c r="A39" s="435" t="s">
        <v>136</v>
      </c>
      <c r="B39" s="138" t="s">
        <v>137</v>
      </c>
      <c r="C39" s="83"/>
      <c r="D39" s="83"/>
    </row>
    <row r="40" spans="1:4" s="444" customFormat="1" ht="15" customHeight="1" thickBot="1">
      <c r="A40" s="238" t="s">
        <v>505</v>
      </c>
      <c r="B40" s="239" t="s">
        <v>138</v>
      </c>
      <c r="C40" s="366">
        <f>+C35+C36</f>
        <v>0</v>
      </c>
      <c r="D40" s="366">
        <f>+D35+D36</f>
        <v>0</v>
      </c>
    </row>
    <row r="41" spans="1:4" s="444" customFormat="1" ht="15" customHeight="1">
      <c r="A41" s="240"/>
      <c r="B41" s="241"/>
      <c r="C41" s="364"/>
      <c r="D41" s="364"/>
    </row>
    <row r="42" spans="1:4" ht="13.5" thickBot="1">
      <c r="A42" s="242"/>
      <c r="B42" s="243"/>
      <c r="C42" s="365"/>
      <c r="D42" s="365"/>
    </row>
    <row r="43" spans="1:4" s="443" customFormat="1" ht="16.5" customHeight="1" thickBot="1">
      <c r="A43" s="244"/>
      <c r="B43" s="245" t="s">
        <v>535</v>
      </c>
      <c r="C43" s="366"/>
      <c r="D43" s="366"/>
    </row>
    <row r="44" spans="1:4" s="445" customFormat="1" ht="12" customHeight="1" thickBot="1">
      <c r="A44" s="207" t="s">
        <v>496</v>
      </c>
      <c r="B44" s="122" t="s">
        <v>139</v>
      </c>
      <c r="C44" s="314">
        <f>SUM(C45:C49)</f>
        <v>0</v>
      </c>
      <c r="D44" s="314">
        <f>SUM(D45:D49)</f>
        <v>0</v>
      </c>
    </row>
    <row r="45" spans="1:4" ht="12" customHeight="1">
      <c r="A45" s="435" t="s">
        <v>579</v>
      </c>
      <c r="B45" s="7" t="s">
        <v>526</v>
      </c>
      <c r="C45" s="76"/>
      <c r="D45" s="76"/>
    </row>
    <row r="46" spans="1:4" ht="12" customHeight="1">
      <c r="A46" s="435" t="s">
        <v>580</v>
      </c>
      <c r="B46" s="6" t="s">
        <v>659</v>
      </c>
      <c r="C46" s="79"/>
      <c r="D46" s="79"/>
    </row>
    <row r="47" spans="1:4" ht="12" customHeight="1">
      <c r="A47" s="435" t="s">
        <v>581</v>
      </c>
      <c r="B47" s="6" t="s">
        <v>616</v>
      </c>
      <c r="C47" s="79"/>
      <c r="D47" s="79"/>
    </row>
    <row r="48" spans="1:4" ht="12" customHeight="1">
      <c r="A48" s="435" t="s">
        <v>582</v>
      </c>
      <c r="B48" s="6" t="s">
        <v>660</v>
      </c>
      <c r="C48" s="79"/>
      <c r="D48" s="79"/>
    </row>
    <row r="49" spans="1:4" ht="12" customHeight="1" thickBot="1">
      <c r="A49" s="435" t="s">
        <v>624</v>
      </c>
      <c r="B49" s="6" t="s">
        <v>661</v>
      </c>
      <c r="C49" s="79"/>
      <c r="D49" s="79"/>
    </row>
    <row r="50" spans="1:4" ht="12" customHeight="1" thickBot="1">
      <c r="A50" s="207" t="s">
        <v>497</v>
      </c>
      <c r="B50" s="122" t="s">
        <v>140</v>
      </c>
      <c r="C50" s="314">
        <f>SUM(C51:C53)</f>
        <v>0</v>
      </c>
      <c r="D50" s="314">
        <f>SUM(D51:D53)</f>
        <v>0</v>
      </c>
    </row>
    <row r="51" spans="1:4" s="445" customFormat="1" ht="12" customHeight="1">
      <c r="A51" s="435" t="s">
        <v>585</v>
      </c>
      <c r="B51" s="7" t="s">
        <v>708</v>
      </c>
      <c r="C51" s="76"/>
      <c r="D51" s="76"/>
    </row>
    <row r="52" spans="1:4" ht="12" customHeight="1">
      <c r="A52" s="435" t="s">
        <v>586</v>
      </c>
      <c r="B52" s="6" t="s">
        <v>663</v>
      </c>
      <c r="C52" s="79"/>
      <c r="D52" s="79"/>
    </row>
    <row r="53" spans="1:4" ht="12" customHeight="1">
      <c r="A53" s="435" t="s">
        <v>587</v>
      </c>
      <c r="B53" s="6" t="s">
        <v>536</v>
      </c>
      <c r="C53" s="79"/>
      <c r="D53" s="79"/>
    </row>
    <row r="54" spans="1:4" ht="12" customHeight="1" thickBot="1">
      <c r="A54" s="435" t="s">
        <v>588</v>
      </c>
      <c r="B54" s="6" t="s">
        <v>482</v>
      </c>
      <c r="C54" s="79"/>
      <c r="D54" s="79"/>
    </row>
    <row r="55" spans="1:4" ht="15" customHeight="1" thickBot="1">
      <c r="A55" s="207" t="s">
        <v>498</v>
      </c>
      <c r="B55" s="246" t="s">
        <v>141</v>
      </c>
      <c r="C55" s="367">
        <f>+C44+C50</f>
        <v>0</v>
      </c>
      <c r="D55" s="367">
        <f>+D44+D50</f>
        <v>0</v>
      </c>
    </row>
    <row r="56" spans="3:4" ht="13.5" thickBot="1">
      <c r="C56" s="368"/>
      <c r="D56" s="368"/>
    </row>
    <row r="57" spans="1:4" ht="15" customHeight="1" thickBot="1">
      <c r="A57" s="249" t="s">
        <v>682</v>
      </c>
      <c r="B57" s="250"/>
      <c r="C57" s="119"/>
      <c r="D57" s="119"/>
    </row>
    <row r="58" spans="1:4" ht="14.25" customHeight="1" thickBot="1">
      <c r="A58" s="249" t="s">
        <v>683</v>
      </c>
      <c r="B58" s="250"/>
      <c r="C58" s="119"/>
      <c r="D58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4" width="25.00390625" style="248" customWidth="1"/>
    <col min="5" max="16384" width="9.375" style="248" customWidth="1"/>
  </cols>
  <sheetData>
    <row r="1" spans="1:4" s="227" customFormat="1" ht="21" customHeight="1" thickBot="1">
      <c r="A1" s="226"/>
      <c r="B1" s="228"/>
      <c r="C1" s="440" t="s">
        <v>887</v>
      </c>
      <c r="D1" s="440"/>
    </row>
    <row r="2" spans="1:4" s="441" customFormat="1" ht="25.5" customHeight="1">
      <c r="A2" s="392" t="s">
        <v>680</v>
      </c>
      <c r="B2" s="354" t="s">
        <v>164</v>
      </c>
      <c r="C2" s="369"/>
      <c r="D2" s="369" t="s">
        <v>540</v>
      </c>
    </row>
    <row r="3" spans="1:4" s="441" customFormat="1" ht="24.75" thickBot="1">
      <c r="A3" s="433" t="s">
        <v>679</v>
      </c>
      <c r="B3" s="355" t="s">
        <v>145</v>
      </c>
      <c r="C3" s="370"/>
      <c r="D3" s="370" t="s">
        <v>158</v>
      </c>
    </row>
    <row r="4" spans="1:4" s="442" customFormat="1" ht="15.75" customHeight="1" thickBot="1">
      <c r="A4" s="230"/>
      <c r="B4" s="230"/>
      <c r="C4" s="231"/>
      <c r="D4" s="231"/>
    </row>
    <row r="5" spans="1:4" ht="13.5" thickBot="1">
      <c r="A5" s="393" t="s">
        <v>681</v>
      </c>
      <c r="B5" s="232" t="s">
        <v>531</v>
      </c>
      <c r="C5" s="233" t="s">
        <v>532</v>
      </c>
      <c r="D5" s="233" t="s">
        <v>532</v>
      </c>
    </row>
    <row r="6" spans="1:4" s="443" customFormat="1" ht="12.75" customHeight="1" thickBot="1">
      <c r="A6" s="199">
        <v>1</v>
      </c>
      <c r="B6" s="200">
        <v>2</v>
      </c>
      <c r="C6" s="201">
        <v>3</v>
      </c>
      <c r="D6" s="201">
        <v>4</v>
      </c>
    </row>
    <row r="7" spans="1:4" s="443" customFormat="1" ht="15.75" customHeight="1" thickBot="1">
      <c r="A7" s="234"/>
      <c r="B7" s="235" t="s">
        <v>533</v>
      </c>
      <c r="C7" s="236"/>
      <c r="D7" s="236"/>
    </row>
    <row r="8" spans="1:4" s="371" customFormat="1" ht="12" customHeight="1" thickBot="1">
      <c r="A8" s="199" t="s">
        <v>496</v>
      </c>
      <c r="B8" s="237" t="s">
        <v>121</v>
      </c>
      <c r="C8" s="314">
        <f>SUM(C9:C18)</f>
        <v>0</v>
      </c>
      <c r="D8" s="314">
        <f>SUM(D9:D18)</f>
        <v>0</v>
      </c>
    </row>
    <row r="9" spans="1:4" s="371" customFormat="1" ht="12" customHeight="1">
      <c r="A9" s="434" t="s">
        <v>579</v>
      </c>
      <c r="B9" s="8" t="s">
        <v>770</v>
      </c>
      <c r="C9" s="360"/>
      <c r="D9" s="360"/>
    </row>
    <row r="10" spans="1:4" s="371" customFormat="1" ht="12" customHeight="1">
      <c r="A10" s="435" t="s">
        <v>580</v>
      </c>
      <c r="B10" s="6" t="s">
        <v>771</v>
      </c>
      <c r="C10" s="312"/>
      <c r="D10" s="312"/>
    </row>
    <row r="11" spans="1:4" s="371" customFormat="1" ht="12" customHeight="1">
      <c r="A11" s="435" t="s">
        <v>581</v>
      </c>
      <c r="B11" s="6" t="s">
        <v>772</v>
      </c>
      <c r="C11" s="312"/>
      <c r="D11" s="312"/>
    </row>
    <row r="12" spans="1:4" s="371" customFormat="1" ht="12" customHeight="1">
      <c r="A12" s="435" t="s">
        <v>582</v>
      </c>
      <c r="B12" s="6" t="s">
        <v>773</v>
      </c>
      <c r="C12" s="312"/>
      <c r="D12" s="312"/>
    </row>
    <row r="13" spans="1:4" s="371" customFormat="1" ht="12" customHeight="1">
      <c r="A13" s="435" t="s">
        <v>624</v>
      </c>
      <c r="B13" s="6" t="s">
        <v>774</v>
      </c>
      <c r="C13" s="312"/>
      <c r="D13" s="312"/>
    </row>
    <row r="14" spans="1:4" s="371" customFormat="1" ht="12" customHeight="1">
      <c r="A14" s="435" t="s">
        <v>583</v>
      </c>
      <c r="B14" s="6" t="s">
        <v>122</v>
      </c>
      <c r="C14" s="312"/>
      <c r="D14" s="312"/>
    </row>
    <row r="15" spans="1:4" s="371" customFormat="1" ht="12" customHeight="1">
      <c r="A15" s="435" t="s">
        <v>584</v>
      </c>
      <c r="B15" s="5" t="s">
        <v>123</v>
      </c>
      <c r="C15" s="312"/>
      <c r="D15" s="312"/>
    </row>
    <row r="16" spans="1:4" s="371" customFormat="1" ht="12" customHeight="1">
      <c r="A16" s="435" t="s">
        <v>594</v>
      </c>
      <c r="B16" s="6" t="s">
        <v>777</v>
      </c>
      <c r="C16" s="361"/>
      <c r="D16" s="361"/>
    </row>
    <row r="17" spans="1:4" s="444" customFormat="1" ht="12" customHeight="1">
      <c r="A17" s="435" t="s">
        <v>595</v>
      </c>
      <c r="B17" s="6" t="s">
        <v>778</v>
      </c>
      <c r="C17" s="312"/>
      <c r="D17" s="312"/>
    </row>
    <row r="18" spans="1:4" s="444" customFormat="1" ht="12" customHeight="1" thickBot="1">
      <c r="A18" s="435" t="s">
        <v>596</v>
      </c>
      <c r="B18" s="5" t="s">
        <v>779</v>
      </c>
      <c r="C18" s="313"/>
      <c r="D18" s="313"/>
    </row>
    <row r="19" spans="1:4" s="371" customFormat="1" ht="12" customHeight="1" thickBot="1">
      <c r="A19" s="199" t="s">
        <v>497</v>
      </c>
      <c r="B19" s="237" t="s">
        <v>124</v>
      </c>
      <c r="C19" s="314">
        <f>SUM(C20:C22)</f>
        <v>0</v>
      </c>
      <c r="D19" s="314">
        <f>SUM(D20:D22)</f>
        <v>0</v>
      </c>
    </row>
    <row r="20" spans="1:4" s="444" customFormat="1" ht="12" customHeight="1">
      <c r="A20" s="435" t="s">
        <v>585</v>
      </c>
      <c r="B20" s="7" t="s">
        <v>745</v>
      </c>
      <c r="C20" s="312"/>
      <c r="D20" s="312"/>
    </row>
    <row r="21" spans="1:4" s="444" customFormat="1" ht="12" customHeight="1">
      <c r="A21" s="435" t="s">
        <v>586</v>
      </c>
      <c r="B21" s="6" t="s">
        <v>125</v>
      </c>
      <c r="C21" s="312"/>
      <c r="D21" s="312"/>
    </row>
    <row r="22" spans="1:4" s="444" customFormat="1" ht="12" customHeight="1">
      <c r="A22" s="435" t="s">
        <v>587</v>
      </c>
      <c r="B22" s="6" t="s">
        <v>126</v>
      </c>
      <c r="C22" s="312"/>
      <c r="D22" s="312"/>
    </row>
    <row r="23" spans="1:4" s="444" customFormat="1" ht="12" customHeight="1" thickBot="1">
      <c r="A23" s="435" t="s">
        <v>588</v>
      </c>
      <c r="B23" s="6" t="s">
        <v>480</v>
      </c>
      <c r="C23" s="312"/>
      <c r="D23" s="312"/>
    </row>
    <row r="24" spans="1:4" s="444" customFormat="1" ht="12" customHeight="1" thickBot="1">
      <c r="A24" s="207" t="s">
        <v>498</v>
      </c>
      <c r="B24" s="122" t="s">
        <v>650</v>
      </c>
      <c r="C24" s="340"/>
      <c r="D24" s="340"/>
    </row>
    <row r="25" spans="1:4" s="444" customFormat="1" ht="12" customHeight="1" thickBot="1">
      <c r="A25" s="207" t="s">
        <v>499</v>
      </c>
      <c r="B25" s="122" t="s">
        <v>127</v>
      </c>
      <c r="C25" s="314">
        <f>+C26+C27</f>
        <v>0</v>
      </c>
      <c r="D25" s="314">
        <f>+D26+D27</f>
        <v>0</v>
      </c>
    </row>
    <row r="26" spans="1:4" s="444" customFormat="1" ht="12" customHeight="1">
      <c r="A26" s="436" t="s">
        <v>755</v>
      </c>
      <c r="B26" s="437" t="s">
        <v>125</v>
      </c>
      <c r="C26" s="76"/>
      <c r="D26" s="76"/>
    </row>
    <row r="27" spans="1:4" s="444" customFormat="1" ht="12" customHeight="1">
      <c r="A27" s="436" t="s">
        <v>758</v>
      </c>
      <c r="B27" s="438" t="s">
        <v>128</v>
      </c>
      <c r="C27" s="315"/>
      <c r="D27" s="315"/>
    </row>
    <row r="28" spans="1:4" s="444" customFormat="1" ht="12" customHeight="1" thickBot="1">
      <c r="A28" s="435" t="s">
        <v>759</v>
      </c>
      <c r="B28" s="439" t="s">
        <v>129</v>
      </c>
      <c r="C28" s="83"/>
      <c r="D28" s="83"/>
    </row>
    <row r="29" spans="1:4" s="444" customFormat="1" ht="12" customHeight="1" thickBot="1">
      <c r="A29" s="207" t="s">
        <v>500</v>
      </c>
      <c r="B29" s="122" t="s">
        <v>130</v>
      </c>
      <c r="C29" s="314">
        <f>+C30+C31+C32</f>
        <v>0</v>
      </c>
      <c r="D29" s="314">
        <f>+D30+D31+D32</f>
        <v>0</v>
      </c>
    </row>
    <row r="30" spans="1:4" s="444" customFormat="1" ht="12" customHeight="1">
      <c r="A30" s="436" t="s">
        <v>572</v>
      </c>
      <c r="B30" s="437" t="s">
        <v>784</v>
      </c>
      <c r="C30" s="76"/>
      <c r="D30" s="76"/>
    </row>
    <row r="31" spans="1:4" s="444" customFormat="1" ht="12" customHeight="1">
      <c r="A31" s="436" t="s">
        <v>573</v>
      </c>
      <c r="B31" s="438" t="s">
        <v>785</v>
      </c>
      <c r="C31" s="315"/>
      <c r="D31" s="315"/>
    </row>
    <row r="32" spans="1:4" s="444" customFormat="1" ht="12" customHeight="1" thickBot="1">
      <c r="A32" s="435" t="s">
        <v>574</v>
      </c>
      <c r="B32" s="138" t="s">
        <v>786</v>
      </c>
      <c r="C32" s="83"/>
      <c r="D32" s="83"/>
    </row>
    <row r="33" spans="1:4" s="371" customFormat="1" ht="12" customHeight="1" thickBot="1">
      <c r="A33" s="207" t="s">
        <v>501</v>
      </c>
      <c r="B33" s="122" t="s">
        <v>75</v>
      </c>
      <c r="C33" s="340"/>
      <c r="D33" s="340"/>
    </row>
    <row r="34" spans="1:4" s="371" customFormat="1" ht="12" customHeight="1" thickBot="1">
      <c r="A34" s="207" t="s">
        <v>502</v>
      </c>
      <c r="B34" s="122" t="s">
        <v>131</v>
      </c>
      <c r="C34" s="362"/>
      <c r="D34" s="362"/>
    </row>
    <row r="35" spans="1:4" s="371" customFormat="1" ht="12" customHeight="1" thickBot="1">
      <c r="A35" s="199" t="s">
        <v>503</v>
      </c>
      <c r="B35" s="122" t="s">
        <v>132</v>
      </c>
      <c r="C35" s="363">
        <f>+C8+C19+C24+C25+C29+C33+C34</f>
        <v>0</v>
      </c>
      <c r="D35" s="363">
        <f>+D8+D19+D24+D25+D29+D33+D34</f>
        <v>0</v>
      </c>
    </row>
    <row r="36" spans="1:4" s="371" customFormat="1" ht="12" customHeight="1" thickBot="1">
      <c r="A36" s="238" t="s">
        <v>504</v>
      </c>
      <c r="B36" s="122" t="s">
        <v>133</v>
      </c>
      <c r="C36" s="363">
        <f>+C37+C38+C39</f>
        <v>0</v>
      </c>
      <c r="D36" s="363">
        <f>+D37+D38+D39</f>
        <v>0</v>
      </c>
    </row>
    <row r="37" spans="1:4" s="371" customFormat="1" ht="12" customHeight="1">
      <c r="A37" s="436" t="s">
        <v>134</v>
      </c>
      <c r="B37" s="437" t="s">
        <v>717</v>
      </c>
      <c r="C37" s="76"/>
      <c r="D37" s="76"/>
    </row>
    <row r="38" spans="1:4" s="371" customFormat="1" ht="12" customHeight="1">
      <c r="A38" s="436" t="s">
        <v>135</v>
      </c>
      <c r="B38" s="438" t="s">
        <v>481</v>
      </c>
      <c r="C38" s="315"/>
      <c r="D38" s="315"/>
    </row>
    <row r="39" spans="1:4" s="444" customFormat="1" ht="12" customHeight="1" thickBot="1">
      <c r="A39" s="435" t="s">
        <v>136</v>
      </c>
      <c r="B39" s="138" t="s">
        <v>137</v>
      </c>
      <c r="C39" s="83"/>
      <c r="D39" s="83"/>
    </row>
    <row r="40" spans="1:4" s="444" customFormat="1" ht="15" customHeight="1" thickBot="1">
      <c r="A40" s="238" t="s">
        <v>505</v>
      </c>
      <c r="B40" s="239" t="s">
        <v>138</v>
      </c>
      <c r="C40" s="366">
        <f>+C35+C36</f>
        <v>0</v>
      </c>
      <c r="D40" s="366">
        <f>+D35+D36</f>
        <v>0</v>
      </c>
    </row>
    <row r="41" spans="1:4" s="444" customFormat="1" ht="15" customHeight="1">
      <c r="A41" s="240"/>
      <c r="B41" s="241"/>
      <c r="C41" s="364"/>
      <c r="D41" s="364"/>
    </row>
    <row r="42" spans="1:4" ht="13.5" thickBot="1">
      <c r="A42" s="242"/>
      <c r="B42" s="243"/>
      <c r="C42" s="365"/>
      <c r="D42" s="365"/>
    </row>
    <row r="43" spans="1:4" s="443" customFormat="1" ht="16.5" customHeight="1" thickBot="1">
      <c r="A43" s="244"/>
      <c r="B43" s="245" t="s">
        <v>535</v>
      </c>
      <c r="C43" s="366"/>
      <c r="D43" s="366"/>
    </row>
    <row r="44" spans="1:4" s="445" customFormat="1" ht="12" customHeight="1" thickBot="1">
      <c r="A44" s="207" t="s">
        <v>496</v>
      </c>
      <c r="B44" s="122" t="s">
        <v>139</v>
      </c>
      <c r="C44" s="314">
        <f>SUM(C45:C49)</f>
        <v>0</v>
      </c>
      <c r="D44" s="314">
        <f>SUM(D45:D49)</f>
        <v>0</v>
      </c>
    </row>
    <row r="45" spans="1:4" ht="12" customHeight="1">
      <c r="A45" s="435" t="s">
        <v>579</v>
      </c>
      <c r="B45" s="7" t="s">
        <v>526</v>
      </c>
      <c r="C45" s="76"/>
      <c r="D45" s="76"/>
    </row>
    <row r="46" spans="1:4" ht="12" customHeight="1">
      <c r="A46" s="435" t="s">
        <v>580</v>
      </c>
      <c r="B46" s="6" t="s">
        <v>659</v>
      </c>
      <c r="C46" s="79"/>
      <c r="D46" s="79"/>
    </row>
    <row r="47" spans="1:4" ht="12" customHeight="1">
      <c r="A47" s="435" t="s">
        <v>581</v>
      </c>
      <c r="B47" s="6" t="s">
        <v>616</v>
      </c>
      <c r="C47" s="79"/>
      <c r="D47" s="79"/>
    </row>
    <row r="48" spans="1:4" ht="12" customHeight="1">
      <c r="A48" s="435" t="s">
        <v>582</v>
      </c>
      <c r="B48" s="6" t="s">
        <v>660</v>
      </c>
      <c r="C48" s="79"/>
      <c r="D48" s="79"/>
    </row>
    <row r="49" spans="1:4" ht="12" customHeight="1" thickBot="1">
      <c r="A49" s="435" t="s">
        <v>624</v>
      </c>
      <c r="B49" s="6" t="s">
        <v>661</v>
      </c>
      <c r="C49" s="79"/>
      <c r="D49" s="79"/>
    </row>
    <row r="50" spans="1:4" ht="12" customHeight="1" thickBot="1">
      <c r="A50" s="207" t="s">
        <v>497</v>
      </c>
      <c r="B50" s="122" t="s">
        <v>140</v>
      </c>
      <c r="C50" s="314">
        <f>SUM(C51:C53)</f>
        <v>0</v>
      </c>
      <c r="D50" s="314">
        <f>SUM(D51:D53)</f>
        <v>0</v>
      </c>
    </row>
    <row r="51" spans="1:4" s="445" customFormat="1" ht="12" customHeight="1">
      <c r="A51" s="435" t="s">
        <v>585</v>
      </c>
      <c r="B51" s="7" t="s">
        <v>708</v>
      </c>
      <c r="C51" s="76"/>
      <c r="D51" s="76"/>
    </row>
    <row r="52" spans="1:4" ht="12" customHeight="1">
      <c r="A52" s="435" t="s">
        <v>586</v>
      </c>
      <c r="B52" s="6" t="s">
        <v>663</v>
      </c>
      <c r="C52" s="79"/>
      <c r="D52" s="79"/>
    </row>
    <row r="53" spans="1:4" ht="12" customHeight="1">
      <c r="A53" s="435" t="s">
        <v>587</v>
      </c>
      <c r="B53" s="6" t="s">
        <v>536</v>
      </c>
      <c r="C53" s="79"/>
      <c r="D53" s="79"/>
    </row>
    <row r="54" spans="1:4" ht="12" customHeight="1" thickBot="1">
      <c r="A54" s="435" t="s">
        <v>588</v>
      </c>
      <c r="B54" s="6" t="s">
        <v>482</v>
      </c>
      <c r="C54" s="79"/>
      <c r="D54" s="79"/>
    </row>
    <row r="55" spans="1:4" ht="15" customHeight="1" thickBot="1">
      <c r="A55" s="207" t="s">
        <v>498</v>
      </c>
      <c r="B55" s="246" t="s">
        <v>141</v>
      </c>
      <c r="C55" s="367">
        <f>+C44+C50</f>
        <v>0</v>
      </c>
      <c r="D55" s="367">
        <f>+D44+D50</f>
        <v>0</v>
      </c>
    </row>
    <row r="56" spans="3:4" ht="13.5" thickBot="1">
      <c r="C56" s="368"/>
      <c r="D56" s="368"/>
    </row>
    <row r="57" spans="1:4" ht="15" customHeight="1" thickBot="1">
      <c r="A57" s="249" t="s">
        <v>682</v>
      </c>
      <c r="B57" s="250"/>
      <c r="C57" s="119"/>
      <c r="D57" s="119"/>
    </row>
    <row r="58" spans="1:4" ht="14.25" customHeight="1" thickBot="1">
      <c r="A58" s="249" t="s">
        <v>683</v>
      </c>
      <c r="B58" s="250"/>
      <c r="C58" s="119"/>
      <c r="D58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F59"/>
  <sheetViews>
    <sheetView zoomScalePageLayoutView="0" workbookViewId="0" topLeftCell="B1">
      <selection activeCell="F31" sqref="F31"/>
    </sheetView>
  </sheetViews>
  <sheetFormatPr defaultColWidth="9.00390625" defaultRowHeight="12.75"/>
  <cols>
    <col min="1" max="1" width="17.875" style="0" customWidth="1"/>
    <col min="2" max="2" width="64.625" style="0" customWidth="1"/>
    <col min="3" max="6" width="22.375" style="0" customWidth="1"/>
  </cols>
  <sheetData>
    <row r="1" spans="1:6" ht="16.5" thickBot="1">
      <c r="A1" s="226"/>
      <c r="B1" s="228"/>
      <c r="C1" s="440"/>
      <c r="D1" s="440"/>
      <c r="E1" s="440"/>
      <c r="F1" s="440" t="s">
        <v>888</v>
      </c>
    </row>
    <row r="2" spans="1:6" ht="26.25" customHeight="1">
      <c r="A2" s="392" t="s">
        <v>680</v>
      </c>
      <c r="B2" s="354" t="s">
        <v>165</v>
      </c>
      <c r="C2" s="369"/>
      <c r="D2" s="369"/>
      <c r="E2" s="369"/>
      <c r="F2" s="369" t="s">
        <v>158</v>
      </c>
    </row>
    <row r="3" spans="1:6" ht="29.25" customHeight="1" thickBot="1">
      <c r="A3" s="433" t="s">
        <v>679</v>
      </c>
      <c r="B3" s="355" t="s">
        <v>120</v>
      </c>
      <c r="C3" s="370"/>
      <c r="D3" s="370"/>
      <c r="E3" s="370"/>
      <c r="F3" s="370" t="s">
        <v>530</v>
      </c>
    </row>
    <row r="4" spans="1:6" ht="14.25" thickBot="1">
      <c r="A4" s="230"/>
      <c r="B4" s="230"/>
      <c r="C4" s="231"/>
      <c r="D4" s="231"/>
      <c r="E4" s="231"/>
      <c r="F4" s="231"/>
    </row>
    <row r="5" spans="1:6" ht="43.5" customHeight="1" thickBot="1">
      <c r="A5" s="393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  <c r="F5" s="233" t="s">
        <v>532</v>
      </c>
    </row>
    <row r="6" spans="1:6" ht="13.5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  <c r="F6" s="201">
        <v>6</v>
      </c>
    </row>
    <row r="7" spans="1:6" ht="13.5" thickBot="1">
      <c r="A7" s="234"/>
      <c r="B7" s="235" t="s">
        <v>533</v>
      </c>
      <c r="C7" s="236"/>
      <c r="D7" s="236"/>
      <c r="E7" s="236"/>
      <c r="F7" s="236"/>
    </row>
    <row r="8" spans="1:6" ht="18" customHeight="1" thickBot="1">
      <c r="A8" s="199" t="s">
        <v>496</v>
      </c>
      <c r="B8" s="625" t="s">
        <v>121</v>
      </c>
      <c r="C8" s="626">
        <f>C13+C18</f>
        <v>78051900</v>
      </c>
      <c r="D8" s="626">
        <f>D13+D18</f>
        <v>78051900</v>
      </c>
      <c r="E8" s="626">
        <f>E13+E18</f>
        <v>78051900</v>
      </c>
      <c r="F8" s="626">
        <f>F13+F18</f>
        <v>78051900</v>
      </c>
    </row>
    <row r="9" spans="1:6" ht="17.25" customHeight="1">
      <c r="A9" s="434" t="s">
        <v>579</v>
      </c>
      <c r="B9" s="8" t="s">
        <v>770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  <c r="E9" s="306">
        <f>'9.4.1.melléklet'!E9+'9.4.2.melléklet'!E9+'9.4.3.melléklet'!E9</f>
        <v>0</v>
      </c>
      <c r="F9" s="306">
        <f>'9.4.1.melléklet'!F9+'9.4.2.melléklet'!F9+'9.4.3.melléklet'!F9</f>
        <v>0</v>
      </c>
    </row>
    <row r="10" spans="1:6" ht="13.5" customHeight="1">
      <c r="A10" s="435" t="s">
        <v>580</v>
      </c>
      <c r="B10" s="6" t="s">
        <v>771</v>
      </c>
      <c r="C10" s="307">
        <f>'9.4.1.melléklet'!C10+'9.4.2.melléklet'!C10+'9.4.3.melléklet'!C10</f>
        <v>0</v>
      </c>
      <c r="D10" s="307">
        <f>'9.4.1.melléklet'!D10+'9.4.2.melléklet'!D10+'9.4.3.melléklet'!D10</f>
        <v>0</v>
      </c>
      <c r="E10" s="307">
        <f>'9.4.1.melléklet'!E10+'9.4.2.melléklet'!E10+'9.4.3.melléklet'!E10</f>
        <v>0</v>
      </c>
      <c r="F10" s="307">
        <f>'9.4.1.melléklet'!F10+'9.4.2.melléklet'!F10+'9.4.3.melléklet'!F10</f>
        <v>0</v>
      </c>
    </row>
    <row r="11" spans="1:6" ht="11.25" customHeight="1">
      <c r="A11" s="435" t="s">
        <v>581</v>
      </c>
      <c r="B11" s="6" t="s">
        <v>772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  <c r="E11" s="307">
        <f>'9.4.1.melléklet'!E11+'9.4.2.melléklet'!E11+'9.4.3.melléklet'!E11</f>
        <v>0</v>
      </c>
      <c r="F11" s="307">
        <f>'9.4.1.melléklet'!F11+'9.4.2.melléklet'!F11+'9.4.3.melléklet'!F11</f>
        <v>0</v>
      </c>
    </row>
    <row r="12" spans="1:6" ht="10.5" customHeight="1">
      <c r="A12" s="435" t="s">
        <v>582</v>
      </c>
      <c r="B12" s="6" t="s">
        <v>773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  <c r="E12" s="307">
        <f>'9.4.1.melléklet'!E12+'9.4.2.melléklet'!E12+'9.4.3.melléklet'!E12</f>
        <v>0</v>
      </c>
      <c r="F12" s="307">
        <f>'9.4.1.melléklet'!F12+'9.4.2.melléklet'!F12+'9.4.3.melléklet'!F12</f>
        <v>0</v>
      </c>
    </row>
    <row r="13" spans="1:6" ht="15" customHeight="1">
      <c r="A13" s="435" t="s">
        <v>624</v>
      </c>
      <c r="B13" s="6" t="s">
        <v>774</v>
      </c>
      <c r="C13" s="307">
        <v>73051900</v>
      </c>
      <c r="D13" s="307">
        <v>73051900</v>
      </c>
      <c r="E13" s="307">
        <v>73051900</v>
      </c>
      <c r="F13" s="307">
        <v>73051900</v>
      </c>
    </row>
    <row r="14" spans="1:6" ht="14.25" customHeight="1">
      <c r="A14" s="435" t="s">
        <v>583</v>
      </c>
      <c r="B14" s="6" t="s">
        <v>122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  <c r="E14" s="307">
        <f>'9.4.1.melléklet'!E14+'9.4.2.melléklet'!E14+'9.4.3.melléklet'!E14</f>
        <v>0</v>
      </c>
      <c r="F14" s="307">
        <f>'9.4.1.melléklet'!F14+'9.4.2.melléklet'!F14+'9.4.3.melléklet'!F14</f>
        <v>0</v>
      </c>
    </row>
    <row r="15" spans="1:6" ht="14.25" customHeight="1">
      <c r="A15" s="435" t="s">
        <v>584</v>
      </c>
      <c r="B15" s="5" t="s">
        <v>123</v>
      </c>
      <c r="C15" s="307">
        <f>'9.4.1.melléklet'!C15+'9.4.2.melléklet'!C15+'9.4.3.melléklet'!C15</f>
        <v>0</v>
      </c>
      <c r="D15" s="307">
        <f>'9.4.1.melléklet'!D15+'9.4.2.melléklet'!D15+'9.4.3.melléklet'!D15</f>
        <v>0</v>
      </c>
      <c r="E15" s="307">
        <f>'9.4.1.melléklet'!E15+'9.4.2.melléklet'!E15+'9.4.3.melléklet'!E15</f>
        <v>0</v>
      </c>
      <c r="F15" s="307">
        <f>'9.4.1.melléklet'!F15+'9.4.2.melléklet'!F15+'9.4.3.melléklet'!F15</f>
        <v>0</v>
      </c>
    </row>
    <row r="16" spans="1:6" ht="15.75" customHeight="1">
      <c r="A16" s="435" t="s">
        <v>594</v>
      </c>
      <c r="B16" s="6" t="s">
        <v>777</v>
      </c>
      <c r="C16" s="307">
        <f>'9.4.1.melléklet'!C16+'9.4.2.melléklet'!C16+'9.4.3.melléklet'!C16</f>
        <v>0</v>
      </c>
      <c r="D16" s="307">
        <f>'9.4.1.melléklet'!D16+'9.4.2.melléklet'!D16+'9.4.3.melléklet'!D16</f>
        <v>0</v>
      </c>
      <c r="E16" s="307">
        <f>'9.4.1.melléklet'!E16+'9.4.2.melléklet'!E16+'9.4.3.melléklet'!E16</f>
        <v>0</v>
      </c>
      <c r="F16" s="307">
        <v>867</v>
      </c>
    </row>
    <row r="17" spans="1:6" ht="12.75" customHeight="1">
      <c r="A17" s="435" t="s">
        <v>595</v>
      </c>
      <c r="B17" s="6" t="s">
        <v>778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  <c r="E17" s="307">
        <f>'9.4.1.melléklet'!E17+'9.4.2.melléklet'!E17+'9.4.3.melléklet'!E17</f>
        <v>0</v>
      </c>
      <c r="F17" s="307">
        <f>'9.4.1.melléklet'!F17+'9.4.2.melléklet'!F17+'9.4.3.melléklet'!F17</f>
        <v>0</v>
      </c>
    </row>
    <row r="18" spans="1:6" ht="14.25" customHeight="1" thickBot="1">
      <c r="A18" s="435" t="s">
        <v>596</v>
      </c>
      <c r="B18" s="5" t="s">
        <v>779</v>
      </c>
      <c r="C18" s="309">
        <v>5000000</v>
      </c>
      <c r="D18" s="309">
        <v>5000000</v>
      </c>
      <c r="E18" s="309">
        <v>5000000</v>
      </c>
      <c r="F18" s="309">
        <v>5000000</v>
      </c>
    </row>
    <row r="19" spans="1:6" ht="12" customHeight="1" thickBot="1">
      <c r="A19" s="199" t="s">
        <v>497</v>
      </c>
      <c r="B19" s="625" t="s">
        <v>124</v>
      </c>
      <c r="C19" s="626">
        <f>SUM(C20:C22)</f>
        <v>0</v>
      </c>
      <c r="D19" s="626">
        <f>SUM(D20:D22)</f>
        <v>0</v>
      </c>
      <c r="E19" s="626">
        <f>SUM(E20:E22)</f>
        <v>0</v>
      </c>
      <c r="F19" s="626">
        <f>SUM(F20:F22)</f>
        <v>0</v>
      </c>
    </row>
    <row r="20" spans="1:6" ht="13.5" customHeight="1">
      <c r="A20" s="435" t="s">
        <v>585</v>
      </c>
      <c r="B20" s="7" t="s">
        <v>745</v>
      </c>
      <c r="C20" s="307">
        <f>'9.4.1.melléklet'!C20+'9.4.2.melléklet'!C20+'9.4.3.melléklet'!C20</f>
        <v>0</v>
      </c>
      <c r="D20" s="307">
        <f>'9.4.1.melléklet'!D20+'9.4.2.melléklet'!D20+'9.4.3.melléklet'!D20</f>
        <v>0</v>
      </c>
      <c r="E20" s="307">
        <f>'9.4.1.melléklet'!E20+'9.4.2.melléklet'!E20+'9.4.3.melléklet'!E20</f>
        <v>0</v>
      </c>
      <c r="F20" s="307">
        <f>'9.4.1.melléklet'!F20+'9.4.2.melléklet'!F20+'9.4.3.melléklet'!F20</f>
        <v>0</v>
      </c>
    </row>
    <row r="21" spans="1:6" ht="12.75" customHeight="1">
      <c r="A21" s="435" t="s">
        <v>586</v>
      </c>
      <c r="B21" s="6" t="s">
        <v>125</v>
      </c>
      <c r="C21" s="312"/>
      <c r="D21" s="312"/>
      <c r="E21" s="312"/>
      <c r="F21" s="312"/>
    </row>
    <row r="22" spans="1:6" ht="13.5" customHeight="1">
      <c r="A22" s="435" t="s">
        <v>587</v>
      </c>
      <c r="B22" s="6" t="s">
        <v>126</v>
      </c>
      <c r="C22" s="312"/>
      <c r="D22" s="312"/>
      <c r="E22" s="312"/>
      <c r="F22" s="312"/>
    </row>
    <row r="23" spans="1:6" ht="14.25" customHeight="1" thickBot="1">
      <c r="A23" s="435" t="s">
        <v>588</v>
      </c>
      <c r="B23" s="6" t="s">
        <v>480</v>
      </c>
      <c r="C23" s="312"/>
      <c r="D23" s="312"/>
      <c r="E23" s="312"/>
      <c r="F23" s="312"/>
    </row>
    <row r="24" spans="1:6" ht="13.5" customHeight="1" thickBot="1">
      <c r="A24" s="207" t="s">
        <v>498</v>
      </c>
      <c r="B24" s="122" t="s">
        <v>650</v>
      </c>
      <c r="C24" s="340"/>
      <c r="D24" s="340"/>
      <c r="E24" s="340"/>
      <c r="F24" s="340"/>
    </row>
    <row r="25" spans="1:6" ht="12" customHeight="1" thickBot="1">
      <c r="A25" s="207" t="s">
        <v>499</v>
      </c>
      <c r="B25" s="122" t="s">
        <v>127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</row>
    <row r="26" spans="1:6" ht="12" customHeight="1">
      <c r="A26" s="436" t="s">
        <v>755</v>
      </c>
      <c r="B26" s="437" t="s">
        <v>125</v>
      </c>
      <c r="C26" s="76"/>
      <c r="D26" s="76"/>
      <c r="E26" s="76"/>
      <c r="F26" s="76"/>
    </row>
    <row r="27" spans="1:6" ht="10.5" customHeight="1">
      <c r="A27" s="436" t="s">
        <v>758</v>
      </c>
      <c r="B27" s="438" t="s">
        <v>128</v>
      </c>
      <c r="C27" s="76"/>
      <c r="D27" s="76"/>
      <c r="E27" s="76"/>
      <c r="F27" s="76"/>
    </row>
    <row r="28" spans="1:6" ht="12.75" customHeight="1" thickBot="1">
      <c r="A28" s="435" t="s">
        <v>759</v>
      </c>
      <c r="B28" s="439" t="s">
        <v>129</v>
      </c>
      <c r="C28" s="76"/>
      <c r="D28" s="76"/>
      <c r="E28" s="76"/>
      <c r="F28" s="76"/>
    </row>
    <row r="29" spans="1:6" ht="13.5" customHeight="1" thickBot="1">
      <c r="A29" s="207" t="s">
        <v>500</v>
      </c>
      <c r="B29" s="122" t="s">
        <v>130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</row>
    <row r="30" spans="1:6" ht="11.25" customHeight="1">
      <c r="A30" s="436" t="s">
        <v>572</v>
      </c>
      <c r="B30" s="437" t="s">
        <v>784</v>
      </c>
      <c r="C30" s="76"/>
      <c r="D30" s="76"/>
      <c r="E30" s="76"/>
      <c r="F30" s="76"/>
    </row>
    <row r="31" spans="1:6" ht="13.5" customHeight="1">
      <c r="A31" s="436" t="s">
        <v>573</v>
      </c>
      <c r="B31" s="438" t="s">
        <v>785</v>
      </c>
      <c r="C31" s="76"/>
      <c r="D31" s="76"/>
      <c r="E31" s="76"/>
      <c r="F31" s="76"/>
    </row>
    <row r="32" spans="1:6" ht="12.75" customHeight="1" thickBot="1">
      <c r="A32" s="435" t="s">
        <v>574</v>
      </c>
      <c r="B32" s="138" t="s">
        <v>786</v>
      </c>
      <c r="C32" s="76"/>
      <c r="D32" s="76"/>
      <c r="E32" s="76"/>
      <c r="F32" s="76"/>
    </row>
    <row r="33" spans="1:6" ht="14.25" customHeight="1" thickBot="1">
      <c r="A33" s="207" t="s">
        <v>501</v>
      </c>
      <c r="B33" s="122" t="s">
        <v>75</v>
      </c>
      <c r="C33" s="340"/>
      <c r="D33" s="340"/>
      <c r="E33" s="340">
        <v>12600000</v>
      </c>
      <c r="F33" s="340">
        <v>22329585</v>
      </c>
    </row>
    <row r="34" spans="1:6" ht="12" customHeight="1" thickBot="1">
      <c r="A34" s="207" t="s">
        <v>502</v>
      </c>
      <c r="B34" s="122" t="s">
        <v>131</v>
      </c>
      <c r="C34" s="362"/>
      <c r="D34" s="362"/>
      <c r="E34" s="362"/>
      <c r="F34" s="362"/>
    </row>
    <row r="35" spans="1:6" ht="12" customHeight="1" thickBot="1">
      <c r="A35" s="199" t="s">
        <v>503</v>
      </c>
      <c r="B35" s="122" t="s">
        <v>132</v>
      </c>
      <c r="C35" s="363">
        <f>C8</f>
        <v>78051900</v>
      </c>
      <c r="D35" s="363">
        <f>D8</f>
        <v>78051900</v>
      </c>
      <c r="E35" s="363">
        <f>E8</f>
        <v>78051900</v>
      </c>
      <c r="F35" s="363">
        <v>78052767</v>
      </c>
    </row>
    <row r="36" spans="1:6" ht="12" customHeight="1" thickBot="1">
      <c r="A36" s="238" t="s">
        <v>504</v>
      </c>
      <c r="B36" s="122" t="s">
        <v>133</v>
      </c>
      <c r="C36" s="363">
        <f>C39</f>
        <v>84900682</v>
      </c>
      <c r="D36" s="363">
        <v>88373994</v>
      </c>
      <c r="E36" s="363">
        <f>E37+E39</f>
        <v>91067983</v>
      </c>
      <c r="F36" s="363">
        <f>F37+F39</f>
        <v>93704157</v>
      </c>
    </row>
    <row r="37" spans="1:6" ht="12" customHeight="1">
      <c r="A37" s="436" t="s">
        <v>134</v>
      </c>
      <c r="B37" s="437" t="s">
        <v>717</v>
      </c>
      <c r="C37" s="306">
        <f>'9.4.1.melléklet'!C37+'9.4.2.melléklet'!C37+'9.4.3.melléklet'!C37</f>
        <v>0</v>
      </c>
      <c r="D37" s="306">
        <v>74310</v>
      </c>
      <c r="E37" s="306">
        <v>74310</v>
      </c>
      <c r="F37" s="306">
        <v>74310</v>
      </c>
    </row>
    <row r="38" spans="1:6" ht="12" customHeight="1">
      <c r="A38" s="436" t="s">
        <v>135</v>
      </c>
      <c r="B38" s="438" t="s">
        <v>481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  <c r="E38" s="306">
        <f>'9.4.1.melléklet'!E38+'9.4.2.melléklet'!E38+'9.4.3.melléklet'!E38</f>
        <v>0</v>
      </c>
      <c r="F38" s="306">
        <f>'9.4.1.melléklet'!F38+'9.4.2.melléklet'!F38+'9.4.3.melléklet'!F38</f>
        <v>0</v>
      </c>
    </row>
    <row r="39" spans="1:6" ht="13.5" customHeight="1" thickBot="1">
      <c r="A39" s="435" t="s">
        <v>136</v>
      </c>
      <c r="B39" s="138" t="s">
        <v>137</v>
      </c>
      <c r="C39" s="306">
        <v>84900682</v>
      </c>
      <c r="D39" s="306">
        <v>88299684</v>
      </c>
      <c r="E39" s="306">
        <v>90993673</v>
      </c>
      <c r="F39" s="306">
        <v>93629847</v>
      </c>
    </row>
    <row r="40" spans="1:6" ht="12.75" customHeight="1" thickBot="1">
      <c r="A40" s="238" t="s">
        <v>505</v>
      </c>
      <c r="B40" s="239" t="s">
        <v>138</v>
      </c>
      <c r="C40" s="366">
        <f>+C35+C36</f>
        <v>162952582</v>
      </c>
      <c r="D40" s="366">
        <f>+D35+D36</f>
        <v>166425894</v>
      </c>
      <c r="E40" s="366">
        <f>++E33+E35+E36</f>
        <v>181719883</v>
      </c>
      <c r="F40" s="366">
        <f>++F33+F35+F36</f>
        <v>194086509</v>
      </c>
    </row>
    <row r="41" spans="1:6" ht="13.5" thickBot="1">
      <c r="A41" s="240"/>
      <c r="B41" s="241"/>
      <c r="C41" s="364"/>
      <c r="D41" s="364"/>
      <c r="E41" s="364"/>
      <c r="F41" s="364"/>
    </row>
    <row r="42" spans="1:6" ht="13.5" thickBot="1">
      <c r="A42" s="244"/>
      <c r="B42" s="245" t="s">
        <v>535</v>
      </c>
      <c r="C42" s="366"/>
      <c r="D42" s="366"/>
      <c r="E42" s="366"/>
      <c r="F42" s="366"/>
    </row>
    <row r="43" spans="1:6" ht="14.25" customHeight="1" thickBot="1">
      <c r="A43" s="207" t="s">
        <v>496</v>
      </c>
      <c r="B43" s="122" t="s">
        <v>139</v>
      </c>
      <c r="C43" s="314">
        <f>C44+C45+C46</f>
        <v>162952582</v>
      </c>
      <c r="D43" s="314">
        <f>D44+D45+D46</f>
        <v>166425894</v>
      </c>
      <c r="E43" s="314">
        <f>E44+E45+E46</f>
        <v>168798979</v>
      </c>
      <c r="F43" s="314">
        <f>F44+F45+F46</f>
        <v>171436020</v>
      </c>
    </row>
    <row r="44" spans="1:6" ht="12.75" customHeight="1">
      <c r="A44" s="435" t="s">
        <v>579</v>
      </c>
      <c r="B44" s="7" t="s">
        <v>526</v>
      </c>
      <c r="C44" s="306">
        <v>84547300</v>
      </c>
      <c r="D44" s="306">
        <v>87398424</v>
      </c>
      <c r="E44" s="306">
        <v>89606612</v>
      </c>
      <c r="F44" s="306">
        <v>91767411</v>
      </c>
    </row>
    <row r="45" spans="1:6" ht="11.25" customHeight="1">
      <c r="A45" s="435" t="s">
        <v>580</v>
      </c>
      <c r="B45" s="6" t="s">
        <v>659</v>
      </c>
      <c r="C45" s="306">
        <v>21572282</v>
      </c>
      <c r="D45" s="306">
        <v>22194470</v>
      </c>
      <c r="E45" s="306">
        <v>22680271</v>
      </c>
      <c r="F45" s="306">
        <v>23155646</v>
      </c>
    </row>
    <row r="46" spans="1:6" ht="13.5" customHeight="1">
      <c r="A46" s="435" t="s">
        <v>581</v>
      </c>
      <c r="B46" s="6" t="s">
        <v>616</v>
      </c>
      <c r="C46" s="306">
        <v>56833000</v>
      </c>
      <c r="D46" s="306">
        <v>56833000</v>
      </c>
      <c r="E46" s="306">
        <v>56512096</v>
      </c>
      <c r="F46" s="306">
        <v>56512963</v>
      </c>
    </row>
    <row r="47" spans="1:6" ht="12.75" customHeight="1">
      <c r="A47" s="435" t="s">
        <v>582</v>
      </c>
      <c r="B47" s="6" t="s">
        <v>660</v>
      </c>
      <c r="C47" s="306">
        <f>'9.4.1.melléklet'!C47+'9.4.2.melléklet'!C47+'9.4.3.melléklet'!C47</f>
        <v>0</v>
      </c>
      <c r="D47" s="306">
        <f>'9.4.1.melléklet'!D47+'9.4.2.melléklet'!D47+'9.4.3.melléklet'!D47</f>
        <v>0</v>
      </c>
      <c r="E47" s="306">
        <f>'9.4.1.melléklet'!E47+'9.4.2.melléklet'!E47+'9.4.3.melléklet'!E47</f>
        <v>0</v>
      </c>
      <c r="F47" s="306">
        <f>'9.4.1.melléklet'!F47+'9.4.2.melléklet'!F47+'9.4.3.melléklet'!F47</f>
        <v>0</v>
      </c>
    </row>
    <row r="48" spans="1:6" ht="12.75" customHeight="1" thickBot="1">
      <c r="A48" s="435" t="s">
        <v>624</v>
      </c>
      <c r="B48" s="6" t="s">
        <v>661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  <c r="E48" s="306">
        <f>'9.4.1.melléklet'!E48+'9.4.2.melléklet'!E48+'9.4.3.melléklet'!E48</f>
        <v>0</v>
      </c>
      <c r="F48" s="306">
        <f>'9.4.1.melléklet'!F48+'9.4.2.melléklet'!F48+'9.4.3.melléklet'!F48</f>
        <v>0</v>
      </c>
    </row>
    <row r="49" spans="1:6" ht="12.75" customHeight="1" thickBot="1">
      <c r="A49" s="207" t="s">
        <v>497</v>
      </c>
      <c r="B49" s="122" t="s">
        <v>140</v>
      </c>
      <c r="C49" s="314">
        <f>SUM(C50:C52)</f>
        <v>0</v>
      </c>
      <c r="D49" s="314">
        <f>SUM(D50:D52)</f>
        <v>0</v>
      </c>
      <c r="E49" s="314">
        <f>SUM(E50:E52)</f>
        <v>12920904</v>
      </c>
      <c r="F49" s="314">
        <f>SUM(F50:F52)</f>
        <v>22650489</v>
      </c>
    </row>
    <row r="50" spans="1:6" ht="14.25" customHeight="1">
      <c r="A50" s="435" t="s">
        <v>585</v>
      </c>
      <c r="B50" s="7" t="s">
        <v>708</v>
      </c>
      <c r="C50" s="76"/>
      <c r="D50" s="76"/>
      <c r="E50" s="76">
        <v>12920904</v>
      </c>
      <c r="F50" s="76">
        <v>22650489</v>
      </c>
    </row>
    <row r="51" spans="1:6" ht="15" customHeight="1">
      <c r="A51" s="435" t="s">
        <v>586</v>
      </c>
      <c r="B51" s="6" t="s">
        <v>663</v>
      </c>
      <c r="C51" s="79"/>
      <c r="D51" s="79"/>
      <c r="E51" s="79"/>
      <c r="F51" s="79"/>
    </row>
    <row r="52" spans="1:6" ht="13.5" customHeight="1">
      <c r="A52" s="435" t="s">
        <v>587</v>
      </c>
      <c r="B52" s="6" t="s">
        <v>536</v>
      </c>
      <c r="C52" s="79"/>
      <c r="D52" s="79"/>
      <c r="E52" s="79"/>
      <c r="F52" s="79"/>
    </row>
    <row r="53" spans="1:6" ht="12.75" customHeight="1" thickBot="1">
      <c r="A53" s="435" t="s">
        <v>588</v>
      </c>
      <c r="B53" s="6" t="s">
        <v>482</v>
      </c>
      <c r="C53" s="79"/>
      <c r="D53" s="79"/>
      <c r="E53" s="79"/>
      <c r="F53" s="79"/>
    </row>
    <row r="54" spans="1:6" ht="13.5" customHeight="1" thickBot="1">
      <c r="A54" s="207" t="s">
        <v>498</v>
      </c>
      <c r="B54" s="246" t="s">
        <v>141</v>
      </c>
      <c r="C54" s="367">
        <f>+C43+C49</f>
        <v>162952582</v>
      </c>
      <c r="D54" s="367">
        <f>+D43+D49</f>
        <v>166425894</v>
      </c>
      <c r="E54" s="367">
        <f>+E43+E49</f>
        <v>181719883</v>
      </c>
      <c r="F54" s="367">
        <f>+F43+F49</f>
        <v>194086509</v>
      </c>
    </row>
    <row r="55" spans="1:6" ht="13.5" thickBot="1">
      <c r="A55" s="247"/>
      <c r="B55" s="248"/>
      <c r="C55" s="368"/>
      <c r="D55" s="368"/>
      <c r="E55" s="368"/>
      <c r="F55" s="368"/>
    </row>
    <row r="56" spans="1:6" ht="13.5" thickBot="1">
      <c r="A56" s="249" t="s">
        <v>682</v>
      </c>
      <c r="B56" s="250"/>
      <c r="C56" s="119">
        <v>31</v>
      </c>
      <c r="D56" s="119">
        <v>31</v>
      </c>
      <c r="E56" s="119">
        <v>31</v>
      </c>
      <c r="F56" s="119">
        <v>31</v>
      </c>
    </row>
    <row r="57" spans="1:6" ht="13.5" thickBot="1">
      <c r="A57" s="249" t="s">
        <v>683</v>
      </c>
      <c r="B57" s="250"/>
      <c r="C57" s="119">
        <v>0</v>
      </c>
      <c r="D57" s="119">
        <v>0</v>
      </c>
      <c r="E57" s="119">
        <v>0</v>
      </c>
      <c r="F57" s="119">
        <v>0</v>
      </c>
    </row>
    <row r="58" spans="1:6" ht="12.75">
      <c r="A58" s="247"/>
      <c r="B58" s="1042"/>
      <c r="C58" s="1042"/>
      <c r="D58" s="248"/>
      <c r="E58" s="248"/>
      <c r="F58" s="248"/>
    </row>
    <row r="59" spans="2:3" ht="12.75">
      <c r="B59" s="1172" t="s">
        <v>903</v>
      </c>
      <c r="C59" s="1173"/>
    </row>
  </sheetData>
  <sheetProtection/>
  <mergeCells count="1">
    <mergeCell ref="B59:C59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F59"/>
  <sheetViews>
    <sheetView view="pageBreakPreview" zoomScale="60" zoomScalePageLayoutView="0" workbookViewId="0" topLeftCell="A1">
      <selection activeCell="A59" sqref="A59:B59"/>
    </sheetView>
  </sheetViews>
  <sheetFormatPr defaultColWidth="9.00390625" defaultRowHeight="12.75"/>
  <cols>
    <col min="1" max="1" width="18.875" style="0" customWidth="1"/>
    <col min="2" max="2" width="64.125" style="0" customWidth="1"/>
    <col min="3" max="6" width="22.375" style="0" customWidth="1"/>
  </cols>
  <sheetData>
    <row r="1" spans="1:6" ht="16.5" thickBot="1">
      <c r="A1" s="226"/>
      <c r="B1" s="228"/>
      <c r="C1" s="440"/>
      <c r="D1" s="440"/>
      <c r="E1" s="440"/>
      <c r="F1" s="440" t="s">
        <v>888</v>
      </c>
    </row>
    <row r="2" spans="1:6" ht="24">
      <c r="A2" s="392" t="s">
        <v>680</v>
      </c>
      <c r="B2" s="354" t="s">
        <v>165</v>
      </c>
      <c r="C2" s="369"/>
      <c r="D2" s="369"/>
      <c r="E2" s="369"/>
      <c r="F2" s="369" t="s">
        <v>158</v>
      </c>
    </row>
    <row r="3" spans="1:6" ht="24.75" thickBot="1">
      <c r="A3" s="433" t="s">
        <v>679</v>
      </c>
      <c r="B3" s="355" t="s">
        <v>143</v>
      </c>
      <c r="C3" s="370"/>
      <c r="D3" s="370"/>
      <c r="E3" s="370"/>
      <c r="F3" s="370" t="s">
        <v>539</v>
      </c>
    </row>
    <row r="4" spans="1:6" ht="14.25" thickBot="1">
      <c r="A4" s="230"/>
      <c r="B4" s="230"/>
      <c r="C4" s="231"/>
      <c r="D4" s="231"/>
      <c r="E4" s="231"/>
      <c r="F4" s="231"/>
    </row>
    <row r="5" spans="1:6" ht="13.5" thickBot="1">
      <c r="A5" s="393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  <c r="F5" s="233" t="s">
        <v>532</v>
      </c>
    </row>
    <row r="6" spans="1:6" ht="13.5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  <c r="F6" s="201">
        <v>6</v>
      </c>
    </row>
    <row r="7" spans="1:6" ht="13.5" thickBot="1">
      <c r="A7" s="234"/>
      <c r="B7" s="235" t="s">
        <v>533</v>
      </c>
      <c r="C7" s="236"/>
      <c r="D7" s="236"/>
      <c r="E7" s="236"/>
      <c r="F7" s="236"/>
    </row>
    <row r="8" spans="1:6" ht="13.5" thickBot="1">
      <c r="A8" s="199" t="s">
        <v>496</v>
      </c>
      <c r="B8" s="237" t="s">
        <v>121</v>
      </c>
      <c r="C8" s="626">
        <f>C13+C18</f>
        <v>78051900</v>
      </c>
      <c r="D8" s="626">
        <f>D13+D18</f>
        <v>78051900</v>
      </c>
      <c r="E8" s="626">
        <f>E13+E18</f>
        <v>78051900</v>
      </c>
      <c r="F8" s="626">
        <f>F13+F18</f>
        <v>78051900</v>
      </c>
    </row>
    <row r="9" spans="1:6" ht="12.75">
      <c r="A9" s="434" t="s">
        <v>579</v>
      </c>
      <c r="B9" s="8" t="s">
        <v>770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  <c r="E9" s="306">
        <f>'9.4.1.melléklet'!E9+'9.4.2.melléklet'!E9+'9.4.3.melléklet'!E9</f>
        <v>0</v>
      </c>
      <c r="F9" s="306">
        <f>'9.4.1.melléklet'!F9+'9.4.2.melléklet'!F9+'9.4.3.melléklet'!F9</f>
        <v>0</v>
      </c>
    </row>
    <row r="10" spans="1:6" ht="12.75">
      <c r="A10" s="435" t="s">
        <v>580</v>
      </c>
      <c r="B10" s="6" t="s">
        <v>771</v>
      </c>
      <c r="C10" s="307">
        <f>'9.4.1.melléklet'!C10+'9.4.2.melléklet'!C10+'9.4.3.melléklet'!C10</f>
        <v>0</v>
      </c>
      <c r="D10" s="307">
        <f>'9.4.1.melléklet'!D10+'9.4.2.melléklet'!D10+'9.4.3.melléklet'!D10</f>
        <v>0</v>
      </c>
      <c r="E10" s="307">
        <f>'9.4.1.melléklet'!E10+'9.4.2.melléklet'!E10+'9.4.3.melléklet'!E10</f>
        <v>0</v>
      </c>
      <c r="F10" s="307">
        <f>'9.4.1.melléklet'!F10+'9.4.2.melléklet'!F10+'9.4.3.melléklet'!F10</f>
        <v>0</v>
      </c>
    </row>
    <row r="11" spans="1:6" ht="12.75">
      <c r="A11" s="435" t="s">
        <v>581</v>
      </c>
      <c r="B11" s="6" t="s">
        <v>772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  <c r="E11" s="307">
        <f>'9.4.1.melléklet'!E11+'9.4.2.melléklet'!E11+'9.4.3.melléklet'!E11</f>
        <v>0</v>
      </c>
      <c r="F11" s="307">
        <f>'9.4.1.melléklet'!F11+'9.4.2.melléklet'!F11+'9.4.3.melléklet'!F11</f>
        <v>0</v>
      </c>
    </row>
    <row r="12" spans="1:6" ht="12.75">
      <c r="A12" s="435" t="s">
        <v>582</v>
      </c>
      <c r="B12" s="6" t="s">
        <v>773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  <c r="E12" s="307">
        <f>'9.4.1.melléklet'!E12+'9.4.2.melléklet'!E12+'9.4.3.melléklet'!E12</f>
        <v>0</v>
      </c>
      <c r="F12" s="307">
        <f>'9.4.1.melléklet'!F12+'9.4.2.melléklet'!F12+'9.4.3.melléklet'!F12</f>
        <v>0</v>
      </c>
    </row>
    <row r="13" spans="1:6" ht="12.75">
      <c r="A13" s="435" t="s">
        <v>624</v>
      </c>
      <c r="B13" s="6" t="s">
        <v>774</v>
      </c>
      <c r="C13" s="307">
        <v>73051900</v>
      </c>
      <c r="D13" s="307">
        <v>73051900</v>
      </c>
      <c r="E13" s="307">
        <v>73051900</v>
      </c>
      <c r="F13" s="307">
        <v>73051900</v>
      </c>
    </row>
    <row r="14" spans="1:6" ht="12.75">
      <c r="A14" s="435" t="s">
        <v>583</v>
      </c>
      <c r="B14" s="6" t="s">
        <v>122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  <c r="E14" s="307">
        <f>'9.4.1.melléklet'!E14+'9.4.2.melléklet'!E14+'9.4.3.melléklet'!E14</f>
        <v>0</v>
      </c>
      <c r="F14" s="307">
        <f>'9.4.1.melléklet'!F14+'9.4.2.melléklet'!F14+'9.4.3.melléklet'!F14</f>
        <v>0</v>
      </c>
    </row>
    <row r="15" spans="1:6" ht="12.75">
      <c r="A15" s="435" t="s">
        <v>584</v>
      </c>
      <c r="B15" s="5" t="s">
        <v>123</v>
      </c>
      <c r="C15" s="307">
        <f>'9.4.1.melléklet'!C15+'9.4.2.melléklet'!C15+'9.4.3.melléklet'!C15</f>
        <v>0</v>
      </c>
      <c r="D15" s="307">
        <f>'9.4.1.melléklet'!D15+'9.4.2.melléklet'!D15+'9.4.3.melléklet'!D15</f>
        <v>0</v>
      </c>
      <c r="E15" s="307">
        <f>'9.4.1.melléklet'!E15+'9.4.2.melléklet'!E15+'9.4.3.melléklet'!E15</f>
        <v>0</v>
      </c>
      <c r="F15" s="307">
        <f>'9.4.1.melléklet'!F15+'9.4.2.melléklet'!F15+'9.4.3.melléklet'!F15</f>
        <v>0</v>
      </c>
    </row>
    <row r="16" spans="1:6" ht="12.75">
      <c r="A16" s="435" t="s">
        <v>594</v>
      </c>
      <c r="B16" s="6" t="s">
        <v>777</v>
      </c>
      <c r="C16" s="307">
        <f>'9.4.1.melléklet'!C16+'9.4.2.melléklet'!C16+'9.4.3.melléklet'!C16</f>
        <v>0</v>
      </c>
      <c r="D16" s="307">
        <f>'9.4.1.melléklet'!D16+'9.4.2.melléklet'!D16+'9.4.3.melléklet'!D16</f>
        <v>0</v>
      </c>
      <c r="E16" s="307">
        <f>'9.4.1.melléklet'!E16+'9.4.2.melléklet'!E16+'9.4.3.melléklet'!E16</f>
        <v>0</v>
      </c>
      <c r="F16" s="307">
        <v>867</v>
      </c>
    </row>
    <row r="17" spans="1:6" ht="12.75">
      <c r="A17" s="435" t="s">
        <v>595</v>
      </c>
      <c r="B17" s="6" t="s">
        <v>778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  <c r="E17" s="307">
        <f>'9.4.1.melléklet'!E17+'9.4.2.melléklet'!E17+'9.4.3.melléklet'!E17</f>
        <v>0</v>
      </c>
      <c r="F17" s="307">
        <f>'9.4.1.melléklet'!F17+'9.4.2.melléklet'!F17+'9.4.3.melléklet'!F17</f>
        <v>0</v>
      </c>
    </row>
    <row r="18" spans="1:6" ht="13.5" thickBot="1">
      <c r="A18" s="435" t="s">
        <v>596</v>
      </c>
      <c r="B18" s="5" t="s">
        <v>779</v>
      </c>
      <c r="C18" s="309">
        <v>5000000</v>
      </c>
      <c r="D18" s="309">
        <v>5000000</v>
      </c>
      <c r="E18" s="309">
        <v>5000000</v>
      </c>
      <c r="F18" s="309">
        <v>5000000</v>
      </c>
    </row>
    <row r="19" spans="1:6" ht="13.5" thickBot="1">
      <c r="A19" s="199" t="s">
        <v>497</v>
      </c>
      <c r="B19" s="237" t="s">
        <v>124</v>
      </c>
      <c r="C19" s="626">
        <f>SUM(C20:C22)</f>
        <v>0</v>
      </c>
      <c r="D19" s="626">
        <f>SUM(D20:D22)</f>
        <v>0</v>
      </c>
      <c r="E19" s="626">
        <f>SUM(E20:E22)</f>
        <v>0</v>
      </c>
      <c r="F19" s="626">
        <f>SUM(F20:F22)</f>
        <v>0</v>
      </c>
    </row>
    <row r="20" spans="1:6" ht="12.75">
      <c r="A20" s="435" t="s">
        <v>585</v>
      </c>
      <c r="B20" s="7" t="s">
        <v>745</v>
      </c>
      <c r="C20" s="307">
        <f>'9.4.1.melléklet'!C20+'9.4.2.melléklet'!C20+'9.4.3.melléklet'!C20</f>
        <v>0</v>
      </c>
      <c r="D20" s="307">
        <f>'9.4.1.melléklet'!D20+'9.4.2.melléklet'!D20+'9.4.3.melléklet'!D20</f>
        <v>0</v>
      </c>
      <c r="E20" s="307">
        <f>'9.4.1.melléklet'!E20+'9.4.2.melléklet'!E20+'9.4.3.melléklet'!E20</f>
        <v>0</v>
      </c>
      <c r="F20" s="307">
        <f>'9.4.1.melléklet'!F20+'9.4.2.melléklet'!F20+'9.4.3.melléklet'!F20</f>
        <v>0</v>
      </c>
    </row>
    <row r="21" spans="1:6" ht="12.75">
      <c r="A21" s="435" t="s">
        <v>586</v>
      </c>
      <c r="B21" s="6" t="s">
        <v>125</v>
      </c>
      <c r="C21" s="312"/>
      <c r="D21" s="312"/>
      <c r="E21" s="312"/>
      <c r="F21" s="312"/>
    </row>
    <row r="22" spans="1:6" ht="12.75">
      <c r="A22" s="435" t="s">
        <v>587</v>
      </c>
      <c r="B22" s="6" t="s">
        <v>126</v>
      </c>
      <c r="C22" s="312"/>
      <c r="D22" s="312"/>
      <c r="E22" s="312"/>
      <c r="F22" s="312"/>
    </row>
    <row r="23" spans="1:6" ht="13.5" thickBot="1">
      <c r="A23" s="435" t="s">
        <v>588</v>
      </c>
      <c r="B23" s="6" t="s">
        <v>480</v>
      </c>
      <c r="C23" s="312"/>
      <c r="D23" s="312"/>
      <c r="E23" s="312"/>
      <c r="F23" s="312"/>
    </row>
    <row r="24" spans="1:6" ht="13.5" thickBot="1">
      <c r="A24" s="207" t="s">
        <v>498</v>
      </c>
      <c r="B24" s="122" t="s">
        <v>650</v>
      </c>
      <c r="C24" s="340"/>
      <c r="D24" s="340"/>
      <c r="E24" s="340"/>
      <c r="F24" s="340"/>
    </row>
    <row r="25" spans="1:6" ht="13.5" thickBot="1">
      <c r="A25" s="207" t="s">
        <v>499</v>
      </c>
      <c r="B25" s="122" t="s">
        <v>127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</row>
    <row r="26" spans="1:6" ht="12.75">
      <c r="A26" s="436" t="s">
        <v>755</v>
      </c>
      <c r="B26" s="437" t="s">
        <v>125</v>
      </c>
      <c r="C26" s="76"/>
      <c r="D26" s="76"/>
      <c r="E26" s="76"/>
      <c r="F26" s="76"/>
    </row>
    <row r="27" spans="1:6" ht="12.75">
      <c r="A27" s="436" t="s">
        <v>758</v>
      </c>
      <c r="B27" s="438" t="s">
        <v>128</v>
      </c>
      <c r="C27" s="76"/>
      <c r="D27" s="76"/>
      <c r="E27" s="76"/>
      <c r="F27" s="76"/>
    </row>
    <row r="28" spans="1:6" ht="13.5" thickBot="1">
      <c r="A28" s="435" t="s">
        <v>759</v>
      </c>
      <c r="B28" s="439" t="s">
        <v>129</v>
      </c>
      <c r="C28" s="76"/>
      <c r="D28" s="76"/>
      <c r="E28" s="76"/>
      <c r="F28" s="76"/>
    </row>
    <row r="29" spans="1:6" ht="13.5" thickBot="1">
      <c r="A29" s="207" t="s">
        <v>500</v>
      </c>
      <c r="B29" s="122" t="s">
        <v>130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</row>
    <row r="30" spans="1:6" ht="12.75">
      <c r="A30" s="436" t="s">
        <v>572</v>
      </c>
      <c r="B30" s="437" t="s">
        <v>784</v>
      </c>
      <c r="C30" s="76"/>
      <c r="D30" s="76"/>
      <c r="E30" s="76"/>
      <c r="F30" s="76"/>
    </row>
    <row r="31" spans="1:6" ht="12.75">
      <c r="A31" s="436" t="s">
        <v>573</v>
      </c>
      <c r="B31" s="438" t="s">
        <v>785</v>
      </c>
      <c r="C31" s="76"/>
      <c r="D31" s="76"/>
      <c r="E31" s="76"/>
      <c r="F31" s="76"/>
    </row>
    <row r="32" spans="1:6" ht="13.5" thickBot="1">
      <c r="A32" s="435" t="s">
        <v>574</v>
      </c>
      <c r="B32" s="138" t="s">
        <v>786</v>
      </c>
      <c r="C32" s="76"/>
      <c r="D32" s="76"/>
      <c r="E32" s="76"/>
      <c r="F32" s="76"/>
    </row>
    <row r="33" spans="1:6" ht="13.5" thickBot="1">
      <c r="A33" s="207" t="s">
        <v>501</v>
      </c>
      <c r="B33" s="122" t="s">
        <v>75</v>
      </c>
      <c r="C33" s="340"/>
      <c r="D33" s="340"/>
      <c r="E33" s="340">
        <v>12600000</v>
      </c>
      <c r="F33" s="340">
        <v>22329585</v>
      </c>
    </row>
    <row r="34" spans="1:6" ht="13.5" thickBot="1">
      <c r="A34" s="207" t="s">
        <v>502</v>
      </c>
      <c r="B34" s="122" t="s">
        <v>131</v>
      </c>
      <c r="C34" s="362"/>
      <c r="D34" s="362"/>
      <c r="E34" s="362"/>
      <c r="F34" s="362"/>
    </row>
    <row r="35" spans="1:6" ht="13.5" thickBot="1">
      <c r="A35" s="199" t="s">
        <v>503</v>
      </c>
      <c r="B35" s="122" t="s">
        <v>132</v>
      </c>
      <c r="C35" s="363">
        <f>C8</f>
        <v>78051900</v>
      </c>
      <c r="D35" s="363">
        <f>D8</f>
        <v>78051900</v>
      </c>
      <c r="E35" s="363">
        <f>E8</f>
        <v>78051900</v>
      </c>
      <c r="F35" s="363">
        <v>78052767</v>
      </c>
    </row>
    <row r="36" spans="1:6" ht="13.5" thickBot="1">
      <c r="A36" s="238" t="s">
        <v>504</v>
      </c>
      <c r="B36" s="122" t="s">
        <v>133</v>
      </c>
      <c r="C36" s="363">
        <f>C39</f>
        <v>84900682</v>
      </c>
      <c r="D36" s="363">
        <v>88373994</v>
      </c>
      <c r="E36" s="363">
        <f>E37+E39</f>
        <v>91067983</v>
      </c>
      <c r="F36" s="363">
        <f>F37+F39</f>
        <v>93704157</v>
      </c>
    </row>
    <row r="37" spans="1:6" ht="12.75">
      <c r="A37" s="436" t="s">
        <v>134</v>
      </c>
      <c r="B37" s="437" t="s">
        <v>717</v>
      </c>
      <c r="C37" s="306">
        <f>'9.4.1.melléklet'!C37+'9.4.2.melléklet'!C37+'9.4.3.melléklet'!C37</f>
        <v>0</v>
      </c>
      <c r="D37" s="306">
        <v>74310</v>
      </c>
      <c r="E37" s="306">
        <v>74310</v>
      </c>
      <c r="F37" s="306">
        <v>74310</v>
      </c>
    </row>
    <row r="38" spans="1:6" ht="12.75">
      <c r="A38" s="436" t="s">
        <v>135</v>
      </c>
      <c r="B38" s="438" t="s">
        <v>481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  <c r="E38" s="306">
        <f>'9.4.1.melléklet'!E38+'9.4.2.melléklet'!E38+'9.4.3.melléklet'!E38</f>
        <v>0</v>
      </c>
      <c r="F38" s="306">
        <f>'9.4.1.melléklet'!F38+'9.4.2.melléklet'!F38+'9.4.3.melléklet'!F38</f>
        <v>0</v>
      </c>
    </row>
    <row r="39" spans="1:6" ht="13.5" thickBot="1">
      <c r="A39" s="435" t="s">
        <v>136</v>
      </c>
      <c r="B39" s="138" t="s">
        <v>137</v>
      </c>
      <c r="C39" s="306">
        <v>84900682</v>
      </c>
      <c r="D39" s="306">
        <v>88299684</v>
      </c>
      <c r="E39" s="306">
        <v>90993673</v>
      </c>
      <c r="F39" s="306">
        <v>93629847</v>
      </c>
    </row>
    <row r="40" spans="1:6" ht="13.5" thickBot="1">
      <c r="A40" s="238" t="s">
        <v>505</v>
      </c>
      <c r="B40" s="239" t="s">
        <v>138</v>
      </c>
      <c r="C40" s="366">
        <f>+C35+C36</f>
        <v>162952582</v>
      </c>
      <c r="D40" s="366">
        <f>+D35+D36</f>
        <v>166425894</v>
      </c>
      <c r="E40" s="366">
        <f>++E33+E35+E36</f>
        <v>181719883</v>
      </c>
      <c r="F40" s="366">
        <f>++F33+F35+F36</f>
        <v>194086509</v>
      </c>
    </row>
    <row r="41" spans="1:6" ht="13.5" thickBot="1">
      <c r="A41" s="240"/>
      <c r="B41" s="241"/>
      <c r="C41" s="364"/>
      <c r="D41" s="364"/>
      <c r="E41" s="364"/>
      <c r="F41" s="364"/>
    </row>
    <row r="42" spans="1:6" ht="13.5" thickBot="1">
      <c r="A42" s="244"/>
      <c r="B42" s="245" t="s">
        <v>535</v>
      </c>
      <c r="C42" s="366"/>
      <c r="D42" s="366"/>
      <c r="E42" s="366"/>
      <c r="F42" s="366"/>
    </row>
    <row r="43" spans="1:6" ht="13.5" thickBot="1">
      <c r="A43" s="207" t="s">
        <v>496</v>
      </c>
      <c r="B43" s="122" t="s">
        <v>139</v>
      </c>
      <c r="C43" s="314">
        <f>C44+C45+C46</f>
        <v>162952582</v>
      </c>
      <c r="D43" s="314">
        <f>D44+D45+D46</f>
        <v>166425894</v>
      </c>
      <c r="E43" s="314">
        <f>E44+E45+E46</f>
        <v>168798979</v>
      </c>
      <c r="F43" s="314">
        <f>F44+F45+F46</f>
        <v>171436020</v>
      </c>
    </row>
    <row r="44" spans="1:6" ht="12.75">
      <c r="A44" s="435" t="s">
        <v>579</v>
      </c>
      <c r="B44" s="7" t="s">
        <v>526</v>
      </c>
      <c r="C44" s="306">
        <v>84547300</v>
      </c>
      <c r="D44" s="306">
        <v>87398424</v>
      </c>
      <c r="E44" s="306">
        <v>89606612</v>
      </c>
      <c r="F44" s="306">
        <v>91767411</v>
      </c>
    </row>
    <row r="45" spans="1:6" ht="12.75">
      <c r="A45" s="435" t="s">
        <v>580</v>
      </c>
      <c r="B45" s="6" t="s">
        <v>659</v>
      </c>
      <c r="C45" s="306">
        <v>21572282</v>
      </c>
      <c r="D45" s="306">
        <v>22194470</v>
      </c>
      <c r="E45" s="306">
        <v>22680271</v>
      </c>
      <c r="F45" s="306">
        <v>23155646</v>
      </c>
    </row>
    <row r="46" spans="1:6" ht="12.75">
      <c r="A46" s="435" t="s">
        <v>581</v>
      </c>
      <c r="B46" s="6" t="s">
        <v>616</v>
      </c>
      <c r="C46" s="306">
        <v>56833000</v>
      </c>
      <c r="D46" s="306">
        <v>56833000</v>
      </c>
      <c r="E46" s="306">
        <v>56512096</v>
      </c>
      <c r="F46" s="306">
        <v>56512963</v>
      </c>
    </row>
    <row r="47" spans="1:6" ht="12.75">
      <c r="A47" s="435" t="s">
        <v>582</v>
      </c>
      <c r="B47" s="6" t="s">
        <v>660</v>
      </c>
      <c r="C47" s="306">
        <f>'9.4.1.melléklet'!C47+'9.4.2.melléklet'!C47+'9.4.3.melléklet'!C47</f>
        <v>0</v>
      </c>
      <c r="D47" s="306">
        <f>'9.4.1.melléklet'!D47+'9.4.2.melléklet'!D47+'9.4.3.melléklet'!D47</f>
        <v>0</v>
      </c>
      <c r="E47" s="306">
        <f>'9.4.1.melléklet'!E47+'9.4.2.melléklet'!E47+'9.4.3.melléklet'!E47</f>
        <v>0</v>
      </c>
      <c r="F47" s="306">
        <f>'9.4.1.melléklet'!F47+'9.4.2.melléklet'!F47+'9.4.3.melléklet'!F47</f>
        <v>0</v>
      </c>
    </row>
    <row r="48" spans="1:6" ht="13.5" thickBot="1">
      <c r="A48" s="435" t="s">
        <v>624</v>
      </c>
      <c r="B48" s="6" t="s">
        <v>661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  <c r="E48" s="306">
        <f>'9.4.1.melléklet'!E48+'9.4.2.melléklet'!E48+'9.4.3.melléklet'!E48</f>
        <v>0</v>
      </c>
      <c r="F48" s="306">
        <f>'9.4.1.melléklet'!F48+'9.4.2.melléklet'!F48+'9.4.3.melléklet'!F48</f>
        <v>0</v>
      </c>
    </row>
    <row r="49" spans="1:6" ht="13.5" thickBot="1">
      <c r="A49" s="207" t="s">
        <v>497</v>
      </c>
      <c r="B49" s="122" t="s">
        <v>140</v>
      </c>
      <c r="C49" s="314">
        <f>SUM(C50:C52)</f>
        <v>0</v>
      </c>
      <c r="D49" s="314">
        <f>SUM(D50:D52)</f>
        <v>0</v>
      </c>
      <c r="E49" s="314">
        <f>SUM(E50:E52)</f>
        <v>12920904</v>
      </c>
      <c r="F49" s="314">
        <f>SUM(F50:F52)</f>
        <v>22650489</v>
      </c>
    </row>
    <row r="50" spans="1:6" ht="12.75">
      <c r="A50" s="435" t="s">
        <v>585</v>
      </c>
      <c r="B50" s="7" t="s">
        <v>708</v>
      </c>
      <c r="C50" s="76"/>
      <c r="D50" s="76"/>
      <c r="E50" s="76">
        <v>12920904</v>
      </c>
      <c r="F50" s="76">
        <v>22650489</v>
      </c>
    </row>
    <row r="51" spans="1:6" ht="12.75">
      <c r="A51" s="435" t="s">
        <v>586</v>
      </c>
      <c r="B51" s="6" t="s">
        <v>663</v>
      </c>
      <c r="C51" s="79"/>
      <c r="D51" s="79"/>
      <c r="E51" s="79"/>
      <c r="F51" s="79"/>
    </row>
    <row r="52" spans="1:6" ht="12.75">
      <c r="A52" s="435" t="s">
        <v>587</v>
      </c>
      <c r="B52" s="6" t="s">
        <v>536</v>
      </c>
      <c r="C52" s="79"/>
      <c r="D52" s="79"/>
      <c r="E52" s="79"/>
      <c r="F52" s="79"/>
    </row>
    <row r="53" spans="1:6" ht="13.5" thickBot="1">
      <c r="A53" s="435" t="s">
        <v>588</v>
      </c>
      <c r="B53" s="6" t="s">
        <v>482</v>
      </c>
      <c r="C53" s="79"/>
      <c r="D53" s="79"/>
      <c r="E53" s="79"/>
      <c r="F53" s="79"/>
    </row>
    <row r="54" spans="1:6" ht="13.5" thickBot="1">
      <c r="A54" s="207" t="s">
        <v>498</v>
      </c>
      <c r="B54" s="246" t="s">
        <v>141</v>
      </c>
      <c r="C54" s="367">
        <f>+C43+C49</f>
        <v>162952582</v>
      </c>
      <c r="D54" s="367">
        <f>+D43+D49</f>
        <v>166425894</v>
      </c>
      <c r="E54" s="367">
        <f>+E43+E49</f>
        <v>181719883</v>
      </c>
      <c r="F54" s="367">
        <f>+F43+F49</f>
        <v>194086509</v>
      </c>
    </row>
    <row r="55" spans="1:6" ht="13.5" thickBot="1">
      <c r="A55" s="247"/>
      <c r="B55" s="248"/>
      <c r="C55" s="368"/>
      <c r="D55" s="368"/>
      <c r="E55" s="368"/>
      <c r="F55" s="368"/>
    </row>
    <row r="56" spans="1:6" ht="13.5" thickBot="1">
      <c r="A56" s="249" t="s">
        <v>682</v>
      </c>
      <c r="B56" s="250"/>
      <c r="C56" s="119">
        <v>31</v>
      </c>
      <c r="D56" s="119">
        <v>31</v>
      </c>
      <c r="E56" s="119">
        <v>31</v>
      </c>
      <c r="F56" s="119">
        <v>31</v>
      </c>
    </row>
    <row r="57" spans="1:6" ht="13.5" thickBot="1">
      <c r="A57" s="249" t="s">
        <v>683</v>
      </c>
      <c r="B57" s="250"/>
      <c r="C57" s="119">
        <v>0</v>
      </c>
      <c r="D57" s="119">
        <v>0</v>
      </c>
      <c r="E57" s="119">
        <v>0</v>
      </c>
      <c r="F57" s="119">
        <v>0</v>
      </c>
    </row>
    <row r="58" spans="1:6" ht="12.75">
      <c r="A58" s="1070"/>
      <c r="B58" s="1042"/>
      <c r="C58" s="248"/>
      <c r="D58" s="248"/>
      <c r="E58" s="248"/>
      <c r="F58" s="248"/>
    </row>
    <row r="59" spans="1:2" ht="12.75">
      <c r="A59" s="1172" t="s">
        <v>904</v>
      </c>
      <c r="B59" s="1173"/>
    </row>
  </sheetData>
  <sheetProtection/>
  <mergeCells count="1">
    <mergeCell ref="A59:B59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20.125" style="0" customWidth="1"/>
    <col min="2" max="2" width="66.125" style="0" customWidth="1"/>
    <col min="3" max="4" width="18.00390625" style="0" customWidth="1"/>
  </cols>
  <sheetData>
    <row r="1" spans="1:4" ht="16.5" thickBot="1">
      <c r="A1" s="226"/>
      <c r="B1" s="228"/>
      <c r="C1" s="440"/>
      <c r="D1" s="440" t="s">
        <v>889</v>
      </c>
    </row>
    <row r="2" spans="1:4" ht="24">
      <c r="A2" s="392" t="s">
        <v>680</v>
      </c>
      <c r="B2" s="354" t="s">
        <v>165</v>
      </c>
      <c r="C2" s="369"/>
      <c r="D2" s="369" t="s">
        <v>158</v>
      </c>
    </row>
    <row r="3" spans="1:4" ht="13.5" thickBot="1">
      <c r="A3" s="433" t="s">
        <v>679</v>
      </c>
      <c r="B3" s="355" t="s">
        <v>144</v>
      </c>
      <c r="C3" s="370"/>
      <c r="D3" s="370" t="s">
        <v>540</v>
      </c>
    </row>
    <row r="4" spans="1:4" ht="14.25" thickBot="1">
      <c r="A4" s="230"/>
      <c r="B4" s="230"/>
      <c r="C4" s="231"/>
      <c r="D4" s="231"/>
    </row>
    <row r="5" spans="1:4" ht="13.5" thickBot="1">
      <c r="A5" s="393" t="s">
        <v>681</v>
      </c>
      <c r="B5" s="232" t="s">
        <v>531</v>
      </c>
      <c r="C5" s="233" t="s">
        <v>532</v>
      </c>
      <c r="D5" s="233" t="s">
        <v>532</v>
      </c>
    </row>
    <row r="6" spans="1:4" ht="13.5" thickBot="1">
      <c r="A6" s="199">
        <v>1</v>
      </c>
      <c r="B6" s="200">
        <v>2</v>
      </c>
      <c r="C6" s="201">
        <v>3</v>
      </c>
      <c r="D6" s="201">
        <v>4</v>
      </c>
    </row>
    <row r="7" spans="1:4" ht="13.5" thickBot="1">
      <c r="A7" s="234"/>
      <c r="B7" s="235" t="s">
        <v>533</v>
      </c>
      <c r="C7" s="236"/>
      <c r="D7" s="236"/>
    </row>
    <row r="8" spans="1:4" ht="13.5" thickBot="1">
      <c r="A8" s="199" t="s">
        <v>496</v>
      </c>
      <c r="B8" s="237" t="s">
        <v>121</v>
      </c>
      <c r="C8" s="314">
        <f>SUM(C9:C18)</f>
        <v>0</v>
      </c>
      <c r="D8" s="314">
        <f>SUM(D9:D18)</f>
        <v>0</v>
      </c>
    </row>
    <row r="9" spans="1:4" ht="12.75">
      <c r="A9" s="434" t="s">
        <v>579</v>
      </c>
      <c r="B9" s="8" t="s">
        <v>770</v>
      </c>
      <c r="C9" s="360"/>
      <c r="D9" s="360"/>
    </row>
    <row r="10" spans="1:4" ht="12.75">
      <c r="A10" s="435" t="s">
        <v>580</v>
      </c>
      <c r="B10" s="6" t="s">
        <v>771</v>
      </c>
      <c r="C10" s="312"/>
      <c r="D10" s="312"/>
    </row>
    <row r="11" spans="1:4" ht="12.75">
      <c r="A11" s="435" t="s">
        <v>581</v>
      </c>
      <c r="B11" s="6" t="s">
        <v>772</v>
      </c>
      <c r="C11" s="312"/>
      <c r="D11" s="312"/>
    </row>
    <row r="12" spans="1:4" ht="12.75">
      <c r="A12" s="435" t="s">
        <v>582</v>
      </c>
      <c r="B12" s="6" t="s">
        <v>773</v>
      </c>
      <c r="C12" s="312"/>
      <c r="D12" s="312"/>
    </row>
    <row r="13" spans="1:4" ht="12.75">
      <c r="A13" s="435" t="s">
        <v>624</v>
      </c>
      <c r="B13" s="6" t="s">
        <v>774</v>
      </c>
      <c r="C13" s="312"/>
      <c r="D13" s="312"/>
    </row>
    <row r="14" spans="1:4" ht="12.75">
      <c r="A14" s="435" t="s">
        <v>583</v>
      </c>
      <c r="B14" s="6" t="s">
        <v>122</v>
      </c>
      <c r="C14" s="312"/>
      <c r="D14" s="312"/>
    </row>
    <row r="15" spans="1:4" ht="12.75">
      <c r="A15" s="435" t="s">
        <v>584</v>
      </c>
      <c r="B15" s="5" t="s">
        <v>123</v>
      </c>
      <c r="C15" s="312"/>
      <c r="D15" s="312"/>
    </row>
    <row r="16" spans="1:4" ht="12.75">
      <c r="A16" s="435" t="s">
        <v>594</v>
      </c>
      <c r="B16" s="6" t="s">
        <v>777</v>
      </c>
      <c r="C16" s="361"/>
      <c r="D16" s="361"/>
    </row>
    <row r="17" spans="1:4" ht="12.75">
      <c r="A17" s="435" t="s">
        <v>595</v>
      </c>
      <c r="B17" s="6" t="s">
        <v>778</v>
      </c>
      <c r="C17" s="312"/>
      <c r="D17" s="312"/>
    </row>
    <row r="18" spans="1:4" ht="13.5" thickBot="1">
      <c r="A18" s="435" t="s">
        <v>596</v>
      </c>
      <c r="B18" s="5" t="s">
        <v>779</v>
      </c>
      <c r="C18" s="313"/>
      <c r="D18" s="313"/>
    </row>
    <row r="19" spans="1:4" ht="13.5" thickBot="1">
      <c r="A19" s="199" t="s">
        <v>497</v>
      </c>
      <c r="B19" s="237" t="s">
        <v>124</v>
      </c>
      <c r="C19" s="314">
        <f>SUM(C20:C22)</f>
        <v>0</v>
      </c>
      <c r="D19" s="314">
        <f>SUM(D20:D22)</f>
        <v>0</v>
      </c>
    </row>
    <row r="20" spans="1:4" ht="12.75">
      <c r="A20" s="435" t="s">
        <v>585</v>
      </c>
      <c r="B20" s="7" t="s">
        <v>745</v>
      </c>
      <c r="C20" s="312"/>
      <c r="D20" s="312"/>
    </row>
    <row r="21" spans="1:4" ht="12.75">
      <c r="A21" s="435" t="s">
        <v>586</v>
      </c>
      <c r="B21" s="6" t="s">
        <v>125</v>
      </c>
      <c r="C21" s="312"/>
      <c r="D21" s="312"/>
    </row>
    <row r="22" spans="1:4" ht="12.75">
      <c r="A22" s="435" t="s">
        <v>587</v>
      </c>
      <c r="B22" s="6" t="s">
        <v>126</v>
      </c>
      <c r="C22" s="312"/>
      <c r="D22" s="312"/>
    </row>
    <row r="23" spans="1:4" ht="13.5" thickBot="1">
      <c r="A23" s="435" t="s">
        <v>588</v>
      </c>
      <c r="B23" s="6" t="s">
        <v>480</v>
      </c>
      <c r="C23" s="312"/>
      <c r="D23" s="312"/>
    </row>
    <row r="24" spans="1:4" ht="13.5" thickBot="1">
      <c r="A24" s="207" t="s">
        <v>498</v>
      </c>
      <c r="B24" s="122" t="s">
        <v>650</v>
      </c>
      <c r="C24" s="340"/>
      <c r="D24" s="340"/>
    </row>
    <row r="25" spans="1:4" ht="13.5" thickBot="1">
      <c r="A25" s="207" t="s">
        <v>499</v>
      </c>
      <c r="B25" s="122" t="s">
        <v>127</v>
      </c>
      <c r="C25" s="314">
        <f>+C26+C27</f>
        <v>0</v>
      </c>
      <c r="D25" s="314">
        <f>+D26+D27</f>
        <v>0</v>
      </c>
    </row>
    <row r="26" spans="1:4" ht="12.75">
      <c r="A26" s="436" t="s">
        <v>755</v>
      </c>
      <c r="B26" s="437" t="s">
        <v>125</v>
      </c>
      <c r="C26" s="76"/>
      <c r="D26" s="76"/>
    </row>
    <row r="27" spans="1:4" ht="12.75">
      <c r="A27" s="436" t="s">
        <v>758</v>
      </c>
      <c r="B27" s="438" t="s">
        <v>128</v>
      </c>
      <c r="C27" s="315"/>
      <c r="D27" s="315"/>
    </row>
    <row r="28" spans="1:4" ht="13.5" thickBot="1">
      <c r="A28" s="435" t="s">
        <v>759</v>
      </c>
      <c r="B28" s="439" t="s">
        <v>129</v>
      </c>
      <c r="C28" s="83"/>
      <c r="D28" s="83"/>
    </row>
    <row r="29" spans="1:4" ht="13.5" thickBot="1">
      <c r="A29" s="207" t="s">
        <v>500</v>
      </c>
      <c r="B29" s="122" t="s">
        <v>130</v>
      </c>
      <c r="C29" s="314">
        <f>+C30+C31+C32</f>
        <v>0</v>
      </c>
      <c r="D29" s="314">
        <f>+D30+D31+D32</f>
        <v>0</v>
      </c>
    </row>
    <row r="30" spans="1:4" ht="12.75">
      <c r="A30" s="436" t="s">
        <v>572</v>
      </c>
      <c r="B30" s="437" t="s">
        <v>784</v>
      </c>
      <c r="C30" s="76"/>
      <c r="D30" s="76"/>
    </row>
    <row r="31" spans="1:4" ht="12.75">
      <c r="A31" s="436" t="s">
        <v>573</v>
      </c>
      <c r="B31" s="438" t="s">
        <v>785</v>
      </c>
      <c r="C31" s="315"/>
      <c r="D31" s="315"/>
    </row>
    <row r="32" spans="1:4" ht="13.5" thickBot="1">
      <c r="A32" s="435" t="s">
        <v>574</v>
      </c>
      <c r="B32" s="138" t="s">
        <v>786</v>
      </c>
      <c r="C32" s="83"/>
      <c r="D32" s="83"/>
    </row>
    <row r="33" spans="1:4" ht="13.5" thickBot="1">
      <c r="A33" s="207" t="s">
        <v>501</v>
      </c>
      <c r="B33" s="122" t="s">
        <v>75</v>
      </c>
      <c r="C33" s="340"/>
      <c r="D33" s="340"/>
    </row>
    <row r="34" spans="1:4" ht="13.5" thickBot="1">
      <c r="A34" s="207" t="s">
        <v>502</v>
      </c>
      <c r="B34" s="122" t="s">
        <v>131</v>
      </c>
      <c r="C34" s="362"/>
      <c r="D34" s="362"/>
    </row>
    <row r="35" spans="1:4" ht="13.5" thickBot="1">
      <c r="A35" s="199" t="s">
        <v>503</v>
      </c>
      <c r="B35" s="122" t="s">
        <v>132</v>
      </c>
      <c r="C35" s="363">
        <f>+C8+C19+C24+C25+C29+C33+C34</f>
        <v>0</v>
      </c>
      <c r="D35" s="363">
        <f>+D8+D19+D24+D25+D29+D33+D34</f>
        <v>0</v>
      </c>
    </row>
    <row r="36" spans="1:4" ht="13.5" thickBot="1">
      <c r="A36" s="238" t="s">
        <v>504</v>
      </c>
      <c r="B36" s="122" t="s">
        <v>133</v>
      </c>
      <c r="C36" s="363">
        <f>+C37+C38+C39</f>
        <v>0</v>
      </c>
      <c r="D36" s="363">
        <f>+D37+D38+D39</f>
        <v>0</v>
      </c>
    </row>
    <row r="37" spans="1:4" ht="12.75">
      <c r="A37" s="436" t="s">
        <v>134</v>
      </c>
      <c r="B37" s="437" t="s">
        <v>717</v>
      </c>
      <c r="C37" s="76"/>
      <c r="D37" s="76"/>
    </row>
    <row r="38" spans="1:4" ht="12.75">
      <c r="A38" s="436" t="s">
        <v>135</v>
      </c>
      <c r="B38" s="438" t="s">
        <v>481</v>
      </c>
      <c r="C38" s="315"/>
      <c r="D38" s="315"/>
    </row>
    <row r="39" spans="1:4" ht="13.5" thickBot="1">
      <c r="A39" s="435" t="s">
        <v>136</v>
      </c>
      <c r="B39" s="138" t="s">
        <v>137</v>
      </c>
      <c r="C39" s="83"/>
      <c r="D39" s="83"/>
    </row>
    <row r="40" spans="1:4" ht="13.5" thickBot="1">
      <c r="A40" s="238" t="s">
        <v>505</v>
      </c>
      <c r="B40" s="239" t="s">
        <v>138</v>
      </c>
      <c r="C40" s="366">
        <f>+C35+C36</f>
        <v>0</v>
      </c>
      <c r="D40" s="366">
        <f>+D35+D36</f>
        <v>0</v>
      </c>
    </row>
    <row r="41" spans="1:4" ht="13.5" thickBot="1">
      <c r="A41" s="240"/>
      <c r="B41" s="241"/>
      <c r="C41" s="364"/>
      <c r="D41" s="364"/>
    </row>
    <row r="42" spans="1:4" ht="13.5" thickBot="1">
      <c r="A42" s="244"/>
      <c r="B42" s="245" t="s">
        <v>535</v>
      </c>
      <c r="C42" s="366"/>
      <c r="D42" s="366"/>
    </row>
    <row r="43" spans="1:4" ht="13.5" thickBot="1">
      <c r="A43" s="207" t="s">
        <v>496</v>
      </c>
      <c r="B43" s="122" t="s">
        <v>139</v>
      </c>
      <c r="C43" s="314">
        <f>SUM(C44:C48)</f>
        <v>0</v>
      </c>
      <c r="D43" s="314">
        <f>SUM(D44:D48)</f>
        <v>0</v>
      </c>
    </row>
    <row r="44" spans="1:4" ht="12.75">
      <c r="A44" s="435" t="s">
        <v>579</v>
      </c>
      <c r="B44" s="7" t="s">
        <v>526</v>
      </c>
      <c r="C44" s="76"/>
      <c r="D44" s="76"/>
    </row>
    <row r="45" spans="1:4" ht="12.75">
      <c r="A45" s="435" t="s">
        <v>580</v>
      </c>
      <c r="B45" s="6" t="s">
        <v>659</v>
      </c>
      <c r="C45" s="79"/>
      <c r="D45" s="79"/>
    </row>
    <row r="46" spans="1:4" ht="12.75">
      <c r="A46" s="435" t="s">
        <v>581</v>
      </c>
      <c r="B46" s="6" t="s">
        <v>616</v>
      </c>
      <c r="C46" s="79"/>
      <c r="D46" s="79"/>
    </row>
    <row r="47" spans="1:4" ht="12.75">
      <c r="A47" s="435" t="s">
        <v>582</v>
      </c>
      <c r="B47" s="6" t="s">
        <v>660</v>
      </c>
      <c r="C47" s="79"/>
      <c r="D47" s="79"/>
    </row>
    <row r="48" spans="1:4" ht="13.5" thickBot="1">
      <c r="A48" s="435" t="s">
        <v>624</v>
      </c>
      <c r="B48" s="6" t="s">
        <v>661</v>
      </c>
      <c r="C48" s="79"/>
      <c r="D48" s="79"/>
    </row>
    <row r="49" spans="1:4" ht="13.5" thickBot="1">
      <c r="A49" s="207" t="s">
        <v>497</v>
      </c>
      <c r="B49" s="122" t="s">
        <v>140</v>
      </c>
      <c r="C49" s="314">
        <f>SUM(C50:C52)</f>
        <v>0</v>
      </c>
      <c r="D49" s="314">
        <f>SUM(D50:D52)</f>
        <v>0</v>
      </c>
    </row>
    <row r="50" spans="1:4" ht="12.75">
      <c r="A50" s="435" t="s">
        <v>585</v>
      </c>
      <c r="B50" s="7" t="s">
        <v>708</v>
      </c>
      <c r="C50" s="76"/>
      <c r="D50" s="76"/>
    </row>
    <row r="51" spans="1:4" ht="12.75">
      <c r="A51" s="435" t="s">
        <v>586</v>
      </c>
      <c r="B51" s="6" t="s">
        <v>663</v>
      </c>
      <c r="C51" s="79"/>
      <c r="D51" s="79"/>
    </row>
    <row r="52" spans="1:4" ht="12.75">
      <c r="A52" s="435" t="s">
        <v>587</v>
      </c>
      <c r="B52" s="6" t="s">
        <v>536</v>
      </c>
      <c r="C52" s="79"/>
      <c r="D52" s="79"/>
    </row>
    <row r="53" spans="1:4" ht="13.5" thickBot="1">
      <c r="A53" s="435" t="s">
        <v>588</v>
      </c>
      <c r="B53" s="6" t="s">
        <v>482</v>
      </c>
      <c r="C53" s="79"/>
      <c r="D53" s="79"/>
    </row>
    <row r="54" spans="1:4" ht="13.5" thickBot="1">
      <c r="A54" s="207" t="s">
        <v>498</v>
      </c>
      <c r="B54" s="246" t="s">
        <v>141</v>
      </c>
      <c r="C54" s="367">
        <f>+C43+C49</f>
        <v>0</v>
      </c>
      <c r="D54" s="367">
        <f>+D43+D49</f>
        <v>0</v>
      </c>
    </row>
    <row r="55" spans="1:4" ht="13.5" thickBot="1">
      <c r="A55" s="247"/>
      <c r="B55" s="248"/>
      <c r="C55" s="368"/>
      <c r="D55" s="368"/>
    </row>
    <row r="56" spans="1:4" ht="13.5" thickBot="1">
      <c r="A56" s="249" t="s">
        <v>682</v>
      </c>
      <c r="B56" s="250"/>
      <c r="C56" s="119"/>
      <c r="D56" s="119"/>
    </row>
    <row r="57" spans="1:4" ht="13.5" thickBot="1">
      <c r="A57" s="249" t="s">
        <v>683</v>
      </c>
      <c r="B57" s="250"/>
      <c r="C57" s="119"/>
      <c r="D57" s="119"/>
    </row>
    <row r="58" spans="1:4" ht="12.75">
      <c r="A58" s="247"/>
      <c r="B58" s="248"/>
      <c r="C58" s="248"/>
      <c r="D58" s="248"/>
    </row>
    <row r="59" spans="1:4" ht="12.75">
      <c r="A59" s="247"/>
      <c r="B59" s="248"/>
      <c r="C59" s="248"/>
      <c r="D59" s="248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18.875" style="0" customWidth="1"/>
    <col min="2" max="2" width="66.125" style="0" customWidth="1"/>
    <col min="3" max="4" width="18.625" style="0" customWidth="1"/>
  </cols>
  <sheetData>
    <row r="1" spans="1:4" ht="16.5" thickBot="1">
      <c r="A1" s="226"/>
      <c r="B1" s="228"/>
      <c r="C1" s="440"/>
      <c r="D1" s="440" t="s">
        <v>890</v>
      </c>
    </row>
    <row r="2" spans="1:4" ht="24">
      <c r="A2" s="392" t="s">
        <v>680</v>
      </c>
      <c r="B2" s="354" t="s">
        <v>165</v>
      </c>
      <c r="C2" s="369"/>
      <c r="D2" s="369" t="s">
        <v>158</v>
      </c>
    </row>
    <row r="3" spans="1:4" ht="24.75" thickBot="1">
      <c r="A3" s="433" t="s">
        <v>679</v>
      </c>
      <c r="B3" s="355" t="s">
        <v>145</v>
      </c>
      <c r="C3" s="370"/>
      <c r="D3" s="370" t="s">
        <v>158</v>
      </c>
    </row>
    <row r="4" spans="1:4" ht="14.25" thickBot="1">
      <c r="A4" s="230"/>
      <c r="B4" s="230"/>
      <c r="C4" s="231"/>
      <c r="D4" s="231"/>
    </row>
    <row r="5" spans="1:4" ht="13.5" thickBot="1">
      <c r="A5" s="393" t="s">
        <v>681</v>
      </c>
      <c r="B5" s="232" t="s">
        <v>531</v>
      </c>
      <c r="C5" s="233" t="s">
        <v>532</v>
      </c>
      <c r="D5" s="233" t="s">
        <v>532</v>
      </c>
    </row>
    <row r="6" spans="1:4" ht="13.5" thickBot="1">
      <c r="A6" s="199">
        <v>1</v>
      </c>
      <c r="B6" s="200">
        <v>2</v>
      </c>
      <c r="C6" s="201">
        <v>3</v>
      </c>
      <c r="D6" s="201">
        <v>4</v>
      </c>
    </row>
    <row r="7" spans="1:4" ht="13.5" thickBot="1">
      <c r="A7" s="234"/>
      <c r="B7" s="235" t="s">
        <v>533</v>
      </c>
      <c r="C7" s="236"/>
      <c r="D7" s="236"/>
    </row>
    <row r="8" spans="1:4" ht="13.5" thickBot="1">
      <c r="A8" s="199" t="s">
        <v>496</v>
      </c>
      <c r="B8" s="237" t="s">
        <v>121</v>
      </c>
      <c r="C8" s="314">
        <f>SUM(C9:C18)</f>
        <v>0</v>
      </c>
      <c r="D8" s="314">
        <f>SUM(D9:D18)</f>
        <v>0</v>
      </c>
    </row>
    <row r="9" spans="1:4" ht="12.75">
      <c r="A9" s="434" t="s">
        <v>579</v>
      </c>
      <c r="B9" s="8" t="s">
        <v>770</v>
      </c>
      <c r="C9" s="360"/>
      <c r="D9" s="360"/>
    </row>
    <row r="10" spans="1:4" ht="12.75">
      <c r="A10" s="435" t="s">
        <v>580</v>
      </c>
      <c r="B10" s="6" t="s">
        <v>771</v>
      </c>
      <c r="C10" s="312"/>
      <c r="D10" s="312"/>
    </row>
    <row r="11" spans="1:4" ht="12.75">
      <c r="A11" s="435" t="s">
        <v>581</v>
      </c>
      <c r="B11" s="6" t="s">
        <v>772</v>
      </c>
      <c r="C11" s="312"/>
      <c r="D11" s="312"/>
    </row>
    <row r="12" spans="1:4" ht="12.75">
      <c r="A12" s="435" t="s">
        <v>582</v>
      </c>
      <c r="B12" s="6" t="s">
        <v>773</v>
      </c>
      <c r="C12" s="312"/>
      <c r="D12" s="312"/>
    </row>
    <row r="13" spans="1:4" ht="12.75">
      <c r="A13" s="435" t="s">
        <v>624</v>
      </c>
      <c r="B13" s="6" t="s">
        <v>774</v>
      </c>
      <c r="C13" s="312"/>
      <c r="D13" s="312"/>
    </row>
    <row r="14" spans="1:4" ht="12.75">
      <c r="A14" s="435" t="s">
        <v>583</v>
      </c>
      <c r="B14" s="6" t="s">
        <v>122</v>
      </c>
      <c r="C14" s="312"/>
      <c r="D14" s="312"/>
    </row>
    <row r="15" spans="1:4" ht="12.75">
      <c r="A15" s="435" t="s">
        <v>584</v>
      </c>
      <c r="B15" s="5" t="s">
        <v>123</v>
      </c>
      <c r="C15" s="312"/>
      <c r="D15" s="312"/>
    </row>
    <row r="16" spans="1:4" ht="12.75">
      <c r="A16" s="435" t="s">
        <v>594</v>
      </c>
      <c r="B16" s="6" t="s">
        <v>777</v>
      </c>
      <c r="C16" s="361"/>
      <c r="D16" s="361"/>
    </row>
    <row r="17" spans="1:4" ht="12.75">
      <c r="A17" s="435" t="s">
        <v>595</v>
      </c>
      <c r="B17" s="6" t="s">
        <v>778</v>
      </c>
      <c r="C17" s="312"/>
      <c r="D17" s="312"/>
    </row>
    <row r="18" spans="1:4" ht="13.5" thickBot="1">
      <c r="A18" s="435" t="s">
        <v>596</v>
      </c>
      <c r="B18" s="5" t="s">
        <v>779</v>
      </c>
      <c r="C18" s="313"/>
      <c r="D18" s="313"/>
    </row>
    <row r="19" spans="1:4" ht="13.5" thickBot="1">
      <c r="A19" s="199" t="s">
        <v>497</v>
      </c>
      <c r="B19" s="237" t="s">
        <v>124</v>
      </c>
      <c r="C19" s="314">
        <f>SUM(C20:C22)</f>
        <v>0</v>
      </c>
      <c r="D19" s="314">
        <f>SUM(D20:D22)</f>
        <v>0</v>
      </c>
    </row>
    <row r="20" spans="1:4" ht="12.75">
      <c r="A20" s="435" t="s">
        <v>585</v>
      </c>
      <c r="B20" s="7" t="s">
        <v>745</v>
      </c>
      <c r="C20" s="312"/>
      <c r="D20" s="312"/>
    </row>
    <row r="21" spans="1:4" ht="12.75">
      <c r="A21" s="435" t="s">
        <v>586</v>
      </c>
      <c r="B21" s="6" t="s">
        <v>125</v>
      </c>
      <c r="C21" s="312"/>
      <c r="D21" s="312"/>
    </row>
    <row r="22" spans="1:4" ht="12.75">
      <c r="A22" s="435" t="s">
        <v>587</v>
      </c>
      <c r="B22" s="6" t="s">
        <v>126</v>
      </c>
      <c r="C22" s="312"/>
      <c r="D22" s="312"/>
    </row>
    <row r="23" spans="1:4" ht="13.5" thickBot="1">
      <c r="A23" s="435" t="s">
        <v>588</v>
      </c>
      <c r="B23" s="6" t="s">
        <v>480</v>
      </c>
      <c r="C23" s="312"/>
      <c r="D23" s="312"/>
    </row>
    <row r="24" spans="1:4" ht="13.5" thickBot="1">
      <c r="A24" s="207" t="s">
        <v>498</v>
      </c>
      <c r="B24" s="122" t="s">
        <v>650</v>
      </c>
      <c r="C24" s="340"/>
      <c r="D24" s="340"/>
    </row>
    <row r="25" spans="1:4" ht="13.5" thickBot="1">
      <c r="A25" s="207" t="s">
        <v>499</v>
      </c>
      <c r="B25" s="122" t="s">
        <v>127</v>
      </c>
      <c r="C25" s="314">
        <f>+C26+C27</f>
        <v>0</v>
      </c>
      <c r="D25" s="314">
        <f>+D26+D27</f>
        <v>0</v>
      </c>
    </row>
    <row r="26" spans="1:4" ht="12.75">
      <c r="A26" s="436" t="s">
        <v>755</v>
      </c>
      <c r="B26" s="437" t="s">
        <v>125</v>
      </c>
      <c r="C26" s="76"/>
      <c r="D26" s="76"/>
    </row>
    <row r="27" spans="1:4" ht="12.75">
      <c r="A27" s="436" t="s">
        <v>758</v>
      </c>
      <c r="B27" s="438" t="s">
        <v>128</v>
      </c>
      <c r="C27" s="315"/>
      <c r="D27" s="315"/>
    </row>
    <row r="28" spans="1:4" ht="13.5" thickBot="1">
      <c r="A28" s="435" t="s">
        <v>759</v>
      </c>
      <c r="B28" s="439" t="s">
        <v>129</v>
      </c>
      <c r="C28" s="83"/>
      <c r="D28" s="83"/>
    </row>
    <row r="29" spans="1:4" ht="13.5" thickBot="1">
      <c r="A29" s="207" t="s">
        <v>500</v>
      </c>
      <c r="B29" s="122" t="s">
        <v>130</v>
      </c>
      <c r="C29" s="314">
        <f>+C30+C31+C32</f>
        <v>0</v>
      </c>
      <c r="D29" s="314">
        <f>+D30+D31+D32</f>
        <v>0</v>
      </c>
    </row>
    <row r="30" spans="1:4" ht="12.75">
      <c r="A30" s="436" t="s">
        <v>572</v>
      </c>
      <c r="B30" s="437" t="s">
        <v>784</v>
      </c>
      <c r="C30" s="76"/>
      <c r="D30" s="76"/>
    </row>
    <row r="31" spans="1:4" ht="12.75">
      <c r="A31" s="436" t="s">
        <v>573</v>
      </c>
      <c r="B31" s="438" t="s">
        <v>785</v>
      </c>
      <c r="C31" s="315"/>
      <c r="D31" s="315"/>
    </row>
    <row r="32" spans="1:4" ht="13.5" thickBot="1">
      <c r="A32" s="435" t="s">
        <v>574</v>
      </c>
      <c r="B32" s="138" t="s">
        <v>786</v>
      </c>
      <c r="C32" s="83"/>
      <c r="D32" s="83"/>
    </row>
    <row r="33" spans="1:4" ht="13.5" thickBot="1">
      <c r="A33" s="207" t="s">
        <v>501</v>
      </c>
      <c r="B33" s="122" t="s">
        <v>75</v>
      </c>
      <c r="C33" s="340"/>
      <c r="D33" s="340"/>
    </row>
    <row r="34" spans="1:4" ht="13.5" thickBot="1">
      <c r="A34" s="207" t="s">
        <v>502</v>
      </c>
      <c r="B34" s="122" t="s">
        <v>131</v>
      </c>
      <c r="C34" s="362"/>
      <c r="D34" s="362"/>
    </row>
    <row r="35" spans="1:4" ht="13.5" thickBot="1">
      <c r="A35" s="199" t="s">
        <v>503</v>
      </c>
      <c r="B35" s="122" t="s">
        <v>132</v>
      </c>
      <c r="C35" s="363">
        <f>+C8+C19+C24+C25+C29+C33+C34</f>
        <v>0</v>
      </c>
      <c r="D35" s="363">
        <f>+D8+D19+D24+D25+D29+D33+D34</f>
        <v>0</v>
      </c>
    </row>
    <row r="36" spans="1:4" ht="13.5" thickBot="1">
      <c r="A36" s="238" t="s">
        <v>504</v>
      </c>
      <c r="B36" s="122" t="s">
        <v>133</v>
      </c>
      <c r="C36" s="363">
        <f>+C37+C38+C39</f>
        <v>0</v>
      </c>
      <c r="D36" s="363">
        <f>+D37+D38+D39</f>
        <v>0</v>
      </c>
    </row>
    <row r="37" spans="1:4" ht="12.75">
      <c r="A37" s="436" t="s">
        <v>134</v>
      </c>
      <c r="B37" s="437" t="s">
        <v>717</v>
      </c>
      <c r="C37" s="76"/>
      <c r="D37" s="76"/>
    </row>
    <row r="38" spans="1:4" ht="12.75">
      <c r="A38" s="436" t="s">
        <v>135</v>
      </c>
      <c r="B38" s="438" t="s">
        <v>481</v>
      </c>
      <c r="C38" s="315"/>
      <c r="D38" s="315"/>
    </row>
    <row r="39" spans="1:4" ht="13.5" thickBot="1">
      <c r="A39" s="435" t="s">
        <v>136</v>
      </c>
      <c r="B39" s="138" t="s">
        <v>137</v>
      </c>
      <c r="C39" s="83"/>
      <c r="D39" s="83"/>
    </row>
    <row r="40" spans="1:4" ht="13.5" thickBot="1">
      <c r="A40" s="238" t="s">
        <v>505</v>
      </c>
      <c r="B40" s="239" t="s">
        <v>138</v>
      </c>
      <c r="C40" s="366">
        <f>+C35+C36</f>
        <v>0</v>
      </c>
      <c r="D40" s="366">
        <f>+D35+D36</f>
        <v>0</v>
      </c>
    </row>
    <row r="41" spans="1:4" ht="13.5" thickBot="1">
      <c r="A41" s="240"/>
      <c r="B41" s="241"/>
      <c r="C41" s="364"/>
      <c r="D41" s="364"/>
    </row>
    <row r="42" spans="1:4" ht="13.5" thickBot="1">
      <c r="A42" s="244"/>
      <c r="B42" s="245" t="s">
        <v>535</v>
      </c>
      <c r="C42" s="366"/>
      <c r="D42" s="366"/>
    </row>
    <row r="43" spans="1:4" ht="13.5" thickBot="1">
      <c r="A43" s="207" t="s">
        <v>496</v>
      </c>
      <c r="B43" s="122" t="s">
        <v>139</v>
      </c>
      <c r="C43" s="314">
        <f>SUM(C44:C48)</f>
        <v>0</v>
      </c>
      <c r="D43" s="314">
        <f>SUM(D44:D48)</f>
        <v>0</v>
      </c>
    </row>
    <row r="44" spans="1:4" ht="12.75">
      <c r="A44" s="435" t="s">
        <v>579</v>
      </c>
      <c r="B44" s="7" t="s">
        <v>526</v>
      </c>
      <c r="C44" s="76"/>
      <c r="D44" s="76"/>
    </row>
    <row r="45" spans="1:4" ht="12.75">
      <c r="A45" s="435" t="s">
        <v>580</v>
      </c>
      <c r="B45" s="6" t="s">
        <v>659</v>
      </c>
      <c r="C45" s="79"/>
      <c r="D45" s="79"/>
    </row>
    <row r="46" spans="1:4" ht="12.75">
      <c r="A46" s="435" t="s">
        <v>581</v>
      </c>
      <c r="B46" s="6" t="s">
        <v>616</v>
      </c>
      <c r="C46" s="79"/>
      <c r="D46" s="79"/>
    </row>
    <row r="47" spans="1:4" ht="12.75">
      <c r="A47" s="435" t="s">
        <v>582</v>
      </c>
      <c r="B47" s="6" t="s">
        <v>660</v>
      </c>
      <c r="C47" s="79"/>
      <c r="D47" s="79"/>
    </row>
    <row r="48" spans="1:4" ht="13.5" thickBot="1">
      <c r="A48" s="435" t="s">
        <v>624</v>
      </c>
      <c r="B48" s="6" t="s">
        <v>661</v>
      </c>
      <c r="C48" s="79"/>
      <c r="D48" s="79"/>
    </row>
    <row r="49" spans="1:4" ht="13.5" thickBot="1">
      <c r="A49" s="207" t="s">
        <v>497</v>
      </c>
      <c r="B49" s="122" t="s">
        <v>140</v>
      </c>
      <c r="C49" s="314">
        <f>SUM(C50:C52)</f>
        <v>0</v>
      </c>
      <c r="D49" s="314">
        <f>SUM(D50:D52)</f>
        <v>0</v>
      </c>
    </row>
    <row r="50" spans="1:4" ht="12.75">
      <c r="A50" s="435" t="s">
        <v>585</v>
      </c>
      <c r="B50" s="7" t="s">
        <v>708</v>
      </c>
      <c r="C50" s="76"/>
      <c r="D50" s="76"/>
    </row>
    <row r="51" spans="1:4" ht="12.75">
      <c r="A51" s="435" t="s">
        <v>586</v>
      </c>
      <c r="B51" s="6" t="s">
        <v>663</v>
      </c>
      <c r="C51" s="79"/>
      <c r="D51" s="79"/>
    </row>
    <row r="52" spans="1:4" ht="12.75">
      <c r="A52" s="435" t="s">
        <v>587</v>
      </c>
      <c r="B52" s="6" t="s">
        <v>536</v>
      </c>
      <c r="C52" s="79"/>
      <c r="D52" s="79"/>
    </row>
    <row r="53" spans="1:4" ht="13.5" thickBot="1">
      <c r="A53" s="435" t="s">
        <v>588</v>
      </c>
      <c r="B53" s="6" t="s">
        <v>482</v>
      </c>
      <c r="C53" s="79"/>
      <c r="D53" s="79"/>
    </row>
    <row r="54" spans="1:4" ht="13.5" thickBot="1">
      <c r="A54" s="207" t="s">
        <v>498</v>
      </c>
      <c r="B54" s="246" t="s">
        <v>141</v>
      </c>
      <c r="C54" s="367">
        <f>+C43+C49</f>
        <v>0</v>
      </c>
      <c r="D54" s="367">
        <f>+D43+D49</f>
        <v>0</v>
      </c>
    </row>
    <row r="55" spans="1:4" ht="13.5" thickBot="1">
      <c r="A55" s="247"/>
      <c r="B55" s="248"/>
      <c r="C55" s="368"/>
      <c r="D55" s="368"/>
    </row>
    <row r="56" spans="1:4" ht="13.5" thickBot="1">
      <c r="A56" s="249" t="s">
        <v>682</v>
      </c>
      <c r="B56" s="250"/>
      <c r="C56" s="119"/>
      <c r="D56" s="119"/>
    </row>
    <row r="57" spans="1:4" ht="13.5" thickBot="1">
      <c r="A57" s="249" t="s">
        <v>683</v>
      </c>
      <c r="B57" s="250"/>
      <c r="C57" s="119"/>
      <c r="D57" s="119"/>
    </row>
    <row r="58" spans="1:4" ht="12.75">
      <c r="A58" s="247"/>
      <c r="B58" s="248"/>
      <c r="C58" s="248"/>
      <c r="D58" s="248"/>
    </row>
    <row r="59" spans="1:4" ht="12.75">
      <c r="A59" s="247"/>
      <c r="B59" s="248"/>
      <c r="C59" s="248"/>
      <c r="D59" s="248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5.50390625" style="45" customWidth="1"/>
    <col min="2" max="2" width="33.125" style="45" customWidth="1"/>
    <col min="3" max="3" width="12.375" style="45" customWidth="1"/>
    <col min="4" max="4" width="11.50390625" style="45" customWidth="1"/>
    <col min="5" max="5" width="11.375" style="45" customWidth="1"/>
    <col min="6" max="6" width="11.00390625" style="45" customWidth="1"/>
    <col min="7" max="7" width="14.375" style="45" customWidth="1"/>
    <col min="8" max="16384" width="9.375" style="45" customWidth="1"/>
  </cols>
  <sheetData>
    <row r="1" spans="1:7" ht="43.5" customHeight="1">
      <c r="A1" s="1175" t="s">
        <v>483</v>
      </c>
      <c r="B1" s="1175"/>
      <c r="C1" s="1175"/>
      <c r="D1" s="1175"/>
      <c r="E1" s="1175"/>
      <c r="F1" s="1175"/>
      <c r="G1" s="1175"/>
    </row>
    <row r="2" ht="12.75">
      <c r="C2" s="45" t="s">
        <v>846</v>
      </c>
    </row>
    <row r="3" spans="1:7" s="162" customFormat="1" ht="27" customHeight="1">
      <c r="A3" s="160" t="s">
        <v>687</v>
      </c>
      <c r="B3" s="161"/>
      <c r="C3" s="1174" t="s">
        <v>688</v>
      </c>
      <c r="D3" s="1174"/>
      <c r="E3" s="1174"/>
      <c r="F3" s="1174"/>
      <c r="G3" s="1174"/>
    </row>
    <row r="4" spans="1:7" s="162" customFormat="1" ht="15.75">
      <c r="A4" s="161"/>
      <c r="B4" s="161"/>
      <c r="C4" s="161"/>
      <c r="D4" s="161"/>
      <c r="E4" s="161"/>
      <c r="F4" s="161"/>
      <c r="G4" s="161"/>
    </row>
    <row r="5" spans="1:7" s="162" customFormat="1" ht="24.75" customHeight="1">
      <c r="A5" s="160" t="s">
        <v>689</v>
      </c>
      <c r="B5" s="161"/>
      <c r="C5" s="1174" t="s">
        <v>688</v>
      </c>
      <c r="D5" s="1174"/>
      <c r="E5" s="1174"/>
      <c r="F5" s="1174"/>
      <c r="G5" s="161"/>
    </row>
    <row r="6" spans="1:7" s="163" customFormat="1" ht="12.75">
      <c r="A6" s="211"/>
      <c r="B6" s="211"/>
      <c r="C6" s="211"/>
      <c r="D6" s="211"/>
      <c r="E6" s="211"/>
      <c r="F6" s="211"/>
      <c r="G6" s="211"/>
    </row>
    <row r="7" spans="1:7" s="164" customFormat="1" ht="15" customHeight="1">
      <c r="A7" s="268" t="s">
        <v>850</v>
      </c>
      <c r="B7" s="267"/>
      <c r="C7" s="267"/>
      <c r="D7" s="253"/>
      <c r="E7" s="253"/>
      <c r="F7" s="253"/>
      <c r="G7" s="253"/>
    </row>
    <row r="8" spans="1:7" s="164" customFormat="1" ht="15" customHeight="1" thickBot="1">
      <c r="A8" s="268" t="s">
        <v>690</v>
      </c>
      <c r="B8" s="253"/>
      <c r="C8" s="253"/>
      <c r="D8" s="253"/>
      <c r="E8" s="253"/>
      <c r="F8" s="253"/>
      <c r="G8" s="253"/>
    </row>
    <row r="9" spans="1:7" s="75" customFormat="1" ht="42" customHeight="1" thickBot="1">
      <c r="A9" s="196" t="s">
        <v>494</v>
      </c>
      <c r="B9" s="197" t="s">
        <v>691</v>
      </c>
      <c r="C9" s="197" t="s">
        <v>692</v>
      </c>
      <c r="D9" s="197" t="s">
        <v>693</v>
      </c>
      <c r="E9" s="197" t="s">
        <v>694</v>
      </c>
      <c r="F9" s="197" t="s">
        <v>695</v>
      </c>
      <c r="G9" s="198" t="s">
        <v>529</v>
      </c>
    </row>
    <row r="10" spans="1:7" ht="24" customHeight="1">
      <c r="A10" s="254" t="s">
        <v>496</v>
      </c>
      <c r="B10" s="205" t="s">
        <v>696</v>
      </c>
      <c r="C10" s="165"/>
      <c r="D10" s="165"/>
      <c r="E10" s="165"/>
      <c r="F10" s="165"/>
      <c r="G10" s="255">
        <f>SUM(C10:F10)</f>
        <v>0</v>
      </c>
    </row>
    <row r="11" spans="1:7" ht="24" customHeight="1">
      <c r="A11" s="256" t="s">
        <v>497</v>
      </c>
      <c r="B11" s="206" t="s">
        <v>697</v>
      </c>
      <c r="C11" s="166"/>
      <c r="D11" s="166"/>
      <c r="E11" s="166"/>
      <c r="F11" s="166"/>
      <c r="G11" s="257">
        <f aca="true" t="shared" si="0" ref="G11:G16">SUM(C11:F11)</f>
        <v>0</v>
      </c>
    </row>
    <row r="12" spans="1:7" ht="24" customHeight="1">
      <c r="A12" s="256" t="s">
        <v>498</v>
      </c>
      <c r="B12" s="206" t="s">
        <v>698</v>
      </c>
      <c r="C12" s="166"/>
      <c r="D12" s="166"/>
      <c r="E12" s="166"/>
      <c r="F12" s="166"/>
      <c r="G12" s="257">
        <f t="shared" si="0"/>
        <v>0</v>
      </c>
    </row>
    <row r="13" spans="1:7" ht="24" customHeight="1">
      <c r="A13" s="256" t="s">
        <v>499</v>
      </c>
      <c r="B13" s="206" t="s">
        <v>699</v>
      </c>
      <c r="C13" s="166"/>
      <c r="D13" s="166"/>
      <c r="E13" s="166"/>
      <c r="F13" s="166"/>
      <c r="G13" s="257">
        <f t="shared" si="0"/>
        <v>0</v>
      </c>
    </row>
    <row r="14" spans="1:7" ht="24" customHeight="1">
      <c r="A14" s="256" t="s">
        <v>500</v>
      </c>
      <c r="B14" s="206" t="s">
        <v>700</v>
      </c>
      <c r="C14" s="166"/>
      <c r="D14" s="166"/>
      <c r="E14" s="166"/>
      <c r="F14" s="166"/>
      <c r="G14" s="257">
        <f t="shared" si="0"/>
        <v>0</v>
      </c>
    </row>
    <row r="15" spans="1:7" ht="24" customHeight="1" thickBot="1">
      <c r="A15" s="258" t="s">
        <v>501</v>
      </c>
      <c r="B15" s="259" t="s">
        <v>701</v>
      </c>
      <c r="C15" s="167"/>
      <c r="D15" s="167"/>
      <c r="E15" s="167"/>
      <c r="F15" s="167"/>
      <c r="G15" s="260">
        <f t="shared" si="0"/>
        <v>0</v>
      </c>
    </row>
    <row r="16" spans="1:7" s="168" customFormat="1" ht="24" customHeight="1" thickBot="1">
      <c r="A16" s="261" t="s">
        <v>502</v>
      </c>
      <c r="B16" s="262" t="s">
        <v>529</v>
      </c>
      <c r="C16" s="263">
        <f>SUM(C10:C15)</f>
        <v>0</v>
      </c>
      <c r="D16" s="263">
        <f>SUM(D10:D15)</f>
        <v>0</v>
      </c>
      <c r="E16" s="263">
        <f>SUM(E10:E15)</f>
        <v>0</v>
      </c>
      <c r="F16" s="263">
        <f>SUM(F10:F15)</f>
        <v>0</v>
      </c>
      <c r="G16" s="264">
        <f t="shared" si="0"/>
        <v>0</v>
      </c>
    </row>
    <row r="17" spans="1:7" s="163" customFormat="1" ht="12.75">
      <c r="A17" s="211"/>
      <c r="B17" s="211"/>
      <c r="C17" s="211"/>
      <c r="D17" s="211"/>
      <c r="E17" s="211"/>
      <c r="F17" s="211"/>
      <c r="G17" s="211"/>
    </row>
    <row r="18" spans="1:7" s="163" customFormat="1" ht="12.75">
      <c r="A18" s="211"/>
      <c r="B18" s="211"/>
      <c r="C18" s="211"/>
      <c r="D18" s="211"/>
      <c r="E18" s="211"/>
      <c r="F18" s="211"/>
      <c r="G18" s="211"/>
    </row>
    <row r="19" spans="1:7" s="163" customFormat="1" ht="12.75">
      <c r="A19" s="211"/>
      <c r="B19" s="211"/>
      <c r="C19" s="211"/>
      <c r="D19" s="211"/>
      <c r="E19" s="211"/>
      <c r="F19" s="211"/>
      <c r="G19" s="211"/>
    </row>
    <row r="20" spans="1:7" s="163" customFormat="1" ht="15.75">
      <c r="A20" s="162" t="s">
        <v>267</v>
      </c>
      <c r="B20" s="211"/>
      <c r="C20" s="211"/>
      <c r="D20" s="211"/>
      <c r="E20" s="211"/>
      <c r="F20" s="211"/>
      <c r="G20" s="211"/>
    </row>
    <row r="21" spans="1:7" s="163" customFormat="1" ht="12.75">
      <c r="A21" s="211"/>
      <c r="B21" s="211"/>
      <c r="C21" s="211"/>
      <c r="D21" s="211"/>
      <c r="E21" s="211"/>
      <c r="F21" s="211"/>
      <c r="G21" s="211"/>
    </row>
    <row r="22" spans="1:7" ht="12.75">
      <c r="A22" s="211"/>
      <c r="B22" s="211"/>
      <c r="C22" s="211"/>
      <c r="D22" s="211"/>
      <c r="E22" s="211"/>
      <c r="F22" s="211"/>
      <c r="G22" s="211"/>
    </row>
    <row r="23" spans="1:7" ht="12.75">
      <c r="A23" s="211"/>
      <c r="B23" s="211"/>
      <c r="C23" s="163"/>
      <c r="D23" s="163"/>
      <c r="E23" s="163"/>
      <c r="F23" s="163"/>
      <c r="G23" s="211"/>
    </row>
    <row r="24" spans="1:7" ht="13.5">
      <c r="A24" s="211"/>
      <c r="B24" s="211"/>
      <c r="C24" s="265"/>
      <c r="D24" s="266" t="s">
        <v>702</v>
      </c>
      <c r="E24" s="266"/>
      <c r="F24" s="265"/>
      <c r="G24" s="211"/>
    </row>
    <row r="25" spans="3:6" ht="13.5">
      <c r="C25" s="169"/>
      <c r="D25" s="170"/>
      <c r="E25" s="170"/>
      <c r="F25" s="169"/>
    </row>
    <row r="26" spans="3:6" ht="13.5">
      <c r="C26" s="169"/>
      <c r="D26" s="170"/>
      <c r="E26" s="170"/>
      <c r="F26" s="169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1/2017. (II.7.)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">
      <selection activeCell="F87" sqref="F87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6" width="21.625" style="377" customWidth="1"/>
    <col min="7" max="16384" width="9.375" style="399" customWidth="1"/>
  </cols>
  <sheetData>
    <row r="1" spans="1:6" ht="15.75" customHeight="1">
      <c r="A1" s="1136" t="s">
        <v>493</v>
      </c>
      <c r="B1" s="1136"/>
      <c r="C1" s="1136"/>
      <c r="D1" s="399"/>
      <c r="E1" s="399"/>
      <c r="F1" s="399"/>
    </row>
    <row r="2" spans="1:6" ht="15.75" customHeight="1" thickBot="1">
      <c r="A2" s="1135" t="s">
        <v>628</v>
      </c>
      <c r="B2" s="1135"/>
      <c r="C2" s="305"/>
      <c r="D2" s="305"/>
      <c r="E2" s="305"/>
      <c r="F2" s="305"/>
    </row>
    <row r="3" spans="1:6" ht="37.5" customHeight="1" thickBot="1">
      <c r="A3" s="21" t="s">
        <v>549</v>
      </c>
      <c r="B3" s="22" t="s">
        <v>495</v>
      </c>
      <c r="C3" s="37" t="s">
        <v>401</v>
      </c>
      <c r="D3" s="37" t="s">
        <v>864</v>
      </c>
      <c r="E3" s="37" t="s">
        <v>891</v>
      </c>
      <c r="F3" s="37" t="s">
        <v>897</v>
      </c>
    </row>
    <row r="4" spans="1:6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  <c r="F4" s="396">
        <v>6</v>
      </c>
    </row>
    <row r="5" spans="1:6" s="401" customFormat="1" ht="12" customHeight="1" thickBot="1">
      <c r="A5" s="18" t="s">
        <v>496</v>
      </c>
      <c r="B5" s="19" t="s">
        <v>737</v>
      </c>
      <c r="C5" s="296">
        <f>+C6+C7+C8+C9+C10+C11</f>
        <v>293199529</v>
      </c>
      <c r="D5" s="296">
        <f>+D6+D7+D8+D9+D10+D11</f>
        <v>299307851</v>
      </c>
      <c r="E5" s="296">
        <f>+E6+E7+E8+E9+E10+E11</f>
        <v>307338878</v>
      </c>
      <c r="F5" s="296">
        <f>+F6+F7+F8+F9+F10+F11</f>
        <v>321401399</v>
      </c>
    </row>
    <row r="6" spans="1:6" s="401" customFormat="1" ht="12" customHeight="1">
      <c r="A6" s="13" t="s">
        <v>579</v>
      </c>
      <c r="B6" s="402" t="s">
        <v>738</v>
      </c>
      <c r="C6" s="299">
        <f>'1.1.melléklet'!C6-'1.3.melléklet'!C6-'1.4.melléklet'!C6</f>
        <v>26883797</v>
      </c>
      <c r="D6" s="299">
        <f>'1.1.melléklet'!D6-'1.3.melléklet'!D6-'1.4.melléklet'!D6</f>
        <v>27061589</v>
      </c>
      <c r="E6" s="299">
        <f>'1.1.melléklet'!E6-'1.3.melléklet'!E6-'1.4.melléklet'!E6</f>
        <v>27061589</v>
      </c>
      <c r="F6" s="299">
        <v>27061589</v>
      </c>
    </row>
    <row r="7" spans="1:6" s="401" customFormat="1" ht="12" customHeight="1">
      <c r="A7" s="12" t="s">
        <v>580</v>
      </c>
      <c r="B7" s="403" t="s">
        <v>739</v>
      </c>
      <c r="C7" s="299">
        <f>'1.1.melléklet'!C7-'1.3.melléklet'!C7-'1.4.melléklet'!C7</f>
        <v>123139166</v>
      </c>
      <c r="D7" s="299">
        <f>'1.1.melléklet'!D7-'1.3.melléklet'!D7-'1.4.melléklet'!D7</f>
        <v>123139166</v>
      </c>
      <c r="E7" s="299">
        <f>'1.1.melléklet'!E7-'1.3.melléklet'!E7-'1.4.melléklet'!E7</f>
        <v>123139166</v>
      </c>
      <c r="F7" s="299">
        <f>'1.1.melléklet'!F7-'1.3.melléklet'!F7-'1.4.melléklet'!F7</f>
        <v>123139166</v>
      </c>
    </row>
    <row r="8" spans="1:6" s="401" customFormat="1" ht="12" customHeight="1">
      <c r="A8" s="12" t="s">
        <v>581</v>
      </c>
      <c r="B8" s="403" t="s">
        <v>740</v>
      </c>
      <c r="C8" s="299">
        <f>'1.1.melléklet'!C8-'1.3.melléklet'!C8-'1.4.melléklet'!C8</f>
        <v>136398531</v>
      </c>
      <c r="D8" s="299">
        <f>'1.1.melléklet'!D8-'1.3.melléklet'!D8-'1.4.melléklet'!D8</f>
        <v>136398531</v>
      </c>
      <c r="E8" s="299">
        <f>'1.1.melléklet'!E8-'1.3.melléklet'!E8-'1.4.melléklet'!E8</f>
        <v>136398531</v>
      </c>
      <c r="F8" s="299">
        <f>'1.1.melléklet'!F8-'1.3.melléklet'!F8-'1.4.melléklet'!F8</f>
        <v>144294961</v>
      </c>
    </row>
    <row r="9" spans="1:6" s="401" customFormat="1" ht="12" customHeight="1">
      <c r="A9" s="12" t="s">
        <v>582</v>
      </c>
      <c r="B9" s="403" t="s">
        <v>741</v>
      </c>
      <c r="C9" s="299">
        <f>'1.1.melléklet'!C9-'1.3.melléklet'!C9-'1.4.melléklet'!C9</f>
        <v>6271140</v>
      </c>
      <c r="D9" s="299">
        <f>'1.1.melléklet'!D9-'1.3.melléklet'!D9-'1.4.melléklet'!D9</f>
        <v>6271140</v>
      </c>
      <c r="E9" s="299">
        <f>'1.1.melléklet'!E9-'1.3.melléklet'!E9-'1.4.melléklet'!E9</f>
        <v>6271140</v>
      </c>
      <c r="F9" s="299">
        <f>'1.1.melléklet'!F9-'1.3.melléklet'!F9-'1.4.melléklet'!F9</f>
        <v>6271140</v>
      </c>
    </row>
    <row r="10" spans="1:6" s="401" customFormat="1" ht="12" customHeight="1">
      <c r="A10" s="12" t="s">
        <v>624</v>
      </c>
      <c r="B10" s="403" t="s">
        <v>742</v>
      </c>
      <c r="C10" s="299">
        <f>'1.1.melléklet'!C10-'1.3.melléklet'!C10-'1.4.melléklet'!C10</f>
        <v>506895</v>
      </c>
      <c r="D10" s="299">
        <f>'1.1.melléklet'!D10-'1.3.melléklet'!D10-'1.4.melléklet'!D10</f>
        <v>2078807</v>
      </c>
      <c r="E10" s="299">
        <f>'1.1.melléklet'!E10-'1.3.melléklet'!E10-'1.4.melléklet'!E10</f>
        <v>3244151</v>
      </c>
      <c r="F10" s="299">
        <f>'1.1.melléklet'!F10-'1.3.melléklet'!F10-'1.4.melléklet'!F10</f>
        <v>4394977</v>
      </c>
    </row>
    <row r="11" spans="1:6" s="401" customFormat="1" ht="12" customHeight="1" thickBot="1">
      <c r="A11" s="14" t="s">
        <v>583</v>
      </c>
      <c r="B11" s="404" t="s">
        <v>743</v>
      </c>
      <c r="C11" s="895">
        <f>'1.1.melléklet'!C11-'1.3.melléklet'!C11-'1.4.melléklet'!C11</f>
        <v>0</v>
      </c>
      <c r="D11" s="895">
        <f>'1.1.melléklet'!D11-'1.3.melléklet'!D11-'1.4.melléklet'!D11</f>
        <v>4358618</v>
      </c>
      <c r="E11" s="895">
        <f>'1.1.melléklet'!E11-'1.3.melléklet'!E11-'1.4.melléklet'!E11</f>
        <v>11224301</v>
      </c>
      <c r="F11" s="895">
        <f>'1.1.melléklet'!F11-'1.3.melléklet'!F11-'1.4.melléklet'!F11</f>
        <v>16239566</v>
      </c>
    </row>
    <row r="12" spans="1:6" s="401" customFormat="1" ht="12" customHeight="1" thickBot="1">
      <c r="A12" s="18" t="s">
        <v>497</v>
      </c>
      <c r="B12" s="291" t="s">
        <v>744</v>
      </c>
      <c r="C12" s="896">
        <f>'1.1.melléklet'!C12-'1.3.melléklet'!C12-'1.4.melléklet'!C12</f>
        <v>10280000</v>
      </c>
      <c r="D12" s="896">
        <f>'1.1.melléklet'!D12-'1.3.melléklet'!D12-'1.4.melléklet'!D12</f>
        <v>15641485</v>
      </c>
      <c r="E12" s="896">
        <f>'1.1.melléklet'!E12-'1.3.melléklet'!E12-'1.4.melléklet'!E12</f>
        <v>20180814</v>
      </c>
      <c r="F12" s="896">
        <f>'1.1.melléklet'!F12-'1.3.melléklet'!F12-'1.4.melléklet'!F12</f>
        <v>24232699</v>
      </c>
    </row>
    <row r="13" spans="1:6" s="401" customFormat="1" ht="12" customHeight="1">
      <c r="A13" s="13" t="s">
        <v>585</v>
      </c>
      <c r="B13" s="402" t="s">
        <v>745</v>
      </c>
      <c r="C13" s="299">
        <f>'1.1.melléklet'!C13-'1.3.melléklet'!C13-'1.4.melléklet'!C13</f>
        <v>0</v>
      </c>
      <c r="D13" s="299">
        <f>'1.1.melléklet'!D13-'1.3.melléklet'!D13-'1.4.melléklet'!D13</f>
        <v>0</v>
      </c>
      <c r="E13" s="299">
        <f>'1.1.melléklet'!E13-'1.3.melléklet'!E13-'1.4.melléklet'!E13</f>
        <v>0</v>
      </c>
      <c r="F13" s="299">
        <f>'1.1.melléklet'!F13-'1.3.melléklet'!F13-'1.4.melléklet'!F13</f>
        <v>0</v>
      </c>
    </row>
    <row r="14" spans="1:6" s="401" customFormat="1" ht="12" customHeight="1">
      <c r="A14" s="12" t="s">
        <v>586</v>
      </c>
      <c r="B14" s="403" t="s">
        <v>746</v>
      </c>
      <c r="C14" s="299">
        <f>'1.1.melléklet'!C14-'1.3.melléklet'!C14-'1.4.melléklet'!C14</f>
        <v>0</v>
      </c>
      <c r="D14" s="299">
        <f>'1.1.melléklet'!D14-'1.3.melléklet'!D14-'1.4.melléklet'!D14</f>
        <v>0</v>
      </c>
      <c r="E14" s="299">
        <f>'1.1.melléklet'!E14-'1.3.melléklet'!E14-'1.4.melléklet'!E14</f>
        <v>0</v>
      </c>
      <c r="F14" s="299">
        <f>'1.1.melléklet'!F14-'1.3.melléklet'!F14-'1.4.melléklet'!F14</f>
        <v>0</v>
      </c>
    </row>
    <row r="15" spans="1:6" s="401" customFormat="1" ht="12" customHeight="1">
      <c r="A15" s="12" t="s">
        <v>587</v>
      </c>
      <c r="B15" s="403" t="s">
        <v>314</v>
      </c>
      <c r="C15" s="299">
        <f>'1.1.melléklet'!C15-'1.3.melléklet'!C15-'1.4.melléklet'!C15</f>
        <v>10280000</v>
      </c>
      <c r="D15" s="299">
        <f>'1.1.melléklet'!D15-'1.3.melléklet'!D15-'1.4.melléklet'!D15</f>
        <v>10280000</v>
      </c>
      <c r="E15" s="299">
        <f>'1.1.melléklet'!E15-'1.3.melléklet'!E15-'1.4.melléklet'!E15</f>
        <v>10280000</v>
      </c>
      <c r="F15" s="299">
        <f>'1.1.melléklet'!F15-'1.3.melléklet'!F15-'1.4.melléklet'!F15</f>
        <v>10280000</v>
      </c>
    </row>
    <row r="16" spans="1:6" s="401" customFormat="1" ht="12" customHeight="1">
      <c r="A16" s="12" t="s">
        <v>588</v>
      </c>
      <c r="B16" s="403" t="s">
        <v>315</v>
      </c>
      <c r="C16" s="299">
        <f>'1.1.melléklet'!C16-'1.3.melléklet'!C16-'1.4.melléklet'!C16</f>
        <v>0</v>
      </c>
      <c r="D16" s="299">
        <f>'1.1.melléklet'!D16-'1.3.melléklet'!D16-'1.4.melléklet'!D16</f>
        <v>0</v>
      </c>
      <c r="E16" s="299">
        <f>'1.1.melléklet'!E16-'1.3.melléklet'!E16-'1.4.melléklet'!E16</f>
        <v>807050</v>
      </c>
      <c r="F16" s="299">
        <f>'1.1.melléklet'!F16-'1.3.melléklet'!F16-'1.4.melléklet'!F16</f>
        <v>1706575</v>
      </c>
    </row>
    <row r="17" spans="1:6" s="401" customFormat="1" ht="12" customHeight="1">
      <c r="A17" s="12" t="s">
        <v>589</v>
      </c>
      <c r="B17" s="403" t="s">
        <v>316</v>
      </c>
      <c r="C17" s="299">
        <f>'1.1.melléklet'!C17-'1.3.melléklet'!C17-'1.4.melléklet'!C17</f>
        <v>0</v>
      </c>
      <c r="D17" s="299">
        <f>'1.1.melléklet'!D17-'1.3.melléklet'!D17-'1.4.melléklet'!D17</f>
        <v>5361485</v>
      </c>
      <c r="E17" s="299">
        <f>'1.1.melléklet'!E17-'1.3.melléklet'!E17-'1.4.melléklet'!E17</f>
        <v>9093764</v>
      </c>
      <c r="F17" s="299">
        <f>'1.1.melléklet'!F17-'1.3.melléklet'!F17-'1.4.melléklet'!F17</f>
        <v>12246124</v>
      </c>
    </row>
    <row r="18" spans="1:6" s="401" customFormat="1" ht="12" customHeight="1" thickBot="1">
      <c r="A18" s="14" t="s">
        <v>598</v>
      </c>
      <c r="B18" s="404" t="s">
        <v>748</v>
      </c>
      <c r="C18" s="895">
        <f>'1.1.melléklet'!C18-'1.3.melléklet'!C18-'1.4.melléklet'!C18</f>
        <v>0</v>
      </c>
      <c r="D18" s="895">
        <f>'1.1.melléklet'!D18-'1.3.melléklet'!D18-'1.4.melléklet'!D18</f>
        <v>0</v>
      </c>
      <c r="E18" s="895">
        <f>'1.1.melléklet'!E18-'1.3.melléklet'!E18-'1.4.melléklet'!E18</f>
        <v>0</v>
      </c>
      <c r="F18" s="895">
        <f>'1.1.melléklet'!F18-'1.3.melléklet'!F18-'1.4.melléklet'!F18</f>
        <v>0</v>
      </c>
    </row>
    <row r="19" spans="1:6" s="401" customFormat="1" ht="12" customHeight="1" thickBot="1">
      <c r="A19" s="18" t="s">
        <v>498</v>
      </c>
      <c r="B19" s="19" t="s">
        <v>749</v>
      </c>
      <c r="C19" s="896">
        <f>'1.1.melléklet'!C19-'1.3.melléklet'!C19-'1.4.melléklet'!C19</f>
        <v>157449027</v>
      </c>
      <c r="D19" s="896">
        <f>'1.1.melléklet'!D19-'1.3.melléklet'!D19-'1.4.melléklet'!D19</f>
        <v>157449027</v>
      </c>
      <c r="E19" s="896">
        <f>'1.1.melléklet'!E19-'1.3.melléklet'!E19-'1.4.melléklet'!E19</f>
        <v>682351933</v>
      </c>
      <c r="F19" s="896">
        <f>'1.1.melléklet'!F19-'1.3.melléklet'!F19-'1.4.melléklet'!F19</f>
        <v>682351933</v>
      </c>
    </row>
    <row r="20" spans="1:6" s="401" customFormat="1" ht="12" customHeight="1">
      <c r="A20" s="13" t="s">
        <v>568</v>
      </c>
      <c r="B20" s="402" t="s">
        <v>750</v>
      </c>
      <c r="C20" s="299">
        <f>'1.1.melléklet'!C20-'1.3.melléklet'!C20-'1.4.melléklet'!C20</f>
        <v>0</v>
      </c>
      <c r="D20" s="299">
        <f>'1.1.melléklet'!D20-'1.3.melléklet'!D20-'1.4.melléklet'!D20</f>
        <v>0</v>
      </c>
      <c r="E20" s="299">
        <f>'1.1.melléklet'!E20-'1.3.melléklet'!E20-'1.4.melléklet'!E20</f>
        <v>0</v>
      </c>
      <c r="F20" s="299">
        <f>'1.1.melléklet'!F20-'1.3.melléklet'!F20-'1.4.melléklet'!F20</f>
        <v>0</v>
      </c>
    </row>
    <row r="21" spans="1:6" s="401" customFormat="1" ht="12" customHeight="1">
      <c r="A21" s="12" t="s">
        <v>569</v>
      </c>
      <c r="B21" s="403" t="s">
        <v>751</v>
      </c>
      <c r="C21" s="299">
        <f>'1.1.melléklet'!C21-'1.3.melléklet'!C21-'1.4.melléklet'!C21</f>
        <v>0</v>
      </c>
      <c r="D21" s="299">
        <f>'1.1.melléklet'!D21-'1.3.melléklet'!D21-'1.4.melléklet'!D21</f>
        <v>0</v>
      </c>
      <c r="E21" s="299">
        <f>'1.1.melléklet'!E21-'1.3.melléklet'!E21-'1.4.melléklet'!E21</f>
        <v>0</v>
      </c>
      <c r="F21" s="299">
        <f>'1.1.melléklet'!F21-'1.3.melléklet'!F21-'1.4.melléklet'!F21</f>
        <v>0</v>
      </c>
    </row>
    <row r="22" spans="1:6" s="401" customFormat="1" ht="12" customHeight="1">
      <c r="A22" s="12" t="s">
        <v>570</v>
      </c>
      <c r="B22" s="403" t="s">
        <v>151</v>
      </c>
      <c r="C22" s="299">
        <f>'1.1.melléklet'!C22-'1.3.melléklet'!C22-'1.4.melléklet'!C22</f>
        <v>0</v>
      </c>
      <c r="D22" s="299">
        <f>'1.1.melléklet'!D22-'1.3.melléklet'!D22-'1.4.melléklet'!D22</f>
        <v>0</v>
      </c>
      <c r="E22" s="299">
        <f>'1.1.melléklet'!E22-'1.3.melléklet'!E22-'1.4.melléklet'!E22</f>
        <v>0</v>
      </c>
      <c r="F22" s="299">
        <f>'1.1.melléklet'!F22-'1.3.melléklet'!F22-'1.4.melléklet'!F22</f>
        <v>0</v>
      </c>
    </row>
    <row r="23" spans="1:6" s="401" customFormat="1" ht="12" customHeight="1">
      <c r="A23" s="12" t="s">
        <v>571</v>
      </c>
      <c r="B23" s="403" t="s">
        <v>305</v>
      </c>
      <c r="C23" s="299">
        <f>'1.1.melléklet'!C23-'1.3.melléklet'!C23-'1.4.melléklet'!C23</f>
        <v>133390721</v>
      </c>
      <c r="D23" s="299">
        <f>'1.1.melléklet'!D23-'1.3.melléklet'!D23-'1.4.melléklet'!D23</f>
        <v>133390721</v>
      </c>
      <c r="E23" s="299">
        <f>'1.1.melléklet'!E23-'1.3.melléklet'!E23-'1.4.melléklet'!E23</f>
        <v>658293627</v>
      </c>
      <c r="F23" s="299">
        <f>'1.1.melléklet'!F23-'1.3.melléklet'!F23-'1.4.melléklet'!F23</f>
        <v>658293627</v>
      </c>
    </row>
    <row r="24" spans="1:6" s="401" customFormat="1" ht="12" customHeight="1">
      <c r="A24" s="12" t="s">
        <v>647</v>
      </c>
      <c r="B24" s="403" t="s">
        <v>861</v>
      </c>
      <c r="C24" s="299">
        <f>'1.1.melléklet'!C24-'1.3.melléklet'!C24-'1.4.melléklet'!C24</f>
        <v>24058306</v>
      </c>
      <c r="D24" s="299">
        <f>'1.1.melléklet'!D24-'1.3.melléklet'!D24-'1.4.melléklet'!D24</f>
        <v>24058306</v>
      </c>
      <c r="E24" s="299">
        <f>'1.1.melléklet'!E24-'1.3.melléklet'!E24-'1.4.melléklet'!E24</f>
        <v>24058306</v>
      </c>
      <c r="F24" s="299">
        <f>'1.1.melléklet'!F24-'1.3.melléklet'!F24-'1.4.melléklet'!F24</f>
        <v>24058306</v>
      </c>
    </row>
    <row r="25" spans="1:6" s="401" customFormat="1" ht="12" customHeight="1" thickBot="1">
      <c r="A25" s="14" t="s">
        <v>648</v>
      </c>
      <c r="B25" s="404" t="s">
        <v>753</v>
      </c>
      <c r="C25" s="895">
        <f>'1.1.melléklet'!C25-'1.3.melléklet'!C25-'1.4.melléklet'!C25</f>
        <v>0</v>
      </c>
      <c r="D25" s="895">
        <f>'1.1.melléklet'!D25-'1.3.melléklet'!D25-'1.4.melléklet'!D25</f>
        <v>0</v>
      </c>
      <c r="E25" s="895">
        <f>'1.1.melléklet'!E25-'1.3.melléklet'!E25-'1.4.melléklet'!E25</f>
        <v>0</v>
      </c>
      <c r="F25" s="895">
        <f>'1.1.melléklet'!F25-'1.3.melléklet'!F25-'1.4.melléklet'!F25</f>
        <v>0</v>
      </c>
    </row>
    <row r="26" spans="1:6" s="401" customFormat="1" ht="12" customHeight="1" thickBot="1">
      <c r="A26" s="18" t="s">
        <v>649</v>
      </c>
      <c r="B26" s="19" t="s">
        <v>754</v>
      </c>
      <c r="C26" s="896">
        <f>'1.1.melléklet'!C26-'1.3.melléklet'!C26-'1.4.melléklet'!C26</f>
        <v>145800000</v>
      </c>
      <c r="D26" s="896">
        <f>'1.1.melléklet'!D26-'1.3.melléklet'!D26-'1.4.melléklet'!D26</f>
        <v>145800000</v>
      </c>
      <c r="E26" s="896">
        <f>'1.1.melléklet'!E26-'1.3.melléklet'!E26-'1.4.melléklet'!E26</f>
        <v>145800000</v>
      </c>
      <c r="F26" s="896">
        <f>'1.1.melléklet'!F26-'1.3.melléklet'!F26-'1.4.melléklet'!F26</f>
        <v>151250000</v>
      </c>
    </row>
    <row r="27" spans="1:6" s="401" customFormat="1" ht="12" customHeight="1">
      <c r="A27" s="13" t="s">
        <v>755</v>
      </c>
      <c r="B27" s="402" t="s">
        <v>761</v>
      </c>
      <c r="C27" s="299">
        <f>'1.1.melléklet'!C27-'1.3.melléklet'!C27-'1.4.melléklet'!C27</f>
        <v>125800000</v>
      </c>
      <c r="D27" s="299">
        <f>'1.1.melléklet'!D27-'1.3.melléklet'!D27-'1.4.melléklet'!D27</f>
        <v>125800000</v>
      </c>
      <c r="E27" s="299">
        <f>'1.1.melléklet'!E27-'1.3.melléklet'!E27-'1.4.melléklet'!E27</f>
        <v>125800000</v>
      </c>
      <c r="F27" s="299">
        <f>'1.1.melléklet'!F27-'1.3.melléklet'!F27-'1.4.melléklet'!F27</f>
        <v>125800000</v>
      </c>
    </row>
    <row r="28" spans="1:6" s="401" customFormat="1" ht="12" customHeight="1">
      <c r="A28" s="12" t="s">
        <v>756</v>
      </c>
      <c r="B28" s="633" t="s">
        <v>307</v>
      </c>
      <c r="C28" s="299">
        <f>'1.1.melléklet'!C28-'1.3.melléklet'!C28-'1.4.melléklet'!C28</f>
        <v>5800000</v>
      </c>
      <c r="D28" s="299">
        <f>'1.1.melléklet'!D28-'1.3.melléklet'!D28-'1.4.melléklet'!D28</f>
        <v>5800000</v>
      </c>
      <c r="E28" s="299">
        <f>'1.1.melléklet'!E28-'1.3.melléklet'!E28-'1.4.melléklet'!E28</f>
        <v>5800000</v>
      </c>
      <c r="F28" s="299">
        <f>'1.1.melléklet'!F28-'1.3.melléklet'!F28-'1.4.melléklet'!F28</f>
        <v>5800000</v>
      </c>
    </row>
    <row r="29" spans="1:6" s="401" customFormat="1" ht="12" customHeight="1">
      <c r="A29" s="12" t="s">
        <v>757</v>
      </c>
      <c r="B29" s="633" t="s">
        <v>308</v>
      </c>
      <c r="C29" s="299">
        <f>'1.1.melléklet'!C29-'1.3.melléklet'!C29-'1.4.melléklet'!C29</f>
        <v>120000000</v>
      </c>
      <c r="D29" s="299">
        <f>'1.1.melléklet'!D29-'1.3.melléklet'!D29-'1.4.melléklet'!D29</f>
        <v>120000000</v>
      </c>
      <c r="E29" s="299">
        <f>'1.1.melléklet'!E29-'1.3.melléklet'!E29-'1.4.melléklet'!E29</f>
        <v>120000000</v>
      </c>
      <c r="F29" s="299">
        <f>'1.1.melléklet'!F29-'1.3.melléklet'!F29-'1.4.melléklet'!F29</f>
        <v>120000000</v>
      </c>
    </row>
    <row r="30" spans="1:6" s="401" customFormat="1" ht="12" customHeight="1">
      <c r="A30" s="12" t="s">
        <v>758</v>
      </c>
      <c r="B30" s="403" t="s">
        <v>764</v>
      </c>
      <c r="C30" s="299">
        <f>'1.1.melléklet'!C30-'1.3.melléklet'!C30-'1.4.melléklet'!C30</f>
        <v>18000000</v>
      </c>
      <c r="D30" s="299">
        <f>'1.1.melléklet'!D30-'1.3.melléklet'!D30-'1.4.melléklet'!D30</f>
        <v>18000000</v>
      </c>
      <c r="E30" s="299">
        <f>'1.1.melléklet'!E30-'1.3.melléklet'!E30-'1.4.melléklet'!E30</f>
        <v>18000000</v>
      </c>
      <c r="F30" s="299">
        <f>'1.1.melléklet'!F30-'1.3.melléklet'!F30-'1.4.melléklet'!F30</f>
        <v>20000000</v>
      </c>
    </row>
    <row r="31" spans="1:6" s="401" customFormat="1" ht="12" customHeight="1">
      <c r="A31" s="12" t="s">
        <v>759</v>
      </c>
      <c r="B31" s="403" t="s">
        <v>765</v>
      </c>
      <c r="C31" s="299">
        <f>'1.1.melléklet'!C31-'1.3.melléklet'!C31-'1.4.melléklet'!C31</f>
        <v>300000</v>
      </c>
      <c r="D31" s="299">
        <f>'1.1.melléklet'!D31-'1.3.melléklet'!D31-'1.4.melléklet'!D31</f>
        <v>300000</v>
      </c>
      <c r="E31" s="299">
        <f>'1.1.melléklet'!E31-'1.3.melléklet'!E31-'1.4.melléklet'!E31</f>
        <v>300000</v>
      </c>
      <c r="F31" s="299">
        <f>'1.1.melléklet'!F31-'1.3.melléklet'!F31-'1.4.melléklet'!F31</f>
        <v>750000</v>
      </c>
    </row>
    <row r="32" spans="1:6" s="401" customFormat="1" ht="12" customHeight="1">
      <c r="A32" s="14" t="s">
        <v>760</v>
      </c>
      <c r="B32" s="404" t="s">
        <v>276</v>
      </c>
      <c r="C32" s="299">
        <f>'1.1.melléklet'!C32-'1.3.melléklet'!C32-'1.4.melléklet'!C32</f>
        <v>900000</v>
      </c>
      <c r="D32" s="299">
        <f>'1.1.melléklet'!D32-'1.3.melléklet'!D32-'1.4.melléklet'!D32</f>
        <v>900000</v>
      </c>
      <c r="E32" s="299">
        <f>'1.1.melléklet'!E32-'1.3.melléklet'!E32-'1.4.melléklet'!E32</f>
        <v>900000</v>
      </c>
      <c r="F32" s="299">
        <f>'1.1.melléklet'!F32-'1.3.melléklet'!F32-'1.4.melléklet'!F32</f>
        <v>2500000</v>
      </c>
    </row>
    <row r="33" spans="1:6" s="401" customFormat="1" ht="12" customHeight="1" thickBot="1">
      <c r="A33" s="14" t="s">
        <v>274</v>
      </c>
      <c r="B33" s="404" t="s">
        <v>766</v>
      </c>
      <c r="C33" s="895"/>
      <c r="D33" s="895"/>
      <c r="E33" s="895"/>
      <c r="F33" s="895"/>
    </row>
    <row r="34" spans="1:6" s="401" customFormat="1" ht="12" customHeight="1" thickBot="1">
      <c r="A34" s="18" t="s">
        <v>500</v>
      </c>
      <c r="B34" s="19" t="s">
        <v>767</v>
      </c>
      <c r="C34" s="896">
        <f>C36+C37+C38+C39:D39+C40:D40+C42+C41+C44</f>
        <v>112661900</v>
      </c>
      <c r="D34" s="896">
        <f>D36+D37+D38+D39:E39+D40:E40+D42+D41+D44</f>
        <v>112661900</v>
      </c>
      <c r="E34" s="896">
        <f>E36+E37+E38+E39:F39+E40:F40+E42+E41+E44</f>
        <v>117706714</v>
      </c>
      <c r="F34" s="896">
        <f>F36+F37+F38+F39:G39+F40:G40+F42+F41+F44</f>
        <v>159642387</v>
      </c>
    </row>
    <row r="35" spans="1:6" s="401" customFormat="1" ht="12" customHeight="1">
      <c r="A35" s="13" t="s">
        <v>572</v>
      </c>
      <c r="B35" s="402" t="s">
        <v>770</v>
      </c>
      <c r="C35" s="299"/>
      <c r="D35" s="299"/>
      <c r="E35" s="299"/>
      <c r="F35" s="299"/>
    </row>
    <row r="36" spans="1:6" s="401" customFormat="1" ht="12" customHeight="1">
      <c r="A36" s="12" t="s">
        <v>573</v>
      </c>
      <c r="B36" s="403" t="s">
        <v>771</v>
      </c>
      <c r="C36" s="299">
        <v>7350000</v>
      </c>
      <c r="D36" s="299">
        <v>7350000</v>
      </c>
      <c r="E36" s="299">
        <v>11009770</v>
      </c>
      <c r="F36" s="299">
        <v>11602050</v>
      </c>
    </row>
    <row r="37" spans="1:6" s="401" customFormat="1" ht="12" customHeight="1">
      <c r="A37" s="12" t="s">
        <v>574</v>
      </c>
      <c r="B37" s="403" t="s">
        <v>772</v>
      </c>
      <c r="C37" s="299">
        <f>'1.1.melléklet'!C37-'1.3.melléklet'!C37-'1.4.melléklet'!C37</f>
        <v>300000</v>
      </c>
      <c r="D37" s="299">
        <f>'1.1.melléklet'!D37-'1.3.melléklet'!D37-'1.4.melléklet'!D37</f>
        <v>300000</v>
      </c>
      <c r="E37" s="299">
        <v>300000</v>
      </c>
      <c r="F37" s="299">
        <v>300000</v>
      </c>
    </row>
    <row r="38" spans="1:6" s="401" customFormat="1" ht="12" customHeight="1">
      <c r="A38" s="12" t="s">
        <v>651</v>
      </c>
      <c r="B38" s="403" t="s">
        <v>773</v>
      </c>
      <c r="C38" s="299">
        <f>'1.1.melléklet'!C38-'1.3.melléklet'!C38-'1.4.melléklet'!C38</f>
        <v>3200000</v>
      </c>
      <c r="D38" s="299">
        <f>'1.1.melléklet'!D38-'1.3.melléklet'!D38-'1.4.melléklet'!D38</f>
        <v>3200000</v>
      </c>
      <c r="E38" s="299">
        <v>3200000</v>
      </c>
      <c r="F38" s="299">
        <v>3200000</v>
      </c>
    </row>
    <row r="39" spans="1:6" s="401" customFormat="1" ht="12" customHeight="1">
      <c r="A39" s="12" t="s">
        <v>652</v>
      </c>
      <c r="B39" s="403" t="s">
        <v>774</v>
      </c>
      <c r="C39" s="299">
        <f>'1.1.melléklet'!C39-'1.3.melléklet'!C39-'1.4.melléklet'!C39</f>
        <v>81231900</v>
      </c>
      <c r="D39" s="299">
        <f>'1.1.melléklet'!D39-'1.3.melléklet'!D39-'1.4.melléklet'!D39</f>
        <v>81231900</v>
      </c>
      <c r="E39" s="299">
        <v>81231900</v>
      </c>
      <c r="F39" s="299">
        <v>81231900</v>
      </c>
    </row>
    <row r="40" spans="1:6" s="401" customFormat="1" ht="12" customHeight="1">
      <c r="A40" s="12" t="s">
        <v>653</v>
      </c>
      <c r="B40" s="403" t="s">
        <v>775</v>
      </c>
      <c r="C40" s="299">
        <f>'1.1.melléklet'!C40-'1.3.melléklet'!C40-'1.4.melléklet'!C40</f>
        <v>3280000</v>
      </c>
      <c r="D40" s="299">
        <f>'1.1.melléklet'!D40-'1.3.melléklet'!D40-'1.4.melléklet'!D40</f>
        <v>3280000</v>
      </c>
      <c r="E40" s="299">
        <v>3280000</v>
      </c>
      <c r="F40" s="299">
        <v>3280000</v>
      </c>
    </row>
    <row r="41" spans="1:6" s="401" customFormat="1" ht="12" customHeight="1">
      <c r="A41" s="12" t="s">
        <v>654</v>
      </c>
      <c r="B41" s="403" t="s">
        <v>776</v>
      </c>
      <c r="C41" s="299">
        <f>'1.1.melléklet'!C41-'1.3.melléklet'!C41-'1.4.melléklet'!C41</f>
        <v>9300000</v>
      </c>
      <c r="D41" s="299">
        <f>'1.1.melléklet'!D41-'1.3.melléklet'!D41-'1.4.melléklet'!D41</f>
        <v>9300000</v>
      </c>
      <c r="E41" s="299">
        <v>9300000</v>
      </c>
      <c r="F41" s="299">
        <v>9300070</v>
      </c>
    </row>
    <row r="42" spans="1:6" s="401" customFormat="1" ht="12" customHeight="1">
      <c r="A42" s="12" t="s">
        <v>655</v>
      </c>
      <c r="B42" s="403" t="s">
        <v>777</v>
      </c>
      <c r="C42" s="299">
        <f>'1.1.melléklet'!C42-'1.3.melléklet'!C42-'1.4.melléklet'!C42</f>
        <v>1000000</v>
      </c>
      <c r="D42" s="299">
        <f>'1.1.melléklet'!D42-'1.3.melléklet'!D42-'1.4.melléklet'!D42</f>
        <v>1000000</v>
      </c>
      <c r="E42" s="299">
        <v>1000000</v>
      </c>
      <c r="F42" s="299">
        <v>42153820</v>
      </c>
    </row>
    <row r="43" spans="1:6" s="401" customFormat="1" ht="12" customHeight="1">
      <c r="A43" s="12" t="s">
        <v>768</v>
      </c>
      <c r="B43" s="403" t="s">
        <v>778</v>
      </c>
      <c r="C43" s="299">
        <f>'1.1.melléklet'!C43-'1.3.melléklet'!C43-'1.4.melléklet'!C43</f>
        <v>0</v>
      </c>
      <c r="D43" s="299">
        <f>'1.1.melléklet'!D43-'1.3.melléklet'!D43-'1.4.melléklet'!D43</f>
        <v>0</v>
      </c>
      <c r="E43" s="299">
        <f>'1.1.melléklet'!E43-'1.3.melléklet'!E43-'1.4.melléklet'!E43</f>
        <v>0</v>
      </c>
      <c r="F43" s="299">
        <f>'1.1.melléklet'!F43-'1.3.melléklet'!F43-'1.4.melléklet'!F43</f>
        <v>0</v>
      </c>
    </row>
    <row r="44" spans="1:6" s="401" customFormat="1" ht="12" customHeight="1" thickBot="1">
      <c r="A44" s="14" t="s">
        <v>769</v>
      </c>
      <c r="B44" s="404" t="s">
        <v>779</v>
      </c>
      <c r="C44" s="895">
        <f>'1.1.melléklet'!C44-'1.3.melléklet'!C44-'1.4.melléklet'!C44</f>
        <v>7000000</v>
      </c>
      <c r="D44" s="895">
        <f>'1.1.melléklet'!D44-'1.3.melléklet'!D44-'1.4.melléklet'!D44</f>
        <v>7000000</v>
      </c>
      <c r="E44" s="895">
        <f>'1.1.melléklet'!E44-'1.3.melléklet'!E44-'1.4.melléklet'!E44</f>
        <v>8385044</v>
      </c>
      <c r="F44" s="895">
        <f>'1.1.melléklet'!F44-'1.3.melléklet'!F44-'1.4.melléklet'!F44</f>
        <v>8574547</v>
      </c>
    </row>
    <row r="45" spans="1:6" s="401" customFormat="1" ht="12" customHeight="1" thickBot="1">
      <c r="A45" s="18" t="s">
        <v>501</v>
      </c>
      <c r="B45" s="19" t="s">
        <v>780</v>
      </c>
      <c r="C45" s="896">
        <f>'1.1.melléklet'!C45-'1.3.melléklet'!C45-'1.4.melléklet'!C45</f>
        <v>0</v>
      </c>
      <c r="D45" s="896">
        <f>'1.1.melléklet'!D45-'1.3.melléklet'!D45-'1.4.melléklet'!D45</f>
        <v>0</v>
      </c>
      <c r="E45" s="896">
        <f>'1.1.melléklet'!E45-'1.3.melléklet'!E45-'1.4.melléklet'!E45</f>
        <v>19403393</v>
      </c>
      <c r="F45" s="896">
        <f>'1.1.melléklet'!F45-'1.3.melléklet'!F45-'1.4.melléklet'!F45</f>
        <v>37183393</v>
      </c>
    </row>
    <row r="46" spans="1:6" s="401" customFormat="1" ht="12" customHeight="1">
      <c r="A46" s="13" t="s">
        <v>575</v>
      </c>
      <c r="B46" s="402" t="s">
        <v>784</v>
      </c>
      <c r="C46" s="299">
        <f>'1.1.melléklet'!C46-'1.3.melléklet'!C46-'1.4.melléklet'!C46</f>
        <v>0</v>
      </c>
      <c r="D46" s="299">
        <f>'1.1.melléklet'!D46-'1.3.melléklet'!D46-'1.4.melléklet'!D46</f>
        <v>0</v>
      </c>
      <c r="E46" s="299">
        <f>'1.1.melléklet'!E46-'1.3.melléklet'!E46-'1.4.melléklet'!E46</f>
        <v>0</v>
      </c>
      <c r="F46" s="299">
        <f>'1.1.melléklet'!F46-'1.3.melléklet'!F46-'1.4.melléklet'!F46</f>
        <v>0</v>
      </c>
    </row>
    <row r="47" spans="1:6" s="401" customFormat="1" ht="12" customHeight="1">
      <c r="A47" s="12" t="s">
        <v>576</v>
      </c>
      <c r="B47" s="403" t="s">
        <v>785</v>
      </c>
      <c r="C47" s="299">
        <f>'1.1.melléklet'!C47-'1.3.melléklet'!C47-'1.4.melléklet'!C47</f>
        <v>0</v>
      </c>
      <c r="D47" s="299">
        <f>'1.1.melléklet'!D47-'1.3.melléklet'!D47-'1.4.melléklet'!D47</f>
        <v>0</v>
      </c>
      <c r="E47" s="299">
        <f>'1.1.melléklet'!E47-'1.3.melléklet'!E47-'1.4.melléklet'!E47</f>
        <v>19403393</v>
      </c>
      <c r="F47" s="299">
        <f>'1.1.melléklet'!F47-'1.3.melléklet'!F47-'1.4.melléklet'!F47</f>
        <v>37183393</v>
      </c>
    </row>
    <row r="48" spans="1:6" s="401" customFormat="1" ht="12" customHeight="1">
      <c r="A48" s="12" t="s">
        <v>781</v>
      </c>
      <c r="B48" s="403" t="s">
        <v>786</v>
      </c>
      <c r="C48" s="299">
        <f>'1.1.melléklet'!C48-'1.3.melléklet'!C48-'1.4.melléklet'!C48</f>
        <v>0</v>
      </c>
      <c r="D48" s="299">
        <f>'1.1.melléklet'!D48-'1.3.melléklet'!D48-'1.4.melléklet'!D48</f>
        <v>0</v>
      </c>
      <c r="E48" s="299">
        <f>'1.1.melléklet'!E48-'1.3.melléklet'!E48-'1.4.melléklet'!E48</f>
        <v>0</v>
      </c>
      <c r="F48" s="299">
        <f>'1.1.melléklet'!F48-'1.3.melléklet'!F48-'1.4.melléklet'!F48</f>
        <v>0</v>
      </c>
    </row>
    <row r="49" spans="1:6" s="401" customFormat="1" ht="12" customHeight="1">
      <c r="A49" s="12" t="s">
        <v>782</v>
      </c>
      <c r="B49" s="403" t="s">
        <v>787</v>
      </c>
      <c r="C49" s="299">
        <f>'1.1.melléklet'!C49-'1.3.melléklet'!C49-'1.4.melléklet'!C49</f>
        <v>0</v>
      </c>
      <c r="D49" s="299">
        <f>'1.1.melléklet'!D49-'1.3.melléklet'!D49-'1.4.melléklet'!D49</f>
        <v>0</v>
      </c>
      <c r="E49" s="299">
        <f>'1.1.melléklet'!E49-'1.3.melléklet'!E49-'1.4.melléklet'!E49</f>
        <v>0</v>
      </c>
      <c r="F49" s="299">
        <f>'1.1.melléklet'!F49-'1.3.melléklet'!F49-'1.4.melléklet'!F49</f>
        <v>0</v>
      </c>
    </row>
    <row r="50" spans="1:6" s="401" customFormat="1" ht="12" customHeight="1" thickBot="1">
      <c r="A50" s="14" t="s">
        <v>783</v>
      </c>
      <c r="B50" s="404" t="s">
        <v>788</v>
      </c>
      <c r="C50" s="895">
        <f>'1.1.melléklet'!C50-'1.3.melléklet'!C50-'1.4.melléklet'!C50</f>
        <v>0</v>
      </c>
      <c r="D50" s="895">
        <f>'1.1.melléklet'!D50-'1.3.melléklet'!D50-'1.4.melléklet'!D50</f>
        <v>0</v>
      </c>
      <c r="E50" s="895">
        <f>'1.1.melléklet'!E50-'1.3.melléklet'!E50-'1.4.melléklet'!E50</f>
        <v>0</v>
      </c>
      <c r="F50" s="895">
        <f>'1.1.melléklet'!F50-'1.3.melléklet'!F50-'1.4.melléklet'!F50</f>
        <v>0</v>
      </c>
    </row>
    <row r="51" spans="1:6" s="401" customFormat="1" ht="12" customHeight="1" thickBot="1">
      <c r="A51" s="18" t="s">
        <v>656</v>
      </c>
      <c r="B51" s="19" t="s">
        <v>789</v>
      </c>
      <c r="C51" s="896">
        <f>'1.1.melléklet'!C51-'1.3.melléklet'!C51-'1.4.melléklet'!C51</f>
        <v>0</v>
      </c>
      <c r="D51" s="896">
        <v>2080298</v>
      </c>
      <c r="E51" s="896">
        <v>2380298</v>
      </c>
      <c r="F51" s="896">
        <v>2590298</v>
      </c>
    </row>
    <row r="52" spans="1:6" s="401" customFormat="1" ht="12" customHeight="1">
      <c r="A52" s="13" t="s">
        <v>577</v>
      </c>
      <c r="B52" s="402" t="s">
        <v>790</v>
      </c>
      <c r="C52" s="299">
        <f>'1.1.melléklet'!C52-'1.3.melléklet'!C52-'1.4.melléklet'!C52</f>
        <v>0</v>
      </c>
      <c r="D52" s="299"/>
      <c r="E52" s="299">
        <v>300000</v>
      </c>
      <c r="F52" s="299">
        <v>510000</v>
      </c>
    </row>
    <row r="53" spans="1:6" s="401" customFormat="1" ht="12" customHeight="1">
      <c r="A53" s="12" t="s">
        <v>578</v>
      </c>
      <c r="B53" s="403" t="s">
        <v>294</v>
      </c>
      <c r="C53" s="299">
        <f>'1.1.melléklet'!C53-'1.3.melléklet'!C53-'1.4.melléklet'!C53</f>
        <v>0</v>
      </c>
      <c r="D53" s="299">
        <v>1308533</v>
      </c>
      <c r="E53" s="299">
        <v>1308533</v>
      </c>
      <c r="F53" s="299">
        <v>1308533</v>
      </c>
    </row>
    <row r="54" spans="1:6" s="401" customFormat="1" ht="12" customHeight="1">
      <c r="A54" s="12" t="s">
        <v>793</v>
      </c>
      <c r="B54" s="403" t="s">
        <v>296</v>
      </c>
      <c r="C54" s="299">
        <f>'1.1.melléklet'!C54-'1.3.melléklet'!C54-'1.4.melléklet'!C54</f>
        <v>0</v>
      </c>
      <c r="D54" s="299">
        <v>771765</v>
      </c>
      <c r="E54" s="299">
        <v>771765</v>
      </c>
      <c r="F54" s="299">
        <v>771765</v>
      </c>
    </row>
    <row r="55" spans="1:6" s="401" customFormat="1" ht="12" customHeight="1" thickBot="1">
      <c r="A55" s="14" t="s">
        <v>794</v>
      </c>
      <c r="B55" s="404" t="s">
        <v>792</v>
      </c>
      <c r="C55" s="895">
        <f>'1.1.melléklet'!C55-'1.3.melléklet'!C55-'1.4.melléklet'!C55</f>
        <v>0</v>
      </c>
      <c r="D55" s="895"/>
      <c r="E55" s="895"/>
      <c r="F55" s="895"/>
    </row>
    <row r="56" spans="1:6" s="401" customFormat="1" ht="12" customHeight="1" thickBot="1">
      <c r="A56" s="18" t="s">
        <v>503</v>
      </c>
      <c r="B56" s="291" t="s">
        <v>795</v>
      </c>
      <c r="C56" s="896">
        <f>'1.1.melléklet'!C56-'1.3.melléklet'!C56-'1.4.melléklet'!C56</f>
        <v>0</v>
      </c>
      <c r="D56" s="896">
        <f>'1.1.melléklet'!D56-'1.3.melléklet'!D56-'1.4.melléklet'!D56</f>
        <v>0</v>
      </c>
      <c r="E56" s="896">
        <v>12600000</v>
      </c>
      <c r="F56" s="896">
        <f>F59</f>
        <v>22329585</v>
      </c>
    </row>
    <row r="57" spans="1:6" s="401" customFormat="1" ht="12" customHeight="1">
      <c r="A57" s="13" t="s">
        <v>657</v>
      </c>
      <c r="B57" s="402" t="s">
        <v>797</v>
      </c>
      <c r="C57" s="299">
        <f>'1.1.melléklet'!C57-'1.3.melléklet'!C57-'1.4.melléklet'!C57</f>
        <v>0</v>
      </c>
      <c r="D57" s="299">
        <f>'1.1.melléklet'!D57-'1.3.melléklet'!D57-'1.4.melléklet'!D57</f>
        <v>0</v>
      </c>
      <c r="E57" s="299"/>
      <c r="F57" s="299"/>
    </row>
    <row r="58" spans="1:6" s="401" customFormat="1" ht="12" customHeight="1">
      <c r="A58" s="12" t="s">
        <v>658</v>
      </c>
      <c r="B58" s="403" t="s">
        <v>154</v>
      </c>
      <c r="C58" s="299">
        <f>'1.1.melléklet'!C58-'1.3.melléklet'!C58-'1.4.melléklet'!C58</f>
        <v>0</v>
      </c>
      <c r="D58" s="299">
        <f>'1.1.melléklet'!D58-'1.3.melléklet'!D58-'1.4.melléklet'!D58</f>
        <v>0</v>
      </c>
      <c r="E58" s="299">
        <f>'1.1.melléklet'!E58-'1.3.melléklet'!E58-'1.4.melléklet'!E58</f>
        <v>0</v>
      </c>
      <c r="F58" s="299">
        <f>'1.1.melléklet'!F58-'1.3.melléklet'!F58-'1.4.melléklet'!F58</f>
        <v>0</v>
      </c>
    </row>
    <row r="59" spans="1:6" s="401" customFormat="1" ht="12" customHeight="1">
      <c r="A59" s="12" t="s">
        <v>709</v>
      </c>
      <c r="B59" s="403" t="s">
        <v>311</v>
      </c>
      <c r="C59" s="299"/>
      <c r="D59" s="299"/>
      <c r="E59" s="299">
        <v>12600000</v>
      </c>
      <c r="F59" s="299">
        <v>22329585</v>
      </c>
    </row>
    <row r="60" spans="1:6" s="401" customFormat="1" ht="12" customHeight="1" thickBot="1">
      <c r="A60" s="14" t="s">
        <v>796</v>
      </c>
      <c r="B60" s="404" t="s">
        <v>799</v>
      </c>
      <c r="C60" s="895"/>
      <c r="D60" s="895"/>
      <c r="E60" s="895"/>
      <c r="F60" s="895"/>
    </row>
    <row r="61" spans="1:6" s="401" customFormat="1" ht="12" customHeight="1" thickBot="1">
      <c r="A61" s="18" t="s">
        <v>504</v>
      </c>
      <c r="B61" s="19" t="s">
        <v>800</v>
      </c>
      <c r="C61" s="896">
        <f>C56+C51+C45+C34+C26+C19+C12+C5</f>
        <v>719390456</v>
      </c>
      <c r="D61" s="896">
        <f>D56+D51+D45+D34+D26+D19+D12+D5</f>
        <v>732940561</v>
      </c>
      <c r="E61" s="896">
        <f>E56+E51+E45+E34+E26+E19+E12+E5</f>
        <v>1307762030</v>
      </c>
      <c r="F61" s="896">
        <f>F56+F51+F45+F34+F26+F19+F12+F5</f>
        <v>1400981694</v>
      </c>
    </row>
    <row r="62" spans="1:6" s="401" customFormat="1" ht="12" customHeight="1" thickBot="1">
      <c r="A62" s="405" t="s">
        <v>801</v>
      </c>
      <c r="B62" s="291" t="s">
        <v>802</v>
      </c>
      <c r="C62" s="896"/>
      <c r="D62" s="896"/>
      <c r="E62" s="896"/>
      <c r="F62" s="896"/>
    </row>
    <row r="63" spans="1:6" s="401" customFormat="1" ht="12" customHeight="1">
      <c r="A63" s="13" t="s">
        <v>12</v>
      </c>
      <c r="B63" s="402" t="s">
        <v>803</v>
      </c>
      <c r="C63" s="299">
        <f>'1.1.melléklet'!C63-'1.3.melléklet'!C63-'1.4.melléklet'!C63</f>
        <v>0</v>
      </c>
      <c r="D63" s="299">
        <f>'1.1.melléklet'!D63-'1.3.melléklet'!D63-'1.4.melléklet'!D63</f>
        <v>0</v>
      </c>
      <c r="E63" s="299">
        <f>'1.1.melléklet'!E63-'1.3.melléklet'!E63-'1.4.melléklet'!E63</f>
        <v>0</v>
      </c>
      <c r="F63" s="299">
        <f>'1.1.melléklet'!F63-'1.3.melléklet'!F63-'1.4.melléklet'!F63</f>
        <v>0</v>
      </c>
    </row>
    <row r="64" spans="1:6" s="401" customFormat="1" ht="12" customHeight="1">
      <c r="A64" s="12" t="s">
        <v>21</v>
      </c>
      <c r="B64" s="403" t="s">
        <v>804</v>
      </c>
      <c r="C64" s="299">
        <f>'1.1.melléklet'!C64-'1.3.melléklet'!C64-'1.4.melléklet'!C64</f>
        <v>0</v>
      </c>
      <c r="D64" s="299">
        <f>'1.1.melléklet'!D64-'1.3.melléklet'!D64-'1.4.melléklet'!D64</f>
        <v>0</v>
      </c>
      <c r="E64" s="299">
        <f>'1.1.melléklet'!E64-'1.3.melléklet'!E64-'1.4.melléklet'!E64</f>
        <v>0</v>
      </c>
      <c r="F64" s="299">
        <f>'1.1.melléklet'!F64-'1.3.melléklet'!F64-'1.4.melléklet'!F64</f>
        <v>0</v>
      </c>
    </row>
    <row r="65" spans="1:6" s="401" customFormat="1" ht="12" customHeight="1" thickBot="1">
      <c r="A65" s="14" t="s">
        <v>22</v>
      </c>
      <c r="B65" s="406" t="s">
        <v>805</v>
      </c>
      <c r="C65" s="895">
        <f>'1.1.melléklet'!C65-'1.3.melléklet'!C65-'1.4.melléklet'!C65</f>
        <v>0</v>
      </c>
      <c r="D65" s="895">
        <f>'1.1.melléklet'!D65-'1.3.melléklet'!D65-'1.4.melléklet'!D65</f>
        <v>0</v>
      </c>
      <c r="E65" s="895">
        <f>'1.1.melléklet'!E65-'1.3.melléklet'!E65-'1.4.melléklet'!E65</f>
        <v>0</v>
      </c>
      <c r="F65" s="895">
        <f>'1.1.melléklet'!F65-'1.3.melléklet'!F65-'1.4.melléklet'!F65</f>
        <v>0</v>
      </c>
    </row>
    <row r="66" spans="1:6" s="401" customFormat="1" ht="12" customHeight="1" thickBot="1">
      <c r="A66" s="405" t="s">
        <v>806</v>
      </c>
      <c r="B66" s="291" t="s">
        <v>807</v>
      </c>
      <c r="C66" s="896">
        <f>C67:D67</f>
        <v>295000000</v>
      </c>
      <c r="D66" s="896">
        <f>D67:E67</f>
        <v>295000000</v>
      </c>
      <c r="E66" s="896">
        <f>E67:F67</f>
        <v>295000000</v>
      </c>
      <c r="F66" s="896">
        <f>F67:G67</f>
        <v>515027147</v>
      </c>
    </row>
    <row r="67" spans="1:6" s="401" customFormat="1" ht="12" customHeight="1">
      <c r="A67" s="13" t="s">
        <v>625</v>
      </c>
      <c r="B67" s="402" t="s">
        <v>808</v>
      </c>
      <c r="C67" s="299">
        <f>'1.1.melléklet'!C67-'1.3.melléklet'!C67-'1.4.melléklet'!C67</f>
        <v>295000000</v>
      </c>
      <c r="D67" s="299">
        <f>'1.1.melléklet'!D67-'1.3.melléklet'!D67-'1.4.melléklet'!D67</f>
        <v>295000000</v>
      </c>
      <c r="E67" s="299">
        <f>'1.1.melléklet'!E67-'1.3.melléklet'!E67-'1.4.melléklet'!E67</f>
        <v>295000000</v>
      </c>
      <c r="F67" s="299">
        <f>'1.1.melléklet'!F67-'1.3.melléklet'!F67-'1.4.melléklet'!F67</f>
        <v>515027147</v>
      </c>
    </row>
    <row r="68" spans="1:6" s="401" customFormat="1" ht="12" customHeight="1">
      <c r="A68" s="12" t="s">
        <v>626</v>
      </c>
      <c r="B68" s="403" t="s">
        <v>809</v>
      </c>
      <c r="C68" s="299"/>
      <c r="D68" s="299"/>
      <c r="E68" s="299"/>
      <c r="F68" s="299"/>
    </row>
    <row r="69" spans="1:6" s="401" customFormat="1" ht="12" customHeight="1">
      <c r="A69" s="12" t="s">
        <v>13</v>
      </c>
      <c r="B69" s="403" t="s">
        <v>810</v>
      </c>
      <c r="C69" s="299">
        <f>'1.1.melléklet'!C69-'1.3.melléklet'!C69-'1.4.melléklet'!C69</f>
        <v>0</v>
      </c>
      <c r="D69" s="299">
        <f>'1.1.melléklet'!D69-'1.3.melléklet'!D69-'1.4.melléklet'!D69</f>
        <v>0</v>
      </c>
      <c r="E69" s="299">
        <f>'1.1.melléklet'!E69-'1.3.melléklet'!E69-'1.4.melléklet'!E69</f>
        <v>0</v>
      </c>
      <c r="F69" s="299">
        <f>'1.1.melléklet'!F69-'1.3.melléklet'!F69-'1.4.melléklet'!F69</f>
        <v>0</v>
      </c>
    </row>
    <row r="70" spans="1:6" s="401" customFormat="1" ht="12" customHeight="1" thickBot="1">
      <c r="A70" s="14" t="s">
        <v>14</v>
      </c>
      <c r="B70" s="404" t="s">
        <v>811</v>
      </c>
      <c r="C70" s="895">
        <f>'1.1.melléklet'!C70-'1.3.melléklet'!C70-'1.4.melléklet'!C70</f>
        <v>0</v>
      </c>
      <c r="D70" s="895">
        <f>'1.1.melléklet'!D70-'1.3.melléklet'!D70-'1.4.melléklet'!D70</f>
        <v>0</v>
      </c>
      <c r="E70" s="895">
        <f>'1.1.melléklet'!E70-'1.3.melléklet'!E70-'1.4.melléklet'!E70</f>
        <v>0</v>
      </c>
      <c r="F70" s="895">
        <f>'1.1.melléklet'!F70-'1.3.melléklet'!F70-'1.4.melléklet'!F70</f>
        <v>0</v>
      </c>
    </row>
    <row r="71" spans="1:6" s="401" customFormat="1" ht="12" customHeight="1" thickBot="1">
      <c r="A71" s="405" t="s">
        <v>812</v>
      </c>
      <c r="B71" s="291" t="s">
        <v>813</v>
      </c>
      <c r="C71" s="896">
        <f>C72</f>
        <v>199880000</v>
      </c>
      <c r="D71" s="896">
        <f>D72</f>
        <v>204718082</v>
      </c>
      <c r="E71" s="896">
        <f>E72</f>
        <v>204718082</v>
      </c>
      <c r="F71" s="896">
        <f>F72</f>
        <v>204718082</v>
      </c>
    </row>
    <row r="72" spans="1:6" s="401" customFormat="1" ht="12" customHeight="1">
      <c r="A72" s="13" t="s">
        <v>15</v>
      </c>
      <c r="B72" s="402" t="s">
        <v>814</v>
      </c>
      <c r="C72" s="299">
        <f>'1.1.melléklet'!C72-'1.3.melléklet'!C72-'1.4.melléklet'!C72</f>
        <v>199880000</v>
      </c>
      <c r="D72" s="299">
        <v>204718082</v>
      </c>
      <c r="E72" s="299">
        <v>204718082</v>
      </c>
      <c r="F72" s="299">
        <v>204718082</v>
      </c>
    </row>
    <row r="73" spans="1:6" s="401" customFormat="1" ht="12" customHeight="1" thickBot="1">
      <c r="A73" s="14" t="s">
        <v>16</v>
      </c>
      <c r="B73" s="404" t="s">
        <v>815</v>
      </c>
      <c r="C73" s="895"/>
      <c r="D73" s="895"/>
      <c r="E73" s="895"/>
      <c r="F73" s="895"/>
    </row>
    <row r="74" spans="1:6" s="401" customFormat="1" ht="12" customHeight="1" thickBot="1">
      <c r="A74" s="405" t="s">
        <v>816</v>
      </c>
      <c r="B74" s="291" t="s">
        <v>817</v>
      </c>
      <c r="C74" s="896">
        <f>'1.1.melléklet'!C74-'1.3.melléklet'!C74-'1.4.melléklet'!C74</f>
        <v>0</v>
      </c>
      <c r="D74" s="896">
        <f>'1.1.melléklet'!D74-'1.3.melléklet'!D74-'1.4.melléklet'!D74</f>
        <v>0</v>
      </c>
      <c r="E74" s="896">
        <f>'1.1.melléklet'!E74-'1.3.melléklet'!E74-'1.4.melléklet'!E74</f>
        <v>0</v>
      </c>
      <c r="F74" s="896">
        <f>'1.1.melléklet'!F74-'1.3.melléklet'!F74-'1.4.melléklet'!F74</f>
        <v>0</v>
      </c>
    </row>
    <row r="75" spans="1:6" s="401" customFormat="1" ht="12" customHeight="1">
      <c r="A75" s="13" t="s">
        <v>17</v>
      </c>
      <c r="B75" s="402" t="s">
        <v>818</v>
      </c>
      <c r="C75" s="299">
        <f>'1.1.melléklet'!C75-'1.3.melléklet'!C75-'1.4.melléklet'!C75</f>
        <v>0</v>
      </c>
      <c r="D75" s="299">
        <f>'1.1.melléklet'!D75-'1.3.melléklet'!D75-'1.4.melléklet'!D75</f>
        <v>0</v>
      </c>
      <c r="E75" s="299">
        <f>'1.1.melléklet'!E75-'1.3.melléklet'!E75-'1.4.melléklet'!E75</f>
        <v>0</v>
      </c>
      <c r="F75" s="299">
        <f>'1.1.melléklet'!F75-'1.3.melléklet'!F75-'1.4.melléklet'!F75</f>
        <v>0</v>
      </c>
    </row>
    <row r="76" spans="1:6" s="401" customFormat="1" ht="12" customHeight="1">
      <c r="A76" s="12" t="s">
        <v>18</v>
      </c>
      <c r="B76" s="403" t="s">
        <v>819</v>
      </c>
      <c r="C76" s="299">
        <f>'1.1.melléklet'!C76-'1.3.melléklet'!C76-'1.4.melléklet'!C76</f>
        <v>0</v>
      </c>
      <c r="D76" s="299">
        <f>'1.1.melléklet'!D76-'1.3.melléklet'!D76-'1.4.melléklet'!D76</f>
        <v>0</v>
      </c>
      <c r="E76" s="299">
        <f>'1.1.melléklet'!E76-'1.3.melléklet'!E76-'1.4.melléklet'!E76</f>
        <v>0</v>
      </c>
      <c r="F76" s="299">
        <f>'1.1.melléklet'!F76-'1.3.melléklet'!F76-'1.4.melléklet'!F76</f>
        <v>0</v>
      </c>
    </row>
    <row r="77" spans="1:6" s="401" customFormat="1" ht="12" customHeight="1" thickBot="1">
      <c r="A77" s="14" t="s">
        <v>19</v>
      </c>
      <c r="B77" s="404" t="s">
        <v>820</v>
      </c>
      <c r="C77" s="895">
        <f>'1.1.melléklet'!C77-'1.3.melléklet'!C77-'1.4.melléklet'!C77</f>
        <v>0</v>
      </c>
      <c r="D77" s="895">
        <f>'1.1.melléklet'!D77-'1.3.melléklet'!D77-'1.4.melléklet'!D77</f>
        <v>0</v>
      </c>
      <c r="E77" s="895">
        <f>'1.1.melléklet'!E77-'1.3.melléklet'!E77-'1.4.melléklet'!E77</f>
        <v>0</v>
      </c>
      <c r="F77" s="895">
        <f>'1.1.melléklet'!F77-'1.3.melléklet'!F77-'1.4.melléklet'!F77</f>
        <v>0</v>
      </c>
    </row>
    <row r="78" spans="1:6" s="401" customFormat="1" ht="12" customHeight="1" thickBot="1">
      <c r="A78" s="405" t="s">
        <v>821</v>
      </c>
      <c r="B78" s="291" t="s">
        <v>20</v>
      </c>
      <c r="C78" s="896">
        <f>'1.1.melléklet'!C78-'1.3.melléklet'!C78-'1.4.melléklet'!C78</f>
        <v>0</v>
      </c>
      <c r="D78" s="896">
        <f>'1.1.melléklet'!D78-'1.3.melléklet'!D78-'1.4.melléklet'!D78</f>
        <v>0</v>
      </c>
      <c r="E78" s="896">
        <f>'1.1.melléklet'!E78-'1.3.melléklet'!E78-'1.4.melléklet'!E78</f>
        <v>0</v>
      </c>
      <c r="F78" s="896">
        <f>'1.1.melléklet'!F78-'1.3.melléklet'!F78-'1.4.melléklet'!F78</f>
        <v>0</v>
      </c>
    </row>
    <row r="79" spans="1:6" s="401" customFormat="1" ht="12" customHeight="1">
      <c r="A79" s="407" t="s">
        <v>822</v>
      </c>
      <c r="B79" s="402" t="s">
        <v>0</v>
      </c>
      <c r="C79" s="299">
        <f>'1.1.melléklet'!C79-'1.3.melléklet'!C79-'1.4.melléklet'!C79</f>
        <v>0</v>
      </c>
      <c r="D79" s="299">
        <f>'1.1.melléklet'!D79-'1.3.melléklet'!D79-'1.4.melléklet'!D79</f>
        <v>0</v>
      </c>
      <c r="E79" s="299">
        <f>'1.1.melléklet'!E79-'1.3.melléklet'!E79-'1.4.melléklet'!E79</f>
        <v>0</v>
      </c>
      <c r="F79" s="299">
        <f>'1.1.melléklet'!F79-'1.3.melléklet'!F79-'1.4.melléklet'!F79</f>
        <v>0</v>
      </c>
    </row>
    <row r="80" spans="1:6" s="401" customFormat="1" ht="12" customHeight="1">
      <c r="A80" s="408" t="s">
        <v>1</v>
      </c>
      <c r="B80" s="403" t="s">
        <v>2</v>
      </c>
      <c r="C80" s="299">
        <f>'1.1.melléklet'!C80-'1.3.melléklet'!C80-'1.4.melléklet'!C80</f>
        <v>0</v>
      </c>
      <c r="D80" s="299">
        <f>'1.1.melléklet'!D80-'1.3.melléklet'!D80-'1.4.melléklet'!D80</f>
        <v>0</v>
      </c>
      <c r="E80" s="299">
        <f>'1.1.melléklet'!E80-'1.3.melléklet'!E80-'1.4.melléklet'!E80</f>
        <v>0</v>
      </c>
      <c r="F80" s="299">
        <f>'1.1.melléklet'!F80-'1.3.melléklet'!F80-'1.4.melléklet'!F80</f>
        <v>0</v>
      </c>
    </row>
    <row r="81" spans="1:6" s="401" customFormat="1" ht="12" customHeight="1">
      <c r="A81" s="408" t="s">
        <v>3</v>
      </c>
      <c r="B81" s="403" t="s">
        <v>4</v>
      </c>
      <c r="C81" s="299">
        <f>'1.1.melléklet'!C81-'1.3.melléklet'!C81-'1.4.melléklet'!C81</f>
        <v>0</v>
      </c>
      <c r="D81" s="299">
        <f>'1.1.melléklet'!D81-'1.3.melléklet'!D81-'1.4.melléklet'!D81</f>
        <v>0</v>
      </c>
      <c r="E81" s="299">
        <f>'1.1.melléklet'!E81-'1.3.melléklet'!E81-'1.4.melléklet'!E81</f>
        <v>0</v>
      </c>
      <c r="F81" s="299">
        <f>'1.1.melléklet'!F81-'1.3.melléklet'!F81-'1.4.melléklet'!F81</f>
        <v>0</v>
      </c>
    </row>
    <row r="82" spans="1:6" s="401" customFormat="1" ht="12" customHeight="1" thickBot="1">
      <c r="A82" s="409" t="s">
        <v>5</v>
      </c>
      <c r="B82" s="404" t="s">
        <v>6</v>
      </c>
      <c r="C82" s="895">
        <f>'1.1.melléklet'!C82-'1.3.melléklet'!C82-'1.4.melléklet'!C82</f>
        <v>0</v>
      </c>
      <c r="D82" s="895">
        <f>'1.1.melléklet'!D82-'1.3.melléklet'!D82-'1.4.melléklet'!D82</f>
        <v>0</v>
      </c>
      <c r="E82" s="895">
        <f>'1.1.melléklet'!E82-'1.3.melléklet'!E82-'1.4.melléklet'!E82</f>
        <v>0</v>
      </c>
      <c r="F82" s="895">
        <f>'1.1.melléklet'!F82-'1.3.melléklet'!F82-'1.4.melléklet'!F82</f>
        <v>0</v>
      </c>
    </row>
    <row r="83" spans="1:6" s="401" customFormat="1" ht="13.5" customHeight="1" thickBot="1">
      <c r="A83" s="405" t="s">
        <v>7</v>
      </c>
      <c r="B83" s="291" t="s">
        <v>8</v>
      </c>
      <c r="C83" s="896">
        <f>'1.1.melléklet'!C83-'1.3.melléklet'!C83-'1.4.melléklet'!C83</f>
        <v>0</v>
      </c>
      <c r="D83" s="896">
        <f>'1.1.melléklet'!D83-'1.3.melléklet'!D83-'1.4.melléklet'!D83</f>
        <v>0</v>
      </c>
      <c r="E83" s="896">
        <f>'1.1.melléklet'!E83-'1.3.melléklet'!E83-'1.4.melléklet'!E83</f>
        <v>0</v>
      </c>
      <c r="F83" s="896">
        <f>'1.1.melléklet'!F83-'1.3.melléklet'!F83-'1.4.melléklet'!F83</f>
        <v>0</v>
      </c>
    </row>
    <row r="84" spans="1:6" s="401" customFormat="1" ht="15.75" customHeight="1" thickBot="1">
      <c r="A84" s="405" t="s">
        <v>9</v>
      </c>
      <c r="B84" s="410" t="s">
        <v>10</v>
      </c>
      <c r="C84" s="896">
        <f>C83+C78+C74+C71+C66+C62</f>
        <v>494880000</v>
      </c>
      <c r="D84" s="896">
        <f>D83+D78+D74+D71+D66+D62</f>
        <v>499718082</v>
      </c>
      <c r="E84" s="896">
        <f>E83+E78+E74+E71+E66+E62</f>
        <v>499718082</v>
      </c>
      <c r="F84" s="896">
        <f>F83+F78+F74+F71+F66+F62</f>
        <v>719745229</v>
      </c>
    </row>
    <row r="85" spans="1:6" s="401" customFormat="1" ht="16.5" customHeight="1" thickBot="1">
      <c r="A85" s="411" t="s">
        <v>23</v>
      </c>
      <c r="B85" s="412" t="s">
        <v>11</v>
      </c>
      <c r="C85" s="1020">
        <f>C84+C61</f>
        <v>1214270456</v>
      </c>
      <c r="D85" s="1020">
        <f>D84+D61</f>
        <v>1232658643</v>
      </c>
      <c r="E85" s="1020">
        <f>E84+E61</f>
        <v>1807480112</v>
      </c>
      <c r="F85" s="1020">
        <f>F84+F61</f>
        <v>2120726923</v>
      </c>
    </row>
    <row r="86" spans="1:6" ht="16.5" customHeight="1">
      <c r="A86" s="1136" t="s">
        <v>524</v>
      </c>
      <c r="B86" s="1136"/>
      <c r="C86" s="1136"/>
      <c r="D86" s="399"/>
      <c r="E86" s="399"/>
      <c r="F86" s="399"/>
    </row>
    <row r="87" spans="1:6" s="413" customFormat="1" ht="16.5" customHeight="1" thickBot="1">
      <c r="A87" s="1137" t="s">
        <v>629</v>
      </c>
      <c r="B87" s="1137"/>
      <c r="C87" s="137"/>
      <c r="D87" s="137"/>
      <c r="E87" s="137"/>
      <c r="F87" s="137"/>
    </row>
    <row r="88" spans="1:6" ht="37.5" customHeight="1" thickBot="1">
      <c r="A88" s="21" t="s">
        <v>549</v>
      </c>
      <c r="B88" s="22" t="s">
        <v>525</v>
      </c>
      <c r="C88" s="37" t="s">
        <v>401</v>
      </c>
      <c r="D88" s="37" t="s">
        <v>864</v>
      </c>
      <c r="E88" s="37" t="s">
        <v>891</v>
      </c>
      <c r="F88" s="37" t="s">
        <v>897</v>
      </c>
    </row>
    <row r="89" spans="1:6" s="400" customFormat="1" ht="12" customHeight="1" thickBot="1">
      <c r="A89" s="30">
        <v>1</v>
      </c>
      <c r="B89" s="31">
        <v>2</v>
      </c>
      <c r="C89" s="32">
        <v>3</v>
      </c>
      <c r="D89" s="32">
        <v>4</v>
      </c>
      <c r="E89" s="32">
        <v>5</v>
      </c>
      <c r="F89" s="32">
        <v>6</v>
      </c>
    </row>
    <row r="90" spans="1:6" ht="12" customHeight="1" thickBot="1">
      <c r="A90" s="20" t="s">
        <v>496</v>
      </c>
      <c r="B90" s="29" t="s">
        <v>26</v>
      </c>
      <c r="C90" s="295">
        <f>C91+C92+C93+C94+C95</f>
        <v>523598667</v>
      </c>
      <c r="D90" s="295">
        <f>D91+D92+D93+D94+D95</f>
        <v>542558197</v>
      </c>
      <c r="E90" s="295">
        <f>E91+E92+E93+E94+E95</f>
        <v>567685755</v>
      </c>
      <c r="F90" s="295">
        <f>F91+F92+F93+F94+F95</f>
        <v>584560695</v>
      </c>
    </row>
    <row r="91" spans="1:6" ht="12" customHeight="1">
      <c r="A91" s="15" t="s">
        <v>579</v>
      </c>
      <c r="B91" s="8" t="s">
        <v>526</v>
      </c>
      <c r="C91" s="297">
        <v>136058000</v>
      </c>
      <c r="D91" s="297">
        <v>145792401</v>
      </c>
      <c r="E91" s="297">
        <v>154542077</v>
      </c>
      <c r="F91" s="297">
        <v>159822281</v>
      </c>
    </row>
    <row r="92" spans="1:6" ht="12" customHeight="1">
      <c r="A92" s="12" t="s">
        <v>580</v>
      </c>
      <c r="B92" s="6" t="s">
        <v>659</v>
      </c>
      <c r="C92" s="298">
        <v>33114026</v>
      </c>
      <c r="D92" s="298">
        <v>35361607</v>
      </c>
      <c r="E92" s="298">
        <v>37286536</v>
      </c>
      <c r="F92" s="298">
        <v>38448180</v>
      </c>
    </row>
    <row r="93" spans="1:6" ht="12" customHeight="1">
      <c r="A93" s="12" t="s">
        <v>581</v>
      </c>
      <c r="B93" s="6" t="s">
        <v>616</v>
      </c>
      <c r="C93" s="300">
        <v>204123000</v>
      </c>
      <c r="D93" s="300">
        <v>204367609</v>
      </c>
      <c r="E93" s="300">
        <v>210686835</v>
      </c>
      <c r="F93" s="300">
        <v>224177324</v>
      </c>
    </row>
    <row r="94" spans="1:6" ht="12" customHeight="1">
      <c r="A94" s="12" t="s">
        <v>582</v>
      </c>
      <c r="B94" s="9" t="s">
        <v>660</v>
      </c>
      <c r="C94" s="300">
        <v>9611000</v>
      </c>
      <c r="D94" s="300">
        <v>11611000</v>
      </c>
      <c r="E94" s="300">
        <v>11611000</v>
      </c>
      <c r="F94" s="300">
        <v>5107000</v>
      </c>
    </row>
    <row r="95" spans="1:6" ht="12" customHeight="1">
      <c r="A95" s="12" t="s">
        <v>593</v>
      </c>
      <c r="B95" s="17" t="s">
        <v>661</v>
      </c>
      <c r="C95" s="300">
        <f>C100+C105</f>
        <v>140692641</v>
      </c>
      <c r="D95" s="300">
        <f>D100+D105</f>
        <v>145425580</v>
      </c>
      <c r="E95" s="300">
        <v>153559307</v>
      </c>
      <c r="F95" s="300">
        <v>157005910</v>
      </c>
    </row>
    <row r="96" spans="1:6" ht="12" customHeight="1">
      <c r="A96" s="12" t="s">
        <v>583</v>
      </c>
      <c r="B96" s="6" t="s">
        <v>27</v>
      </c>
      <c r="C96" s="300"/>
      <c r="D96" s="300"/>
      <c r="E96" s="300"/>
      <c r="F96" s="300"/>
    </row>
    <row r="97" spans="1:6" ht="12" customHeight="1">
      <c r="A97" s="12" t="s">
        <v>584</v>
      </c>
      <c r="B97" s="139" t="s">
        <v>28</v>
      </c>
      <c r="C97" s="300"/>
      <c r="D97" s="300"/>
      <c r="E97" s="300"/>
      <c r="F97" s="300"/>
    </row>
    <row r="98" spans="1:6" ht="12" customHeight="1">
      <c r="A98" s="12" t="s">
        <v>594</v>
      </c>
      <c r="B98" s="140" t="s">
        <v>29</v>
      </c>
      <c r="C98" s="300"/>
      <c r="D98" s="300"/>
      <c r="E98" s="300"/>
      <c r="F98" s="300"/>
    </row>
    <row r="99" spans="1:6" ht="12" customHeight="1">
      <c r="A99" s="12" t="s">
        <v>595</v>
      </c>
      <c r="B99" s="140" t="s">
        <v>30</v>
      </c>
      <c r="C99" s="300"/>
      <c r="D99" s="300"/>
      <c r="E99" s="300"/>
      <c r="F99" s="300"/>
    </row>
    <row r="100" spans="1:6" ht="12" customHeight="1">
      <c r="A100" s="12" t="s">
        <v>596</v>
      </c>
      <c r="B100" s="139" t="s">
        <v>31</v>
      </c>
      <c r="C100" s="300">
        <f>'1.1.melléklet'!C101</f>
        <v>138942641</v>
      </c>
      <c r="D100" s="300">
        <v>143675580</v>
      </c>
      <c r="E100" s="300">
        <v>150359307</v>
      </c>
      <c r="F100" s="300">
        <v>153305910</v>
      </c>
    </row>
    <row r="101" spans="1:6" ht="12" customHeight="1">
      <c r="A101" s="12" t="s">
        <v>597</v>
      </c>
      <c r="B101" s="139" t="s">
        <v>32</v>
      </c>
      <c r="C101" s="300"/>
      <c r="D101" s="300"/>
      <c r="E101" s="300"/>
      <c r="F101" s="300"/>
    </row>
    <row r="102" spans="1:6" ht="12" customHeight="1">
      <c r="A102" s="12" t="s">
        <v>599</v>
      </c>
      <c r="B102" s="140" t="s">
        <v>33</v>
      </c>
      <c r="C102" s="300"/>
      <c r="D102" s="300"/>
      <c r="E102" s="300"/>
      <c r="F102" s="300"/>
    </row>
    <row r="103" spans="1:6" ht="12" customHeight="1">
      <c r="A103" s="11" t="s">
        <v>662</v>
      </c>
      <c r="B103" s="141" t="s">
        <v>34</v>
      </c>
      <c r="C103" s="300"/>
      <c r="D103" s="300"/>
      <c r="E103" s="300"/>
      <c r="F103" s="300"/>
    </row>
    <row r="104" spans="1:6" ht="12" customHeight="1">
      <c r="A104" s="12" t="s">
        <v>24</v>
      </c>
      <c r="B104" s="141" t="s">
        <v>35</v>
      </c>
      <c r="C104" s="300"/>
      <c r="D104" s="300"/>
      <c r="E104" s="300"/>
      <c r="F104" s="300"/>
    </row>
    <row r="105" spans="1:6" ht="12" customHeight="1" thickBot="1">
      <c r="A105" s="16" t="s">
        <v>25</v>
      </c>
      <c r="B105" s="142" t="s">
        <v>36</v>
      </c>
      <c r="C105" s="303">
        <f>'1.1.melléklet'!C106-1450000</f>
        <v>1750000</v>
      </c>
      <c r="D105" s="303">
        <v>1750000</v>
      </c>
      <c r="E105" s="303">
        <v>3200000</v>
      </c>
      <c r="F105" s="303">
        <v>3700000</v>
      </c>
    </row>
    <row r="106" spans="1:6" ht="12" customHeight="1" thickBot="1">
      <c r="A106" s="18" t="s">
        <v>497</v>
      </c>
      <c r="B106" s="28" t="s">
        <v>37</v>
      </c>
      <c r="C106" s="296">
        <f>+C107+C109+C111</f>
        <v>321411285</v>
      </c>
      <c r="D106" s="296">
        <f>+D107+D109+D111</f>
        <v>337926285</v>
      </c>
      <c r="E106" s="296">
        <f>+E107+E109+E111</f>
        <v>917456271</v>
      </c>
      <c r="F106" s="296">
        <f>+F107+F109+F111</f>
        <v>942185856</v>
      </c>
    </row>
    <row r="107" spans="1:6" ht="12" customHeight="1">
      <c r="A107" s="13" t="s">
        <v>585</v>
      </c>
      <c r="B107" s="6" t="s">
        <v>708</v>
      </c>
      <c r="C107" s="299">
        <f>'1.1.melléklet'!C108</f>
        <v>140411285</v>
      </c>
      <c r="D107" s="299">
        <f>'1.1.melléklet'!D108</f>
        <v>140411285</v>
      </c>
      <c r="E107" s="299">
        <f>'1.1.melléklet'!E108</f>
        <v>604317519</v>
      </c>
      <c r="F107" s="299">
        <f>'1.1.melléklet'!F108</f>
        <v>629047104</v>
      </c>
    </row>
    <row r="108" spans="1:6" ht="12" customHeight="1">
      <c r="A108" s="13" t="s">
        <v>586</v>
      </c>
      <c r="B108" s="10" t="s">
        <v>41</v>
      </c>
      <c r="C108" s="299"/>
      <c r="D108" s="299"/>
      <c r="E108" s="299"/>
      <c r="F108" s="299"/>
    </row>
    <row r="109" spans="1:6" ht="12" customHeight="1">
      <c r="A109" s="13" t="s">
        <v>587</v>
      </c>
      <c r="B109" s="10" t="s">
        <v>663</v>
      </c>
      <c r="C109" s="298">
        <f>'1.1.melléklet'!C110</f>
        <v>181000000</v>
      </c>
      <c r="D109" s="298">
        <f>'1.1.melléklet'!D110</f>
        <v>181000000</v>
      </c>
      <c r="E109" s="298">
        <f>'1.1.melléklet'!E110</f>
        <v>296623752</v>
      </c>
      <c r="F109" s="298">
        <f>'1.1.melléklet'!F110</f>
        <v>296623752</v>
      </c>
    </row>
    <row r="110" spans="1:6" ht="12" customHeight="1">
      <c r="A110" s="13" t="s">
        <v>588</v>
      </c>
      <c r="B110" s="10" t="s">
        <v>42</v>
      </c>
      <c r="C110" s="269"/>
      <c r="D110" s="269"/>
      <c r="E110" s="269"/>
      <c r="F110" s="269"/>
    </row>
    <row r="111" spans="1:6" ht="12" customHeight="1">
      <c r="A111" s="13" t="s">
        <v>589</v>
      </c>
      <c r="B111" s="293" t="s">
        <v>710</v>
      </c>
      <c r="C111" s="269"/>
      <c r="D111" s="269">
        <v>16515000</v>
      </c>
      <c r="E111" s="269">
        <v>16515000</v>
      </c>
      <c r="F111" s="269">
        <v>16515000</v>
      </c>
    </row>
    <row r="112" spans="1:6" ht="12" customHeight="1">
      <c r="A112" s="13" t="s">
        <v>598</v>
      </c>
      <c r="B112" s="292" t="s">
        <v>155</v>
      </c>
      <c r="C112" s="269"/>
      <c r="D112" s="269"/>
      <c r="E112" s="269"/>
      <c r="F112" s="269"/>
    </row>
    <row r="113" spans="1:6" ht="12" customHeight="1">
      <c r="A113" s="13" t="s">
        <v>600</v>
      </c>
      <c r="B113" s="140" t="s">
        <v>30</v>
      </c>
      <c r="C113" s="269"/>
      <c r="D113" s="269"/>
      <c r="E113" s="269"/>
      <c r="F113" s="269"/>
    </row>
    <row r="114" spans="1:6" ht="15.75">
      <c r="A114" s="13" t="s">
        <v>664</v>
      </c>
      <c r="B114" s="140" t="s">
        <v>344</v>
      </c>
      <c r="C114" s="269"/>
      <c r="D114" s="269"/>
      <c r="E114" s="269"/>
      <c r="F114" s="269"/>
    </row>
    <row r="115" spans="1:6" ht="12" customHeight="1">
      <c r="A115" s="13" t="s">
        <v>665</v>
      </c>
      <c r="B115" s="140" t="s">
        <v>343</v>
      </c>
      <c r="C115" s="269"/>
      <c r="D115" s="269"/>
      <c r="E115" s="269"/>
      <c r="F115" s="269"/>
    </row>
    <row r="116" spans="1:6" ht="12" customHeight="1">
      <c r="A116" s="13" t="s">
        <v>666</v>
      </c>
      <c r="B116" s="140" t="s">
        <v>45</v>
      </c>
      <c r="C116" s="269"/>
      <c r="D116" s="269"/>
      <c r="E116" s="269"/>
      <c r="F116" s="269"/>
    </row>
    <row r="117" spans="1:6" ht="12" customHeight="1">
      <c r="A117" s="13" t="s">
        <v>38</v>
      </c>
      <c r="B117" s="140" t="s">
        <v>33</v>
      </c>
      <c r="C117" s="269"/>
      <c r="D117" s="269"/>
      <c r="E117" s="269"/>
      <c r="F117" s="269"/>
    </row>
    <row r="118" spans="1:6" ht="12" customHeight="1">
      <c r="A118" s="13" t="s">
        <v>39</v>
      </c>
      <c r="B118" s="140" t="s">
        <v>44</v>
      </c>
      <c r="C118" s="269"/>
      <c r="D118" s="269"/>
      <c r="E118" s="269"/>
      <c r="F118" s="269"/>
    </row>
    <row r="119" spans="1:6" ht="16.5" thickBot="1">
      <c r="A119" s="11" t="s">
        <v>40</v>
      </c>
      <c r="B119" s="140" t="s">
        <v>43</v>
      </c>
      <c r="C119" s="270"/>
      <c r="D119" s="270">
        <v>16515000</v>
      </c>
      <c r="E119" s="270">
        <v>16515000</v>
      </c>
      <c r="F119" s="270">
        <v>16515000</v>
      </c>
    </row>
    <row r="120" spans="1:6" ht="12" customHeight="1" thickBot="1">
      <c r="A120" s="18" t="s">
        <v>498</v>
      </c>
      <c r="B120" s="122" t="s">
        <v>48</v>
      </c>
      <c r="C120" s="296">
        <f>+C121+C122</f>
        <v>369260504</v>
      </c>
      <c r="D120" s="296">
        <f>+D121+D122</f>
        <v>236125274</v>
      </c>
      <c r="E120" s="296">
        <f>+E121+E122</f>
        <v>206289199</v>
      </c>
      <c r="F120" s="296">
        <f>+F121+F122</f>
        <v>327931485</v>
      </c>
    </row>
    <row r="121" spans="1:6" ht="12" customHeight="1">
      <c r="A121" s="13" t="s">
        <v>568</v>
      </c>
      <c r="B121" s="7" t="s">
        <v>537</v>
      </c>
      <c r="C121" s="299">
        <f>'1.1.melléklet'!C122</f>
        <v>38342762</v>
      </c>
      <c r="D121" s="299">
        <v>21722532</v>
      </c>
      <c r="E121" s="299">
        <v>17204866</v>
      </c>
      <c r="F121" s="299">
        <v>20922905</v>
      </c>
    </row>
    <row r="122" spans="1:6" ht="12" customHeight="1" thickBot="1">
      <c r="A122" s="14" t="s">
        <v>569</v>
      </c>
      <c r="B122" s="10" t="s">
        <v>538</v>
      </c>
      <c r="C122" s="300">
        <v>330917742</v>
      </c>
      <c r="D122" s="300">
        <v>214402742</v>
      </c>
      <c r="E122" s="300">
        <v>189084333</v>
      </c>
      <c r="F122" s="300">
        <v>307008580</v>
      </c>
    </row>
    <row r="123" spans="1:6" ht="12" customHeight="1" thickBot="1">
      <c r="A123" s="18" t="s">
        <v>499</v>
      </c>
      <c r="B123" s="122" t="s">
        <v>49</v>
      </c>
      <c r="C123" s="296">
        <f>+C90+C106+C120</f>
        <v>1214270456</v>
      </c>
      <c r="D123" s="296">
        <f>+D90+D106+D120</f>
        <v>1116609756</v>
      </c>
      <c r="E123" s="296">
        <f>+E90+E106+E120</f>
        <v>1691431225</v>
      </c>
      <c r="F123" s="296">
        <f>+F90+F106+F120</f>
        <v>1854678036</v>
      </c>
    </row>
    <row r="124" spans="1:6" ht="12" customHeight="1" thickBot="1">
      <c r="A124" s="18" t="s">
        <v>500</v>
      </c>
      <c r="B124" s="122" t="s">
        <v>50</v>
      </c>
      <c r="C124" s="296">
        <f>+C125+C126+C127</f>
        <v>0</v>
      </c>
      <c r="D124" s="296">
        <f>+D125+D126+D127</f>
        <v>0</v>
      </c>
      <c r="E124" s="296">
        <f>+E125+E126+E127</f>
        <v>0</v>
      </c>
      <c r="F124" s="296">
        <f>+F125+F126+F127</f>
        <v>0</v>
      </c>
    </row>
    <row r="125" spans="1:6" ht="12" customHeight="1">
      <c r="A125" s="13" t="s">
        <v>572</v>
      </c>
      <c r="B125" s="7" t="s">
        <v>51</v>
      </c>
      <c r="C125" s="269"/>
      <c r="D125" s="269"/>
      <c r="E125" s="269"/>
      <c r="F125" s="269"/>
    </row>
    <row r="126" spans="1:6" ht="12" customHeight="1">
      <c r="A126" s="13" t="s">
        <v>573</v>
      </c>
      <c r="B126" s="7" t="s">
        <v>52</v>
      </c>
      <c r="C126" s="269"/>
      <c r="D126" s="269"/>
      <c r="E126" s="269"/>
      <c r="F126" s="269"/>
    </row>
    <row r="127" spans="1:6" ht="12" customHeight="1" thickBot="1">
      <c r="A127" s="11" t="s">
        <v>574</v>
      </c>
      <c r="B127" s="5" t="s">
        <v>53</v>
      </c>
      <c r="C127" s="269"/>
      <c r="D127" s="269"/>
      <c r="E127" s="269"/>
      <c r="F127" s="269"/>
    </row>
    <row r="128" spans="1:6" ht="12" customHeight="1" thickBot="1">
      <c r="A128" s="18" t="s">
        <v>501</v>
      </c>
      <c r="B128" s="122" t="s">
        <v>114</v>
      </c>
      <c r="C128" s="296">
        <f>+C129+C130+C131+C132</f>
        <v>0</v>
      </c>
      <c r="D128" s="296">
        <f>+D129+D130+D131+D132</f>
        <v>100000000</v>
      </c>
      <c r="E128" s="296">
        <f>+E129+E130+E131+E132</f>
        <v>100000000</v>
      </c>
      <c r="F128" s="296">
        <f>+F129+F130+F131+F132</f>
        <v>250000000</v>
      </c>
    </row>
    <row r="129" spans="1:6" ht="12" customHeight="1">
      <c r="A129" s="13" t="s">
        <v>575</v>
      </c>
      <c r="B129" s="7" t="s">
        <v>54</v>
      </c>
      <c r="C129" s="269"/>
      <c r="D129" s="269">
        <v>100000000</v>
      </c>
      <c r="E129" s="269">
        <v>100000000</v>
      </c>
      <c r="F129" s="269">
        <v>250000000</v>
      </c>
    </row>
    <row r="130" spans="1:6" ht="12" customHeight="1">
      <c r="A130" s="13" t="s">
        <v>576</v>
      </c>
      <c r="B130" s="7" t="s">
        <v>55</v>
      </c>
      <c r="C130" s="269"/>
      <c r="D130" s="269"/>
      <c r="E130" s="269"/>
      <c r="F130" s="269"/>
    </row>
    <row r="131" spans="1:6" ht="12" customHeight="1">
      <c r="A131" s="13" t="s">
        <v>781</v>
      </c>
      <c r="B131" s="7" t="s">
        <v>56</v>
      </c>
      <c r="C131" s="269"/>
      <c r="D131" s="269"/>
      <c r="E131" s="269"/>
      <c r="F131" s="269"/>
    </row>
    <row r="132" spans="1:6" ht="12" customHeight="1" thickBot="1">
      <c r="A132" s="11" t="s">
        <v>782</v>
      </c>
      <c r="B132" s="5" t="s">
        <v>57</v>
      </c>
      <c r="C132" s="269"/>
      <c r="D132" s="269"/>
      <c r="E132" s="269"/>
      <c r="F132" s="269"/>
    </row>
    <row r="133" spans="1:6" ht="12" customHeight="1" thickBot="1">
      <c r="A133" s="18" t="s">
        <v>502</v>
      </c>
      <c r="B133" s="122" t="s">
        <v>58</v>
      </c>
      <c r="C133" s="302">
        <f>+C134+C135+C136+C137</f>
        <v>0</v>
      </c>
      <c r="D133" s="302">
        <f>+D134+D135+D136+D137</f>
        <v>16048887</v>
      </c>
      <c r="E133" s="302">
        <f>+E134+E135+E136+E137</f>
        <v>16048887</v>
      </c>
      <c r="F133" s="302">
        <f>+F134+F135+F136+F137</f>
        <v>16048887</v>
      </c>
    </row>
    <row r="134" spans="1:6" ht="12" customHeight="1">
      <c r="A134" s="13" t="s">
        <v>577</v>
      </c>
      <c r="B134" s="7" t="s">
        <v>59</v>
      </c>
      <c r="C134" s="269"/>
      <c r="D134" s="269">
        <v>14042123</v>
      </c>
      <c r="E134" s="269">
        <v>14042123</v>
      </c>
      <c r="F134" s="269">
        <v>14042123</v>
      </c>
    </row>
    <row r="135" spans="1:6" ht="12" customHeight="1">
      <c r="A135" s="13" t="s">
        <v>578</v>
      </c>
      <c r="B135" s="7" t="s">
        <v>69</v>
      </c>
      <c r="C135" s="269"/>
      <c r="D135" s="269">
        <v>2006764</v>
      </c>
      <c r="E135" s="269">
        <v>2006764</v>
      </c>
      <c r="F135" s="269">
        <v>2006764</v>
      </c>
    </row>
    <row r="136" spans="1:6" ht="12" customHeight="1">
      <c r="A136" s="13" t="s">
        <v>793</v>
      </c>
      <c r="B136" s="7" t="s">
        <v>365</v>
      </c>
      <c r="C136" s="269">
        <f>'1.1.melléklet'!C137</f>
        <v>0</v>
      </c>
      <c r="D136" s="269">
        <f>'1.1.melléklet'!D137</f>
        <v>0</v>
      </c>
      <c r="E136" s="269">
        <f>'1.1.melléklet'!E137</f>
        <v>0</v>
      </c>
      <c r="F136" s="269">
        <f>'1.1.melléklet'!F137</f>
        <v>0</v>
      </c>
    </row>
    <row r="137" spans="1:6" ht="12" customHeight="1" thickBot="1">
      <c r="A137" s="11" t="s">
        <v>794</v>
      </c>
      <c r="B137" s="5" t="s">
        <v>61</v>
      </c>
      <c r="C137" s="269"/>
      <c r="D137" s="269"/>
      <c r="E137" s="269"/>
      <c r="F137" s="269"/>
    </row>
    <row r="138" spans="1:6" ht="12" customHeight="1" thickBot="1">
      <c r="A138" s="18" t="s">
        <v>503</v>
      </c>
      <c r="B138" s="122" t="s">
        <v>62</v>
      </c>
      <c r="C138" s="304">
        <f>+C139+C140+C141+C142</f>
        <v>0</v>
      </c>
      <c r="D138" s="304">
        <f>+D139+D140+D141+D142</f>
        <v>0</v>
      </c>
      <c r="E138" s="304">
        <f>+E139+E140+E141+E142</f>
        <v>0</v>
      </c>
      <c r="F138" s="304">
        <f>+F139+F140+F141+F142</f>
        <v>0</v>
      </c>
    </row>
    <row r="139" spans="1:6" ht="12" customHeight="1">
      <c r="A139" s="13" t="s">
        <v>657</v>
      </c>
      <c r="B139" s="7" t="s">
        <v>63</v>
      </c>
      <c r="C139" s="269"/>
      <c r="D139" s="269"/>
      <c r="E139" s="269"/>
      <c r="F139" s="269"/>
    </row>
    <row r="140" spans="1:6" ht="12" customHeight="1">
      <c r="A140" s="13" t="s">
        <v>658</v>
      </c>
      <c r="B140" s="7" t="s">
        <v>64</v>
      </c>
      <c r="C140" s="269"/>
      <c r="D140" s="269"/>
      <c r="E140" s="269"/>
      <c r="F140" s="269"/>
    </row>
    <row r="141" spans="1:6" ht="12" customHeight="1">
      <c r="A141" s="13" t="s">
        <v>709</v>
      </c>
      <c r="B141" s="7" t="s">
        <v>65</v>
      </c>
      <c r="C141" s="269"/>
      <c r="D141" s="269"/>
      <c r="E141" s="269"/>
      <c r="F141" s="269"/>
    </row>
    <row r="142" spans="1:6" ht="12" customHeight="1" thickBot="1">
      <c r="A142" s="13" t="s">
        <v>796</v>
      </c>
      <c r="B142" s="7" t="s">
        <v>66</v>
      </c>
      <c r="C142" s="269"/>
      <c r="D142" s="269"/>
      <c r="E142" s="269"/>
      <c r="F142" s="269"/>
    </row>
    <row r="143" spans="1:9" ht="15" customHeight="1" thickBot="1">
      <c r="A143" s="18" t="s">
        <v>504</v>
      </c>
      <c r="B143" s="122" t="s">
        <v>67</v>
      </c>
      <c r="C143" s="414">
        <f>+C124+C128+C133+C138</f>
        <v>0</v>
      </c>
      <c r="D143" s="414">
        <f>+D124+D128+D133+D138</f>
        <v>116048887</v>
      </c>
      <c r="E143" s="414">
        <f>+E124+E128+E133+E138</f>
        <v>116048887</v>
      </c>
      <c r="F143" s="414">
        <f>+F124+F128+F133+F138</f>
        <v>266048887</v>
      </c>
      <c r="G143" s="416"/>
      <c r="H143" s="416"/>
      <c r="I143" s="416"/>
    </row>
    <row r="144" spans="1:6" s="401" customFormat="1" ht="12.75" customHeight="1" thickBot="1">
      <c r="A144" s="294" t="s">
        <v>505</v>
      </c>
      <c r="B144" s="375" t="s">
        <v>68</v>
      </c>
      <c r="C144" s="414">
        <f>+C123+C143</f>
        <v>1214270456</v>
      </c>
      <c r="D144" s="414">
        <f>+D123+D143</f>
        <v>1232658643</v>
      </c>
      <c r="E144" s="414">
        <f>+E123+E143</f>
        <v>1807480112</v>
      </c>
      <c r="F144" s="414">
        <f>+F123+F143</f>
        <v>2120726923</v>
      </c>
    </row>
    <row r="145" ht="7.5" customHeight="1"/>
    <row r="146" spans="1:6" ht="15.75">
      <c r="A146" s="1138" t="s">
        <v>70</v>
      </c>
      <c r="B146" s="1138"/>
      <c r="C146" s="1138"/>
      <c r="D146" s="399"/>
      <c r="E146" s="399"/>
      <c r="F146" s="399"/>
    </row>
    <row r="147" spans="1:6" ht="15" customHeight="1" thickBot="1">
      <c r="A147" s="1135" t="s">
        <v>630</v>
      </c>
      <c r="B147" s="1135"/>
      <c r="C147" s="305"/>
      <c r="D147" s="305"/>
      <c r="E147" s="305"/>
      <c r="F147" s="305"/>
    </row>
    <row r="148" spans="1:6" ht="13.5" customHeight="1" thickBot="1">
      <c r="A148" s="18">
        <v>1</v>
      </c>
      <c r="B148" s="28" t="s">
        <v>71</v>
      </c>
      <c r="C148" s="296"/>
      <c r="D148" s="296"/>
      <c r="E148" s="296"/>
      <c r="F148" s="296"/>
    </row>
    <row r="149" spans="1:6" ht="27.75" customHeight="1" thickBot="1">
      <c r="A149" s="18" t="s">
        <v>497</v>
      </c>
      <c r="B149" s="28" t="s">
        <v>72</v>
      </c>
      <c r="C149" s="296"/>
      <c r="D149" s="296"/>
      <c r="E149" s="296"/>
      <c r="F149" s="296"/>
    </row>
    <row r="151" ht="15.75">
      <c r="A151" s="376" t="s">
        <v>908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 alignWithMargins="0">
    <oddHeader>&amp;C&amp;"Times New Roman CE,Félkövér"&amp;12
Tát Város Önkormányzat
2017. ÉVI KÖLTSÉGVETÉS
KÖTELEZŐ FELADATAINAK MÉRLEGE &amp;R&amp;"Times New Roman CE,Félkövér dőlt"&amp;11 1.2. melléklet az 1/2017. (II.7.) önkormányzati rendelethez</oddHeader>
  </headerFooter>
  <rowBreaks count="1" manualBreakCount="1">
    <brk id="85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13">
      <selection activeCell="D104" sqref="D104"/>
    </sheetView>
  </sheetViews>
  <sheetFormatPr defaultColWidth="9.00390625" defaultRowHeight="12.75"/>
  <cols>
    <col min="1" max="1" width="9.00390625" style="378" customWidth="1"/>
    <col min="2" max="2" width="75.875" style="378" customWidth="1"/>
    <col min="3" max="4" width="19.125" style="378" bestFit="1" customWidth="1"/>
    <col min="5" max="5" width="9.00390625" style="36" customWidth="1"/>
    <col min="6" max="16384" width="9.375" style="36" customWidth="1"/>
  </cols>
  <sheetData>
    <row r="1" spans="1:4" ht="15.75" customHeight="1">
      <c r="A1" s="1136" t="s">
        <v>493</v>
      </c>
      <c r="B1" s="1136"/>
      <c r="C1" s="1136"/>
      <c r="D1" s="1136"/>
    </row>
    <row r="2" spans="1:4" ht="15.75" customHeight="1" thickBot="1">
      <c r="A2" s="1177"/>
      <c r="B2" s="1177"/>
      <c r="C2" s="463"/>
      <c r="D2" s="464"/>
    </row>
    <row r="3" spans="1:4" ht="37.5" customHeight="1" thickBot="1">
      <c r="A3" s="465" t="s">
        <v>549</v>
      </c>
      <c r="B3" s="466" t="s">
        <v>495</v>
      </c>
      <c r="C3" s="467" t="s">
        <v>826</v>
      </c>
      <c r="D3" s="468" t="s">
        <v>827</v>
      </c>
    </row>
    <row r="4" spans="1:4" s="38" customFormat="1" ht="15.75" customHeight="1" thickBot="1">
      <c r="A4" s="465">
        <v>1</v>
      </c>
      <c r="B4" s="466">
        <v>2</v>
      </c>
      <c r="C4" s="466">
        <v>3</v>
      </c>
      <c r="D4" s="468">
        <v>4</v>
      </c>
    </row>
    <row r="5" spans="1:4" s="1" customFormat="1" ht="15" customHeight="1" thickBot="1">
      <c r="A5" s="469" t="s">
        <v>496</v>
      </c>
      <c r="B5" s="470" t="s">
        <v>737</v>
      </c>
      <c r="C5" s="471">
        <v>396287778</v>
      </c>
      <c r="D5" s="472">
        <v>393077057</v>
      </c>
    </row>
    <row r="6" spans="1:4" s="1" customFormat="1" ht="15.75" customHeight="1">
      <c r="A6" s="473" t="s">
        <v>579</v>
      </c>
      <c r="B6" s="474" t="s">
        <v>738</v>
      </c>
      <c r="C6" s="475">
        <v>129128455</v>
      </c>
      <c r="D6" s="476">
        <v>126761325</v>
      </c>
    </row>
    <row r="7" spans="1:4" s="1" customFormat="1" ht="15" customHeight="1">
      <c r="A7" s="477" t="s">
        <v>580</v>
      </c>
      <c r="B7" s="478" t="s">
        <v>739</v>
      </c>
      <c r="C7" s="479">
        <v>114811100</v>
      </c>
      <c r="D7" s="480">
        <v>123139166</v>
      </c>
    </row>
    <row r="8" spans="1:4" s="1" customFormat="1" ht="15" customHeight="1">
      <c r="A8" s="477" t="s">
        <v>581</v>
      </c>
      <c r="B8" s="478" t="s">
        <v>740</v>
      </c>
      <c r="C8" s="479">
        <v>137863413</v>
      </c>
      <c r="D8" s="480">
        <v>136398531</v>
      </c>
    </row>
    <row r="9" spans="1:4" s="1" customFormat="1" ht="15" customHeight="1">
      <c r="A9" s="477" t="s">
        <v>582</v>
      </c>
      <c r="B9" s="478" t="s">
        <v>741</v>
      </c>
      <c r="C9" s="479">
        <v>6265440</v>
      </c>
      <c r="D9" s="480">
        <v>6271140</v>
      </c>
    </row>
    <row r="10" spans="1:4" s="1" customFormat="1" ht="13.5" customHeight="1">
      <c r="A10" s="477" t="s">
        <v>624</v>
      </c>
      <c r="B10" s="478" t="s">
        <v>742</v>
      </c>
      <c r="C10" s="481">
        <v>8219370</v>
      </c>
      <c r="D10" s="480">
        <v>506895</v>
      </c>
    </row>
    <row r="11" spans="1:4" s="1" customFormat="1" ht="13.5" customHeight="1">
      <c r="A11" s="482" t="s">
        <v>583</v>
      </c>
      <c r="B11" s="483" t="s">
        <v>743</v>
      </c>
      <c r="C11" s="484"/>
      <c r="D11" s="480"/>
    </row>
    <row r="12" spans="1:4" s="1" customFormat="1" ht="15" customHeight="1">
      <c r="A12" s="477" t="s">
        <v>584</v>
      </c>
      <c r="B12" s="478" t="s">
        <v>379</v>
      </c>
      <c r="C12" s="479"/>
      <c r="D12" s="480"/>
    </row>
    <row r="13" spans="1:4" s="1" customFormat="1" ht="15" customHeight="1">
      <c r="A13" s="477" t="s">
        <v>594</v>
      </c>
      <c r="B13" s="478" t="s">
        <v>380</v>
      </c>
      <c r="C13" s="479"/>
      <c r="D13" s="480"/>
    </row>
    <row r="14" spans="1:4" s="1" customFormat="1" ht="15" customHeight="1">
      <c r="A14" s="477" t="s">
        <v>595</v>
      </c>
      <c r="B14" s="478" t="s">
        <v>381</v>
      </c>
      <c r="C14" s="479"/>
      <c r="D14" s="480"/>
    </row>
    <row r="15" spans="1:4" s="1" customFormat="1" ht="15" customHeight="1" thickBot="1">
      <c r="A15" s="477" t="s">
        <v>596</v>
      </c>
      <c r="B15" s="478" t="s">
        <v>382</v>
      </c>
      <c r="C15" s="479"/>
      <c r="D15" s="480"/>
    </row>
    <row r="16" spans="1:4" s="1" customFormat="1" ht="14.25" customHeight="1" thickBot="1">
      <c r="A16" s="469" t="s">
        <v>497</v>
      </c>
      <c r="B16" s="485" t="s">
        <v>744</v>
      </c>
      <c r="C16" s="471">
        <v>25950209</v>
      </c>
      <c r="D16" s="472">
        <f>D19</f>
        <v>10280000</v>
      </c>
    </row>
    <row r="17" spans="1:4" s="1" customFormat="1" ht="15" customHeight="1">
      <c r="A17" s="473" t="s">
        <v>585</v>
      </c>
      <c r="B17" s="478" t="s">
        <v>317</v>
      </c>
      <c r="C17" s="475"/>
      <c r="D17" s="476"/>
    </row>
    <row r="18" spans="1:4" s="1" customFormat="1" ht="13.5" customHeight="1">
      <c r="A18" s="477" t="s">
        <v>586</v>
      </c>
      <c r="B18" s="478" t="s">
        <v>318</v>
      </c>
      <c r="C18" s="479"/>
      <c r="D18" s="480"/>
    </row>
    <row r="19" spans="1:4" s="1" customFormat="1" ht="15" customHeight="1">
      <c r="A19" s="477" t="s">
        <v>587</v>
      </c>
      <c r="B19" s="478" t="s">
        <v>314</v>
      </c>
      <c r="C19" s="479">
        <v>10140600</v>
      </c>
      <c r="D19" s="480">
        <v>10280000</v>
      </c>
    </row>
    <row r="20" spans="1:4" s="1" customFormat="1" ht="15" customHeight="1">
      <c r="A20" s="477" t="s">
        <v>588</v>
      </c>
      <c r="B20" s="478" t="s">
        <v>315</v>
      </c>
      <c r="C20" s="479">
        <v>15809609</v>
      </c>
      <c r="D20" s="480"/>
    </row>
    <row r="21" spans="1:4" s="1" customFormat="1" ht="13.5" customHeight="1">
      <c r="A21" s="477" t="s">
        <v>589</v>
      </c>
      <c r="B21" s="478" t="s">
        <v>316</v>
      </c>
      <c r="C21" s="479"/>
      <c r="D21" s="480"/>
    </row>
    <row r="22" spans="1:4" s="1" customFormat="1" ht="13.5" customHeight="1">
      <c r="A22" s="477" t="s">
        <v>383</v>
      </c>
      <c r="B22" s="478" t="s">
        <v>384</v>
      </c>
      <c r="C22" s="486"/>
      <c r="D22" s="487"/>
    </row>
    <row r="23" spans="1:4" s="1" customFormat="1" ht="13.5" customHeight="1">
      <c r="A23" s="477" t="s">
        <v>598</v>
      </c>
      <c r="B23" s="478" t="s">
        <v>319</v>
      </c>
      <c r="C23" s="486"/>
      <c r="D23" s="487"/>
    </row>
    <row r="24" spans="1:4" s="1" customFormat="1" ht="13.5" customHeight="1">
      <c r="A24" s="477" t="s">
        <v>600</v>
      </c>
      <c r="B24" s="478" t="s">
        <v>320</v>
      </c>
      <c r="C24" s="486"/>
      <c r="D24" s="487"/>
    </row>
    <row r="25" spans="1:4" s="1" customFormat="1" ht="15" customHeight="1">
      <c r="A25" s="477" t="s">
        <v>664</v>
      </c>
      <c r="B25" s="478" t="s">
        <v>385</v>
      </c>
      <c r="C25" s="486"/>
      <c r="D25" s="487"/>
    </row>
    <row r="26" spans="1:4" s="1" customFormat="1" ht="15" customHeight="1">
      <c r="A26" s="477" t="s">
        <v>665</v>
      </c>
      <c r="B26" s="478" t="s">
        <v>321</v>
      </c>
      <c r="C26" s="486"/>
      <c r="D26" s="487"/>
    </row>
    <row r="27" spans="1:4" s="1" customFormat="1" ht="15" customHeight="1" thickBot="1">
      <c r="A27" s="477" t="s">
        <v>666</v>
      </c>
      <c r="B27" s="478" t="s">
        <v>322</v>
      </c>
      <c r="C27" s="486"/>
      <c r="D27" s="487"/>
    </row>
    <row r="28" spans="1:4" s="1" customFormat="1" ht="13.5" customHeight="1" thickBot="1">
      <c r="A28" s="469" t="s">
        <v>498</v>
      </c>
      <c r="B28" s="470" t="s">
        <v>749</v>
      </c>
      <c r="C28" s="471">
        <v>214407000</v>
      </c>
      <c r="D28" s="472">
        <f>D33+D35</f>
        <v>157449027</v>
      </c>
    </row>
    <row r="29" spans="1:4" s="1" customFormat="1" ht="13.5" customHeight="1">
      <c r="A29" s="473" t="s">
        <v>568</v>
      </c>
      <c r="B29" s="474" t="s">
        <v>476</v>
      </c>
      <c r="C29" s="475"/>
      <c r="D29" s="476"/>
    </row>
    <row r="30" spans="1:4" s="1" customFormat="1" ht="13.5" customHeight="1">
      <c r="A30" s="477" t="s">
        <v>569</v>
      </c>
      <c r="B30" s="474" t="s">
        <v>323</v>
      </c>
      <c r="C30" s="479">
        <v>181000000</v>
      </c>
      <c r="D30" s="480"/>
    </row>
    <row r="31" spans="1:4" s="1" customFormat="1" ht="15.75" customHeight="1">
      <c r="A31" s="477" t="s">
        <v>570</v>
      </c>
      <c r="B31" s="474" t="s">
        <v>324</v>
      </c>
      <c r="C31" s="479"/>
      <c r="D31" s="480"/>
    </row>
    <row r="32" spans="1:4" s="1" customFormat="1" ht="15" customHeight="1">
      <c r="A32" s="477" t="s">
        <v>571</v>
      </c>
      <c r="B32" s="478" t="s">
        <v>305</v>
      </c>
      <c r="C32" s="479"/>
      <c r="D32" s="480"/>
    </row>
    <row r="33" spans="1:4" s="1" customFormat="1" ht="15" customHeight="1">
      <c r="A33" s="477" t="s">
        <v>387</v>
      </c>
      <c r="B33" s="478" t="s">
        <v>386</v>
      </c>
      <c r="C33" s="479">
        <v>33407000</v>
      </c>
      <c r="D33" s="480">
        <v>24058306</v>
      </c>
    </row>
    <row r="34" spans="1:4" s="1" customFormat="1" ht="15" customHeight="1">
      <c r="A34" s="477" t="s">
        <v>388</v>
      </c>
      <c r="B34" s="478" t="s">
        <v>753</v>
      </c>
      <c r="C34" s="479"/>
      <c r="D34" s="480"/>
    </row>
    <row r="35" spans="1:4" s="1" customFormat="1" ht="13.5" customHeight="1">
      <c r="A35" s="477" t="s">
        <v>389</v>
      </c>
      <c r="B35" s="478" t="s">
        <v>304</v>
      </c>
      <c r="C35" s="479"/>
      <c r="D35" s="480">
        <v>133390721</v>
      </c>
    </row>
    <row r="36" spans="1:4" s="1" customFormat="1" ht="13.5" customHeight="1" thickBot="1">
      <c r="A36" s="482" t="s">
        <v>391</v>
      </c>
      <c r="B36" s="483" t="s">
        <v>390</v>
      </c>
      <c r="C36" s="486"/>
      <c r="D36" s="487"/>
    </row>
    <row r="37" spans="1:4" s="1" customFormat="1" ht="15" customHeight="1" thickBot="1">
      <c r="A37" s="469" t="s">
        <v>649</v>
      </c>
      <c r="B37" s="470" t="s">
        <v>754</v>
      </c>
      <c r="C37" s="488">
        <v>149350000</v>
      </c>
      <c r="D37" s="489">
        <v>145800000</v>
      </c>
    </row>
    <row r="38" spans="1:4" s="1" customFormat="1" ht="14.25" customHeight="1">
      <c r="A38" s="473" t="s">
        <v>755</v>
      </c>
      <c r="B38" s="474" t="s">
        <v>761</v>
      </c>
      <c r="C38" s="490">
        <v>127800000</v>
      </c>
      <c r="D38" s="491">
        <v>125800000</v>
      </c>
    </row>
    <row r="39" spans="1:4" s="1" customFormat="1" ht="13.5" customHeight="1">
      <c r="A39" s="477" t="s">
        <v>756</v>
      </c>
      <c r="B39" s="478" t="s">
        <v>762</v>
      </c>
      <c r="C39" s="479">
        <v>5800000</v>
      </c>
      <c r="D39" s="480">
        <v>5800000</v>
      </c>
    </row>
    <row r="40" spans="1:4" s="1" customFormat="1" ht="13.5" customHeight="1">
      <c r="A40" s="477" t="s">
        <v>757</v>
      </c>
      <c r="B40" s="478" t="s">
        <v>763</v>
      </c>
      <c r="C40" s="479">
        <v>122000000</v>
      </c>
      <c r="D40" s="480">
        <v>120000000</v>
      </c>
    </row>
    <row r="41" spans="1:4" s="1" customFormat="1" ht="13.5" customHeight="1">
      <c r="A41" s="477" t="s">
        <v>758</v>
      </c>
      <c r="B41" s="478" t="s">
        <v>764</v>
      </c>
      <c r="C41" s="479">
        <v>18500000</v>
      </c>
      <c r="D41" s="480">
        <v>18000000</v>
      </c>
    </row>
    <row r="42" spans="1:4" s="1" customFormat="1" ht="15" customHeight="1">
      <c r="A42" s="477" t="s">
        <v>759</v>
      </c>
      <c r="B42" s="478" t="s">
        <v>765</v>
      </c>
      <c r="C42" s="479">
        <v>250000</v>
      </c>
      <c r="D42" s="480">
        <v>300000</v>
      </c>
    </row>
    <row r="43" spans="1:4" s="1" customFormat="1" ht="15" customHeight="1">
      <c r="A43" s="482" t="s">
        <v>760</v>
      </c>
      <c r="B43" s="719" t="s">
        <v>276</v>
      </c>
      <c r="C43" s="486">
        <v>1300000</v>
      </c>
      <c r="D43" s="487">
        <v>900000</v>
      </c>
    </row>
    <row r="44" spans="1:4" s="1" customFormat="1" ht="15.75" customHeight="1" thickBot="1">
      <c r="A44" s="482" t="s">
        <v>274</v>
      </c>
      <c r="B44" s="483" t="s">
        <v>766</v>
      </c>
      <c r="C44" s="486">
        <v>1500000</v>
      </c>
      <c r="D44" s="487">
        <v>800000</v>
      </c>
    </row>
    <row r="45" spans="1:4" s="1" customFormat="1" ht="14.25" customHeight="1" thickBot="1">
      <c r="A45" s="469" t="s">
        <v>500</v>
      </c>
      <c r="B45" s="470" t="s">
        <v>767</v>
      </c>
      <c r="C45" s="471">
        <v>151851894</v>
      </c>
      <c r="D45" s="472">
        <v>116111900</v>
      </c>
    </row>
    <row r="46" spans="1:4" s="1" customFormat="1" ht="15" customHeight="1">
      <c r="A46" s="473" t="s">
        <v>572</v>
      </c>
      <c r="B46" s="474" t="s">
        <v>770</v>
      </c>
      <c r="C46" s="475"/>
      <c r="D46" s="476"/>
    </row>
    <row r="47" spans="1:4" s="1" customFormat="1" ht="13.5" customHeight="1">
      <c r="A47" s="477" t="s">
        <v>573</v>
      </c>
      <c r="B47" s="478" t="s">
        <v>771</v>
      </c>
      <c r="C47" s="479">
        <v>13622000</v>
      </c>
      <c r="D47" s="480">
        <v>10800000</v>
      </c>
    </row>
    <row r="48" spans="1:4" s="1" customFormat="1" ht="13.5" customHeight="1">
      <c r="A48" s="477" t="s">
        <v>574</v>
      </c>
      <c r="B48" s="478" t="s">
        <v>772</v>
      </c>
      <c r="C48" s="479">
        <v>300000</v>
      </c>
      <c r="D48" s="480">
        <v>300000</v>
      </c>
    </row>
    <row r="49" spans="1:4" s="1" customFormat="1" ht="13.5" customHeight="1">
      <c r="A49" s="477" t="s">
        <v>651</v>
      </c>
      <c r="B49" s="478" t="s">
        <v>773</v>
      </c>
      <c r="C49" s="479"/>
      <c r="D49" s="480">
        <v>3200000</v>
      </c>
    </row>
    <row r="50" spans="1:4" s="1" customFormat="1" ht="13.5" customHeight="1">
      <c r="A50" s="477" t="s">
        <v>652</v>
      </c>
      <c r="B50" s="478" t="s">
        <v>774</v>
      </c>
      <c r="C50" s="479">
        <v>83277000</v>
      </c>
      <c r="D50" s="480">
        <v>81231900</v>
      </c>
    </row>
    <row r="51" spans="1:4" s="1" customFormat="1" ht="13.5" customHeight="1">
      <c r="A51" s="477" t="s">
        <v>653</v>
      </c>
      <c r="B51" s="478" t="s">
        <v>775</v>
      </c>
      <c r="C51" s="479">
        <v>33245000</v>
      </c>
      <c r="D51" s="480">
        <v>3280000</v>
      </c>
    </row>
    <row r="52" spans="1:4" s="1" customFormat="1" ht="13.5" customHeight="1">
      <c r="A52" s="477" t="s">
        <v>654</v>
      </c>
      <c r="B52" s="478" t="s">
        <v>776</v>
      </c>
      <c r="C52" s="479">
        <v>9241000</v>
      </c>
      <c r="D52" s="480">
        <v>9300000</v>
      </c>
    </row>
    <row r="53" spans="1:4" s="1" customFormat="1" ht="15" customHeight="1">
      <c r="A53" s="477" t="s">
        <v>655</v>
      </c>
      <c r="B53" s="478" t="s">
        <v>777</v>
      </c>
      <c r="C53" s="479">
        <v>1500000</v>
      </c>
      <c r="D53" s="480">
        <v>1000000</v>
      </c>
    </row>
    <row r="54" spans="1:4" s="1" customFormat="1" ht="13.5" customHeight="1">
      <c r="A54" s="477" t="s">
        <v>768</v>
      </c>
      <c r="B54" s="478" t="s">
        <v>778</v>
      </c>
      <c r="C54" s="492"/>
      <c r="D54" s="493"/>
    </row>
    <row r="55" spans="1:4" s="1" customFormat="1" ht="14.25" customHeight="1" thickBot="1">
      <c r="A55" s="482" t="s">
        <v>769</v>
      </c>
      <c r="B55" s="483" t="s">
        <v>779</v>
      </c>
      <c r="C55" s="494">
        <v>10666894</v>
      </c>
      <c r="D55" s="495">
        <v>7000000</v>
      </c>
    </row>
    <row r="56" spans="1:4" s="1" customFormat="1" ht="18" customHeight="1" thickBot="1">
      <c r="A56" s="469" t="s">
        <v>501</v>
      </c>
      <c r="B56" s="470" t="s">
        <v>780</v>
      </c>
      <c r="C56" s="471">
        <v>105000000</v>
      </c>
      <c r="D56" s="472"/>
    </row>
    <row r="57" spans="1:4" s="1" customFormat="1" ht="18" customHeight="1">
      <c r="A57" s="473" t="s">
        <v>575</v>
      </c>
      <c r="B57" s="474" t="s">
        <v>784</v>
      </c>
      <c r="C57" s="496"/>
      <c r="D57" s="497"/>
    </row>
    <row r="58" spans="1:4" s="1" customFormat="1" ht="15.75" customHeight="1">
      <c r="A58" s="477" t="s">
        <v>576</v>
      </c>
      <c r="B58" s="478" t="s">
        <v>785</v>
      </c>
      <c r="C58" s="492">
        <v>105000000</v>
      </c>
      <c r="D58" s="493"/>
    </row>
    <row r="59" spans="1:4" s="1" customFormat="1" ht="17.25" customHeight="1">
      <c r="A59" s="477" t="s">
        <v>781</v>
      </c>
      <c r="B59" s="478" t="s">
        <v>786</v>
      </c>
      <c r="C59" s="492"/>
      <c r="D59" s="493"/>
    </row>
    <row r="60" spans="1:4" s="1" customFormat="1" ht="15" customHeight="1">
      <c r="A60" s="477" t="s">
        <v>782</v>
      </c>
      <c r="B60" s="478" t="s">
        <v>166</v>
      </c>
      <c r="C60" s="492"/>
      <c r="D60" s="493"/>
    </row>
    <row r="61" spans="1:4" s="1" customFormat="1" ht="16.5" customHeight="1" thickBot="1">
      <c r="A61" s="482" t="s">
        <v>783</v>
      </c>
      <c r="B61" s="483" t="s">
        <v>788</v>
      </c>
      <c r="C61" s="494"/>
      <c r="D61" s="495"/>
    </row>
    <row r="62" spans="1:4" s="1" customFormat="1" ht="15" customHeight="1" thickBot="1">
      <c r="A62" s="469" t="s">
        <v>656</v>
      </c>
      <c r="B62" s="470" t="s">
        <v>789</v>
      </c>
      <c r="C62" s="471"/>
      <c r="D62" s="472"/>
    </row>
    <row r="63" spans="1:4" s="1" customFormat="1" ht="15.75" customHeight="1">
      <c r="A63" s="473" t="s">
        <v>577</v>
      </c>
      <c r="B63" s="478" t="s">
        <v>153</v>
      </c>
      <c r="C63" s="475"/>
      <c r="D63" s="476"/>
    </row>
    <row r="64" spans="1:4" s="1" customFormat="1" ht="15" customHeight="1">
      <c r="A64" s="477" t="s">
        <v>578</v>
      </c>
      <c r="B64" s="478" t="s">
        <v>370</v>
      </c>
      <c r="C64" s="479"/>
      <c r="D64" s="480"/>
    </row>
    <row r="65" spans="1:4" s="1" customFormat="1" ht="15.75" customHeight="1">
      <c r="A65" s="477" t="s">
        <v>793</v>
      </c>
      <c r="B65" s="478" t="s">
        <v>791</v>
      </c>
      <c r="C65" s="479"/>
      <c r="D65" s="480"/>
    </row>
    <row r="66" spans="1:4" s="1" customFormat="1" ht="15" customHeight="1" thickBot="1">
      <c r="A66" s="482" t="s">
        <v>794</v>
      </c>
      <c r="B66" s="483" t="s">
        <v>792</v>
      </c>
      <c r="C66" s="486"/>
      <c r="D66" s="487"/>
    </row>
    <row r="67" spans="1:4" s="1" customFormat="1" ht="13.5" customHeight="1" thickBot="1">
      <c r="A67" s="469" t="s">
        <v>503</v>
      </c>
      <c r="B67" s="485" t="s">
        <v>795</v>
      </c>
      <c r="C67" s="471"/>
      <c r="D67" s="472"/>
    </row>
    <row r="68" spans="1:4" s="1" customFormat="1" ht="12" customHeight="1">
      <c r="A68" s="477" t="s">
        <v>657</v>
      </c>
      <c r="B68" s="478" t="s">
        <v>798</v>
      </c>
      <c r="C68" s="492"/>
      <c r="D68" s="493"/>
    </row>
    <row r="69" spans="1:4" s="1" customFormat="1" ht="12" customHeight="1">
      <c r="A69" s="477" t="s">
        <v>658</v>
      </c>
      <c r="B69" s="478" t="s">
        <v>154</v>
      </c>
      <c r="C69" s="492"/>
      <c r="D69" s="493"/>
    </row>
    <row r="70" spans="1:4" s="1" customFormat="1" ht="12" customHeight="1">
      <c r="A70" s="477" t="s">
        <v>709</v>
      </c>
      <c r="B70" s="478" t="s">
        <v>798</v>
      </c>
      <c r="C70" s="492"/>
      <c r="D70" s="493"/>
    </row>
    <row r="71" spans="1:4" s="1" customFormat="1" ht="12" customHeight="1" thickBot="1">
      <c r="A71" s="477" t="s">
        <v>796</v>
      </c>
      <c r="B71" s="483" t="s">
        <v>371</v>
      </c>
      <c r="C71" s="492"/>
      <c r="D71" s="493"/>
    </row>
    <row r="72" spans="1:4" s="1" customFormat="1" ht="12" customHeight="1" thickBot="1">
      <c r="A72" s="469" t="s">
        <v>504</v>
      </c>
      <c r="B72" s="470" t="s">
        <v>800</v>
      </c>
      <c r="C72" s="488"/>
      <c r="D72" s="489"/>
    </row>
    <row r="73" spans="1:4" s="1" customFormat="1" ht="15.75" customHeight="1" thickBot="1">
      <c r="A73" s="498" t="s">
        <v>801</v>
      </c>
      <c r="B73" s="485" t="s">
        <v>802</v>
      </c>
      <c r="C73" s="471"/>
      <c r="D73" s="472"/>
    </row>
    <row r="74" spans="1:4" s="1" customFormat="1" ht="12.75" customHeight="1">
      <c r="A74" s="477" t="s">
        <v>12</v>
      </c>
      <c r="B74" s="474" t="s">
        <v>803</v>
      </c>
      <c r="C74" s="492"/>
      <c r="D74" s="493"/>
    </row>
    <row r="75" spans="1:4" s="1" customFormat="1" ht="13.5" customHeight="1">
      <c r="A75" s="477" t="s">
        <v>21</v>
      </c>
      <c r="B75" s="478" t="s">
        <v>804</v>
      </c>
      <c r="C75" s="492"/>
      <c r="D75" s="493"/>
    </row>
    <row r="76" spans="1:4" s="1" customFormat="1" ht="12" customHeight="1" thickBot="1">
      <c r="A76" s="477" t="s">
        <v>22</v>
      </c>
      <c r="B76" s="499" t="s">
        <v>160</v>
      </c>
      <c r="C76" s="492"/>
      <c r="D76" s="493"/>
    </row>
    <row r="77" spans="1:4" s="1" customFormat="1" ht="17.25" customHeight="1" thickBot="1">
      <c r="A77" s="498" t="s">
        <v>806</v>
      </c>
      <c r="B77" s="485" t="s">
        <v>807</v>
      </c>
      <c r="C77" s="471"/>
      <c r="D77" s="472">
        <f>D78</f>
        <v>295000000</v>
      </c>
    </row>
    <row r="78" spans="1:4" s="1" customFormat="1" ht="15.75" customHeight="1">
      <c r="A78" s="477" t="s">
        <v>625</v>
      </c>
      <c r="B78" s="474" t="s">
        <v>808</v>
      </c>
      <c r="C78" s="492"/>
      <c r="D78" s="493">
        <v>295000000</v>
      </c>
    </row>
    <row r="79" spans="1:4" s="1" customFormat="1" ht="12" customHeight="1">
      <c r="A79" s="477" t="s">
        <v>626</v>
      </c>
      <c r="B79" s="478" t="s">
        <v>809</v>
      </c>
      <c r="C79" s="492"/>
      <c r="D79" s="493"/>
    </row>
    <row r="80" spans="1:4" s="1" customFormat="1" ht="12" customHeight="1">
      <c r="A80" s="477" t="s">
        <v>13</v>
      </c>
      <c r="B80" s="478" t="s">
        <v>810</v>
      </c>
      <c r="C80" s="492"/>
      <c r="D80" s="493"/>
    </row>
    <row r="81" spans="1:6" s="1" customFormat="1" ht="17.25" customHeight="1" thickBot="1">
      <c r="A81" s="477" t="s">
        <v>14</v>
      </c>
      <c r="B81" s="483" t="s">
        <v>811</v>
      </c>
      <c r="C81" s="492"/>
      <c r="D81" s="493"/>
      <c r="F81" s="39"/>
    </row>
    <row r="82" spans="1:4" s="1" customFormat="1" ht="16.5" thickBot="1">
      <c r="A82" s="498" t="s">
        <v>812</v>
      </c>
      <c r="B82" s="485" t="s">
        <v>813</v>
      </c>
      <c r="C82" s="471">
        <v>194012000</v>
      </c>
      <c r="D82" s="472">
        <f>D83</f>
        <v>199880000</v>
      </c>
    </row>
    <row r="83" spans="1:4" s="1" customFormat="1" ht="15.75" customHeight="1">
      <c r="A83" s="477" t="s">
        <v>15</v>
      </c>
      <c r="B83" s="474" t="s">
        <v>814</v>
      </c>
      <c r="C83" s="492">
        <v>194012000</v>
      </c>
      <c r="D83" s="493">
        <v>199880000</v>
      </c>
    </row>
    <row r="84" spans="1:4" s="1" customFormat="1" ht="12" customHeight="1" thickBot="1">
      <c r="A84" s="477" t="s">
        <v>16</v>
      </c>
      <c r="B84" s="483" t="s">
        <v>815</v>
      </c>
      <c r="C84" s="492"/>
      <c r="D84" s="493"/>
    </row>
    <row r="85" spans="1:4" s="1" customFormat="1" ht="12" customHeight="1" thickBot="1">
      <c r="A85" s="498" t="s">
        <v>816</v>
      </c>
      <c r="B85" s="485" t="s">
        <v>817</v>
      </c>
      <c r="C85" s="471"/>
      <c r="D85" s="472"/>
    </row>
    <row r="86" spans="1:4" s="1" customFormat="1" ht="12" customHeight="1">
      <c r="A86" s="477" t="s">
        <v>17</v>
      </c>
      <c r="B86" s="474" t="s">
        <v>818</v>
      </c>
      <c r="C86" s="492"/>
      <c r="D86" s="493"/>
    </row>
    <row r="87" spans="1:4" s="1" customFormat="1" ht="12" customHeight="1">
      <c r="A87" s="477" t="s">
        <v>18</v>
      </c>
      <c r="B87" s="478" t="s">
        <v>819</v>
      </c>
      <c r="C87" s="492"/>
      <c r="D87" s="493"/>
    </row>
    <row r="88" spans="1:4" s="1" customFormat="1" ht="12" customHeight="1" thickBot="1">
      <c r="A88" s="477" t="s">
        <v>19</v>
      </c>
      <c r="B88" s="483" t="s">
        <v>820</v>
      </c>
      <c r="C88" s="492"/>
      <c r="D88" s="493"/>
    </row>
    <row r="89" spans="1:4" s="1" customFormat="1" ht="12" customHeight="1" thickBot="1">
      <c r="A89" s="498" t="s">
        <v>821</v>
      </c>
      <c r="B89" s="485" t="s">
        <v>20</v>
      </c>
      <c r="C89" s="471">
        <f>SUM(C90:C93)</f>
        <v>0</v>
      </c>
      <c r="D89" s="472"/>
    </row>
    <row r="90" spans="1:4" s="1" customFormat="1" ht="12" customHeight="1">
      <c r="A90" s="500" t="s">
        <v>822</v>
      </c>
      <c r="B90" s="474" t="s">
        <v>0</v>
      </c>
      <c r="C90" s="492"/>
      <c r="D90" s="493"/>
    </row>
    <row r="91" spans="1:4" s="1" customFormat="1" ht="12" customHeight="1">
      <c r="A91" s="501" t="s">
        <v>1</v>
      </c>
      <c r="B91" s="478" t="s">
        <v>2</v>
      </c>
      <c r="C91" s="492"/>
      <c r="D91" s="493"/>
    </row>
    <row r="92" spans="1:4" s="1" customFormat="1" ht="12" customHeight="1">
      <c r="A92" s="501" t="s">
        <v>3</v>
      </c>
      <c r="B92" s="478" t="s">
        <v>4</v>
      </c>
      <c r="C92" s="492"/>
      <c r="D92" s="493"/>
    </row>
    <row r="93" spans="1:4" s="1" customFormat="1" ht="12" customHeight="1" thickBot="1">
      <c r="A93" s="502" t="s">
        <v>5</v>
      </c>
      <c r="B93" s="483" t="s">
        <v>6</v>
      </c>
      <c r="C93" s="492"/>
      <c r="D93" s="493"/>
    </row>
    <row r="94" spans="1:4" s="1" customFormat="1" ht="12" customHeight="1" thickBot="1">
      <c r="A94" s="498" t="s">
        <v>7</v>
      </c>
      <c r="B94" s="485" t="s">
        <v>8</v>
      </c>
      <c r="C94" s="503"/>
      <c r="D94" s="504"/>
    </row>
    <row r="95" spans="1:4" s="1" customFormat="1" ht="12" customHeight="1" thickBot="1">
      <c r="A95" s="498" t="s">
        <v>9</v>
      </c>
      <c r="B95" s="505" t="s">
        <v>10</v>
      </c>
      <c r="C95" s="488"/>
      <c r="D95" s="489"/>
    </row>
    <row r="96" spans="1:4" s="1" customFormat="1" ht="12" customHeight="1" thickBot="1">
      <c r="A96" s="899" t="s">
        <v>512</v>
      </c>
      <c r="B96" s="506" t="s">
        <v>851</v>
      </c>
      <c r="C96" s="488"/>
      <c r="D96" s="489"/>
    </row>
    <row r="97" spans="1:4" s="1" customFormat="1" ht="12" customHeight="1" thickBot="1">
      <c r="A97" s="899" t="s">
        <v>513</v>
      </c>
      <c r="B97" s="506" t="s">
        <v>852</v>
      </c>
      <c r="C97" s="488"/>
      <c r="D97" s="489"/>
    </row>
    <row r="98" spans="1:4" s="1" customFormat="1" ht="15" customHeight="1" thickBot="1">
      <c r="A98" s="899" t="s">
        <v>514</v>
      </c>
      <c r="B98" s="506" t="s">
        <v>11</v>
      </c>
      <c r="C98" s="488">
        <f>C82+C56++C45+C37+C28+C16+C5</f>
        <v>1236858881</v>
      </c>
      <c r="D98" s="489">
        <f>D82+D77+D45+D37+D28+D16+D5</f>
        <v>1317597984</v>
      </c>
    </row>
    <row r="99" spans="1:4" s="1" customFormat="1" ht="12" customHeight="1">
      <c r="A99" s="372"/>
      <c r="B99" s="373"/>
      <c r="C99" s="1021"/>
      <c r="D99" s="507"/>
    </row>
    <row r="100" spans="1:4" s="1" customFormat="1" ht="12" customHeight="1">
      <c r="A100" s="1136"/>
      <c r="B100" s="1136"/>
      <c r="C100" s="1136"/>
      <c r="D100" s="1136"/>
    </row>
    <row r="101" spans="1:4" s="1" customFormat="1" ht="12" customHeight="1" thickBot="1">
      <c r="A101" s="1176"/>
      <c r="B101" s="1176"/>
      <c r="C101" s="463"/>
      <c r="D101" s="464"/>
    </row>
    <row r="102" spans="1:5" s="1" customFormat="1" ht="34.5" customHeight="1" thickBot="1">
      <c r="A102" s="465" t="s">
        <v>494</v>
      </c>
      <c r="B102" s="466" t="s">
        <v>525</v>
      </c>
      <c r="C102" s="467" t="s">
        <v>826</v>
      </c>
      <c r="D102" s="468" t="s">
        <v>827</v>
      </c>
      <c r="E102" s="145"/>
    </row>
    <row r="103" spans="1:5" s="1" customFormat="1" ht="12" customHeight="1" thickBot="1">
      <c r="A103" s="465">
        <v>1</v>
      </c>
      <c r="B103" s="466">
        <v>2</v>
      </c>
      <c r="C103" s="466">
        <v>4</v>
      </c>
      <c r="D103" s="508">
        <v>5</v>
      </c>
      <c r="E103" s="145"/>
    </row>
    <row r="104" spans="1:5" s="1" customFormat="1" ht="15" customHeight="1" thickBot="1">
      <c r="A104" s="509" t="s">
        <v>496</v>
      </c>
      <c r="B104" s="510" t="s">
        <v>167</v>
      </c>
      <c r="C104" s="511">
        <v>668516901</v>
      </c>
      <c r="D104" s="512">
        <v>626926195</v>
      </c>
      <c r="E104" s="145"/>
    </row>
    <row r="105" spans="1:4" s="1" customFormat="1" ht="12.75" customHeight="1">
      <c r="A105" s="513" t="s">
        <v>579</v>
      </c>
      <c r="B105" s="514" t="s">
        <v>526</v>
      </c>
      <c r="C105" s="515">
        <v>198687051</v>
      </c>
      <c r="D105" s="516">
        <v>207127000</v>
      </c>
    </row>
    <row r="106" spans="1:4" ht="16.5" customHeight="1">
      <c r="A106" s="477" t="s">
        <v>580</v>
      </c>
      <c r="B106" s="517" t="s">
        <v>659</v>
      </c>
      <c r="C106" s="479">
        <v>56646815</v>
      </c>
      <c r="D106" s="480">
        <v>49032554</v>
      </c>
    </row>
    <row r="107" spans="1:4" ht="15.75">
      <c r="A107" s="477" t="s">
        <v>581</v>
      </c>
      <c r="B107" s="517" t="s">
        <v>616</v>
      </c>
      <c r="C107" s="486">
        <v>265847537</v>
      </c>
      <c r="D107" s="487">
        <v>217013000</v>
      </c>
    </row>
    <row r="108" spans="1:4" s="38" customFormat="1" ht="12" customHeight="1">
      <c r="A108" s="477" t="s">
        <v>582</v>
      </c>
      <c r="B108" s="518" t="s">
        <v>660</v>
      </c>
      <c r="C108" s="486">
        <v>9611000</v>
      </c>
      <c r="D108" s="487">
        <v>9611000</v>
      </c>
    </row>
    <row r="109" spans="1:4" ht="12" customHeight="1">
      <c r="A109" s="477" t="s">
        <v>593</v>
      </c>
      <c r="B109" s="519" t="s">
        <v>661</v>
      </c>
      <c r="C109" s="486">
        <v>137724498</v>
      </c>
      <c r="D109" s="487">
        <v>144142641</v>
      </c>
    </row>
    <row r="110" spans="1:4" ht="12" customHeight="1">
      <c r="A110" s="477" t="s">
        <v>583</v>
      </c>
      <c r="B110" s="517" t="s">
        <v>27</v>
      </c>
      <c r="C110" s="486"/>
      <c r="D110" s="487"/>
    </row>
    <row r="111" spans="1:4" ht="12" customHeight="1">
      <c r="A111" s="477" t="s">
        <v>584</v>
      </c>
      <c r="B111" s="520" t="s">
        <v>28</v>
      </c>
      <c r="C111" s="486"/>
      <c r="D111" s="487"/>
    </row>
    <row r="112" spans="1:4" ht="12" customHeight="1">
      <c r="A112" s="477" t="s">
        <v>594</v>
      </c>
      <c r="B112" s="521" t="s">
        <v>29</v>
      </c>
      <c r="C112" s="486"/>
      <c r="D112" s="487"/>
    </row>
    <row r="113" spans="1:4" ht="12" customHeight="1">
      <c r="A113" s="477" t="s">
        <v>595</v>
      </c>
      <c r="B113" s="521" t="s">
        <v>30</v>
      </c>
      <c r="C113" s="486">
        <v>1194000</v>
      </c>
      <c r="D113" s="487"/>
    </row>
    <row r="114" spans="1:4" ht="12" customHeight="1">
      <c r="A114" s="477" t="s">
        <v>596</v>
      </c>
      <c r="B114" s="520" t="s">
        <v>367</v>
      </c>
      <c r="C114" s="486">
        <v>131330498</v>
      </c>
      <c r="D114" s="487">
        <v>138942641</v>
      </c>
    </row>
    <row r="115" spans="1:4" ht="12" customHeight="1">
      <c r="A115" s="477" t="s">
        <v>597</v>
      </c>
      <c r="B115" s="520" t="s">
        <v>31</v>
      </c>
      <c r="C115" s="486">
        <v>2000000</v>
      </c>
      <c r="D115" s="487">
        <v>2000000</v>
      </c>
    </row>
    <row r="116" spans="1:4" ht="12" customHeight="1">
      <c r="A116" s="477" t="s">
        <v>599</v>
      </c>
      <c r="B116" s="521" t="s">
        <v>33</v>
      </c>
      <c r="C116" s="486"/>
      <c r="D116" s="487"/>
    </row>
    <row r="117" spans="1:4" ht="12" customHeight="1">
      <c r="A117" s="522" t="s">
        <v>662</v>
      </c>
      <c r="B117" s="520" t="s">
        <v>392</v>
      </c>
      <c r="C117" s="486"/>
      <c r="D117" s="487"/>
    </row>
    <row r="118" spans="1:4" ht="12" customHeight="1">
      <c r="A118" s="477" t="s">
        <v>24</v>
      </c>
      <c r="B118" s="520" t="s">
        <v>368</v>
      </c>
      <c r="C118" s="486"/>
      <c r="D118" s="487"/>
    </row>
    <row r="119" spans="1:4" ht="12" customHeight="1" thickBot="1">
      <c r="A119" s="523" t="s">
        <v>25</v>
      </c>
      <c r="B119" s="520" t="s">
        <v>369</v>
      </c>
      <c r="C119" s="524">
        <v>3200000</v>
      </c>
      <c r="D119" s="525">
        <v>3200000</v>
      </c>
    </row>
    <row r="120" spans="1:4" ht="21" customHeight="1" thickBot="1">
      <c r="A120" s="469" t="s">
        <v>497</v>
      </c>
      <c r="B120" s="526" t="s">
        <v>168</v>
      </c>
      <c r="C120" s="471">
        <v>134524000</v>
      </c>
      <c r="D120" s="472">
        <f>D121+D123</f>
        <v>321411285</v>
      </c>
    </row>
    <row r="121" spans="1:4" ht="18.75" customHeight="1">
      <c r="A121" s="473" t="s">
        <v>585</v>
      </c>
      <c r="B121" s="517" t="s">
        <v>708</v>
      </c>
      <c r="C121" s="475">
        <v>39412000</v>
      </c>
      <c r="D121" s="476">
        <v>140411285</v>
      </c>
    </row>
    <row r="122" spans="1:4" ht="12" customHeight="1">
      <c r="A122" s="473" t="s">
        <v>586</v>
      </c>
      <c r="B122" s="527" t="s">
        <v>41</v>
      </c>
      <c r="C122" s="475"/>
      <c r="D122" s="476"/>
    </row>
    <row r="123" spans="1:4" ht="12" customHeight="1">
      <c r="A123" s="473" t="s">
        <v>587</v>
      </c>
      <c r="B123" s="527" t="s">
        <v>663</v>
      </c>
      <c r="C123" s="479">
        <v>45147000</v>
      </c>
      <c r="D123" s="480">
        <v>181000000</v>
      </c>
    </row>
    <row r="124" spans="1:4" ht="12" customHeight="1">
      <c r="A124" s="473" t="s">
        <v>588</v>
      </c>
      <c r="B124" s="527" t="s">
        <v>42</v>
      </c>
      <c r="C124" s="479"/>
      <c r="D124" s="480"/>
    </row>
    <row r="125" spans="1:4" ht="12" customHeight="1">
      <c r="A125" s="473" t="s">
        <v>589</v>
      </c>
      <c r="B125" s="483" t="s">
        <v>710</v>
      </c>
      <c r="C125" s="479">
        <v>49965000</v>
      </c>
      <c r="D125" s="480"/>
    </row>
    <row r="126" spans="1:4" ht="12" customHeight="1">
      <c r="A126" s="473" t="s">
        <v>598</v>
      </c>
      <c r="B126" s="528" t="s">
        <v>155</v>
      </c>
      <c r="C126" s="479"/>
      <c r="D126" s="480"/>
    </row>
    <row r="127" spans="1:4" ht="31.5">
      <c r="A127" s="473" t="s">
        <v>600</v>
      </c>
      <c r="B127" s="529" t="s">
        <v>47</v>
      </c>
      <c r="C127" s="479"/>
      <c r="D127" s="480"/>
    </row>
    <row r="128" spans="1:4" ht="12" customHeight="1">
      <c r="A128" s="473" t="s">
        <v>664</v>
      </c>
      <c r="B128" s="521" t="s">
        <v>46</v>
      </c>
      <c r="C128" s="479">
        <v>31646000</v>
      </c>
      <c r="D128" s="480"/>
    </row>
    <row r="129" spans="1:4" ht="12" customHeight="1">
      <c r="A129" s="473" t="s">
        <v>665</v>
      </c>
      <c r="B129" s="521" t="s">
        <v>342</v>
      </c>
      <c r="C129" s="479">
        <v>17119000</v>
      </c>
      <c r="D129" s="480"/>
    </row>
    <row r="130" spans="1:4" ht="12" customHeight="1">
      <c r="A130" s="473" t="s">
        <v>666</v>
      </c>
      <c r="B130" s="521" t="s">
        <v>372</v>
      </c>
      <c r="C130" s="479"/>
      <c r="D130" s="480"/>
    </row>
    <row r="131" spans="1:4" ht="12" customHeight="1">
      <c r="A131" s="473" t="s">
        <v>38</v>
      </c>
      <c r="B131" s="521" t="s">
        <v>45</v>
      </c>
      <c r="C131" s="479"/>
      <c r="D131" s="480"/>
    </row>
    <row r="132" spans="1:4" ht="12" customHeight="1">
      <c r="A132" s="473" t="s">
        <v>39</v>
      </c>
      <c r="B132" s="521" t="s">
        <v>33</v>
      </c>
      <c r="C132" s="479"/>
      <c r="D132" s="480"/>
    </row>
    <row r="133" spans="1:4" ht="12" customHeight="1">
      <c r="A133" s="473" t="s">
        <v>40</v>
      </c>
      <c r="B133" s="521" t="s">
        <v>44</v>
      </c>
      <c r="C133" s="479"/>
      <c r="D133" s="480"/>
    </row>
    <row r="134" spans="1:4" ht="12" customHeight="1" thickBot="1">
      <c r="A134" s="522" t="s">
        <v>347</v>
      </c>
      <c r="B134" s="521" t="s">
        <v>43</v>
      </c>
      <c r="C134" s="486">
        <v>1200000</v>
      </c>
      <c r="D134" s="487"/>
    </row>
    <row r="135" spans="1:4" ht="15.75" customHeight="1" thickBot="1">
      <c r="A135" s="469" t="s">
        <v>498</v>
      </c>
      <c r="B135" s="530" t="s">
        <v>48</v>
      </c>
      <c r="C135" s="471">
        <v>124805980</v>
      </c>
      <c r="D135" s="472">
        <f>D136+D137</f>
        <v>369260504</v>
      </c>
    </row>
    <row r="136" spans="1:4" ht="12" customHeight="1">
      <c r="A136" s="473" t="s">
        <v>568</v>
      </c>
      <c r="B136" s="531" t="s">
        <v>537</v>
      </c>
      <c r="C136" s="475">
        <v>65985980</v>
      </c>
      <c r="D136" s="476">
        <v>38342762</v>
      </c>
    </row>
    <row r="137" spans="1:4" ht="12" customHeight="1" thickBot="1">
      <c r="A137" s="482" t="s">
        <v>569</v>
      </c>
      <c r="B137" s="527" t="s">
        <v>538</v>
      </c>
      <c r="C137" s="486">
        <v>58820000</v>
      </c>
      <c r="D137" s="487">
        <v>330917742</v>
      </c>
    </row>
    <row r="138" spans="1:4" ht="12" customHeight="1" thickBot="1">
      <c r="A138" s="469" t="s">
        <v>499</v>
      </c>
      <c r="B138" s="530" t="s">
        <v>49</v>
      </c>
      <c r="C138" s="471"/>
      <c r="D138" s="472"/>
    </row>
    <row r="139" spans="1:4" ht="13.5" customHeight="1" thickBot="1">
      <c r="A139" s="469" t="s">
        <v>500</v>
      </c>
      <c r="B139" s="530" t="s">
        <v>50</v>
      </c>
      <c r="C139" s="471"/>
      <c r="D139" s="472"/>
    </row>
    <row r="140" spans="1:4" ht="12" customHeight="1">
      <c r="A140" s="473" t="s">
        <v>572</v>
      </c>
      <c r="B140" s="531" t="s">
        <v>51</v>
      </c>
      <c r="C140" s="479"/>
      <c r="D140" s="480"/>
    </row>
    <row r="141" spans="1:4" ht="12" customHeight="1">
      <c r="A141" s="473" t="s">
        <v>573</v>
      </c>
      <c r="B141" s="531" t="s">
        <v>52</v>
      </c>
      <c r="C141" s="479"/>
      <c r="D141" s="480"/>
    </row>
    <row r="142" spans="1:4" ht="12" customHeight="1" thickBot="1">
      <c r="A142" s="522" t="s">
        <v>574</v>
      </c>
      <c r="B142" s="532" t="s">
        <v>53</v>
      </c>
      <c r="C142" s="479"/>
      <c r="D142" s="480"/>
    </row>
    <row r="143" spans="1:4" ht="12" customHeight="1" thickBot="1">
      <c r="A143" s="469" t="s">
        <v>501</v>
      </c>
      <c r="B143" s="530" t="s">
        <v>114</v>
      </c>
      <c r="C143" s="471">
        <v>295000000</v>
      </c>
      <c r="D143" s="472"/>
    </row>
    <row r="144" spans="1:4" ht="12" customHeight="1">
      <c r="A144" s="473" t="s">
        <v>575</v>
      </c>
      <c r="B144" s="531" t="s">
        <v>54</v>
      </c>
      <c r="C144" s="479">
        <v>295000000</v>
      </c>
      <c r="D144" s="480"/>
    </row>
    <row r="145" spans="1:4" ht="12" customHeight="1">
      <c r="A145" s="473" t="s">
        <v>576</v>
      </c>
      <c r="B145" s="531" t="s">
        <v>55</v>
      </c>
      <c r="C145" s="479"/>
      <c r="D145" s="480"/>
    </row>
    <row r="146" spans="1:4" ht="12" customHeight="1">
      <c r="A146" s="473" t="s">
        <v>781</v>
      </c>
      <c r="B146" s="531" t="s">
        <v>56</v>
      </c>
      <c r="C146" s="479"/>
      <c r="D146" s="480"/>
    </row>
    <row r="147" spans="1:4" ht="12" customHeight="1" thickBot="1">
      <c r="A147" s="522" t="s">
        <v>782</v>
      </c>
      <c r="B147" s="532" t="s">
        <v>57</v>
      </c>
      <c r="C147" s="479"/>
      <c r="D147" s="480"/>
    </row>
    <row r="148" spans="1:4" ht="12" customHeight="1" thickBot="1">
      <c r="A148" s="469" t="s">
        <v>502</v>
      </c>
      <c r="B148" s="530" t="s">
        <v>58</v>
      </c>
      <c r="C148" s="488">
        <v>14012000</v>
      </c>
      <c r="D148" s="489"/>
    </row>
    <row r="149" spans="1:4" ht="12" customHeight="1">
      <c r="A149" s="473" t="s">
        <v>577</v>
      </c>
      <c r="B149" s="531" t="s">
        <v>59</v>
      </c>
      <c r="C149" s="479"/>
      <c r="D149" s="480"/>
    </row>
    <row r="150" spans="1:4" ht="12" customHeight="1">
      <c r="A150" s="473" t="s">
        <v>578</v>
      </c>
      <c r="B150" s="531" t="s">
        <v>69</v>
      </c>
      <c r="C150" s="479">
        <v>14012000</v>
      </c>
      <c r="D150" s="480"/>
    </row>
    <row r="151" spans="1:4" ht="12" customHeight="1">
      <c r="A151" s="473" t="s">
        <v>793</v>
      </c>
      <c r="B151" s="531" t="s">
        <v>60</v>
      </c>
      <c r="C151" s="479"/>
      <c r="D151" s="480"/>
    </row>
    <row r="152" spans="1:4" ht="12" customHeight="1" thickBot="1">
      <c r="A152" s="522" t="s">
        <v>794</v>
      </c>
      <c r="B152" s="532" t="s">
        <v>61</v>
      </c>
      <c r="C152" s="479"/>
      <c r="D152" s="480"/>
    </row>
    <row r="153" spans="1:4" ht="12" customHeight="1" thickBot="1">
      <c r="A153" s="469" t="s">
        <v>503</v>
      </c>
      <c r="B153" s="530" t="s">
        <v>62</v>
      </c>
      <c r="C153" s="533"/>
      <c r="D153" s="534"/>
    </row>
    <row r="154" spans="1:4" ht="12" customHeight="1">
      <c r="A154" s="473" t="s">
        <v>657</v>
      </c>
      <c r="B154" s="531" t="s">
        <v>63</v>
      </c>
      <c r="C154" s="479"/>
      <c r="D154" s="480"/>
    </row>
    <row r="155" spans="1:4" ht="12" customHeight="1">
      <c r="A155" s="473" t="s">
        <v>658</v>
      </c>
      <c r="B155" s="531" t="s">
        <v>64</v>
      </c>
      <c r="C155" s="479"/>
      <c r="D155" s="480"/>
    </row>
    <row r="156" spans="1:4" ht="12" customHeight="1">
      <c r="A156" s="473" t="s">
        <v>709</v>
      </c>
      <c r="B156" s="531" t="s">
        <v>65</v>
      </c>
      <c r="C156" s="479"/>
      <c r="D156" s="480"/>
    </row>
    <row r="157" spans="1:4" ht="12" customHeight="1" thickBot="1">
      <c r="A157" s="473" t="s">
        <v>796</v>
      </c>
      <c r="B157" s="531" t="s">
        <v>66</v>
      </c>
      <c r="C157" s="479"/>
      <c r="D157" s="480"/>
    </row>
    <row r="158" spans="1:4" ht="12" customHeight="1" thickBot="1">
      <c r="A158" s="469" t="s">
        <v>504</v>
      </c>
      <c r="B158" s="530" t="s">
        <v>67</v>
      </c>
      <c r="C158" s="535"/>
      <c r="D158" s="536"/>
    </row>
    <row r="159" spans="1:4" ht="12" customHeight="1" thickBot="1">
      <c r="A159" s="898" t="s">
        <v>505</v>
      </c>
      <c r="B159" s="900" t="s">
        <v>373</v>
      </c>
      <c r="C159" s="535"/>
      <c r="D159" s="536"/>
    </row>
    <row r="160" spans="1:4" ht="12" customHeight="1" thickBot="1">
      <c r="A160" s="898" t="s">
        <v>506</v>
      </c>
      <c r="B160" s="900" t="s">
        <v>374</v>
      </c>
      <c r="C160" s="535"/>
      <c r="D160" s="536"/>
    </row>
    <row r="161" spans="1:4" ht="12" customHeight="1" thickBot="1">
      <c r="A161" s="898" t="s">
        <v>507</v>
      </c>
      <c r="B161" s="900" t="s">
        <v>375</v>
      </c>
      <c r="C161" s="535"/>
      <c r="D161" s="536"/>
    </row>
    <row r="162" spans="1:4" ht="12" customHeight="1" thickBot="1">
      <c r="A162" s="898" t="s">
        <v>508</v>
      </c>
      <c r="B162" s="900" t="s">
        <v>376</v>
      </c>
      <c r="C162" s="535"/>
      <c r="D162" s="536"/>
    </row>
    <row r="163" spans="1:4" ht="12" customHeight="1" thickBot="1">
      <c r="A163" s="898" t="s">
        <v>509</v>
      </c>
      <c r="B163" s="900" t="s">
        <v>377</v>
      </c>
      <c r="C163" s="535"/>
      <c r="D163" s="536"/>
    </row>
    <row r="164" spans="1:4" ht="12" customHeight="1" thickBot="1">
      <c r="A164" s="898" t="s">
        <v>510</v>
      </c>
      <c r="B164" s="900" t="s">
        <v>378</v>
      </c>
      <c r="C164" s="535"/>
      <c r="D164" s="536"/>
    </row>
    <row r="165" spans="1:4" ht="12" customHeight="1" thickBot="1">
      <c r="A165" s="537" t="s">
        <v>511</v>
      </c>
      <c r="B165" s="538" t="s">
        <v>68</v>
      </c>
      <c r="C165" s="535">
        <f>C148+C143+C135+C120+C104</f>
        <v>1236858881</v>
      </c>
      <c r="D165" s="536">
        <f>D135+D120+D104</f>
        <v>1317597984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3"/>
      <c r="D171" s="123"/>
      <c r="E171" s="123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1" manualBreakCount="1">
    <brk id="99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I2" sqref="I2"/>
    </sheetView>
  </sheetViews>
  <sheetFormatPr defaultColWidth="9.00390625" defaultRowHeight="12.75"/>
  <cols>
    <col min="1" max="1" width="6.875" style="193" customWidth="1"/>
    <col min="2" max="2" width="49.625" style="54" customWidth="1"/>
    <col min="3" max="8" width="12.875" style="54" customWidth="1"/>
    <col min="9" max="9" width="13.875" style="54" customWidth="1"/>
    <col min="10" max="16384" width="9.375" style="54" customWidth="1"/>
  </cols>
  <sheetData>
    <row r="1" spans="1:9" ht="27.75" customHeight="1">
      <c r="A1" s="1178" t="s">
        <v>484</v>
      </c>
      <c r="B1" s="1178"/>
      <c r="C1" s="1178"/>
      <c r="D1" s="1178"/>
      <c r="E1" s="1178"/>
      <c r="F1" s="1178"/>
      <c r="G1" s="1178"/>
      <c r="H1" s="1178"/>
      <c r="I1" s="1178"/>
    </row>
    <row r="2" ht="20.25" customHeight="1" thickBot="1">
      <c r="I2" s="458"/>
    </row>
    <row r="3" spans="1:9" s="459" customFormat="1" ht="26.25" customHeight="1">
      <c r="A3" s="1186" t="s">
        <v>549</v>
      </c>
      <c r="B3" s="1181" t="s">
        <v>565</v>
      </c>
      <c r="C3" s="1186" t="s">
        <v>566</v>
      </c>
      <c r="D3" s="1186" t="s">
        <v>270</v>
      </c>
      <c r="E3" s="1183" t="s">
        <v>548</v>
      </c>
      <c r="F3" s="1184"/>
      <c r="G3" s="1184"/>
      <c r="H3" s="1185"/>
      <c r="I3" s="1181" t="s">
        <v>528</v>
      </c>
    </row>
    <row r="4" spans="1:9" s="460" customFormat="1" ht="32.25" customHeight="1" thickBot="1">
      <c r="A4" s="1187"/>
      <c r="B4" s="1182"/>
      <c r="C4" s="1182"/>
      <c r="D4" s="1187"/>
      <c r="E4" s="271">
        <v>2017</v>
      </c>
      <c r="F4" s="271">
        <v>2018</v>
      </c>
      <c r="G4" s="271">
        <v>2019</v>
      </c>
      <c r="H4" s="272" t="s">
        <v>825</v>
      </c>
      <c r="I4" s="1182"/>
    </row>
    <row r="5" spans="1:9" s="461" customFormat="1" ht="12.75" customHeight="1" thickBot="1">
      <c r="A5" s="273">
        <v>1</v>
      </c>
      <c r="B5" s="274">
        <v>2</v>
      </c>
      <c r="C5" s="275">
        <v>3</v>
      </c>
      <c r="D5" s="274">
        <v>4</v>
      </c>
      <c r="E5" s="273">
        <v>5</v>
      </c>
      <c r="F5" s="275">
        <v>6</v>
      </c>
      <c r="G5" s="275">
        <v>7</v>
      </c>
      <c r="H5" s="276">
        <v>8</v>
      </c>
      <c r="I5" s="277" t="s">
        <v>567</v>
      </c>
    </row>
    <row r="6" spans="1:9" ht="24.75" customHeight="1" thickBot="1">
      <c r="A6" s="278" t="s">
        <v>496</v>
      </c>
      <c r="B6" s="279" t="s">
        <v>485</v>
      </c>
      <c r="C6" s="453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280" t="s">
        <v>497</v>
      </c>
      <c r="B7" s="62" t="s">
        <v>550</v>
      </c>
      <c r="C7" s="454"/>
      <c r="D7" s="63"/>
      <c r="E7" s="64"/>
      <c r="F7" s="26"/>
      <c r="G7" s="26"/>
      <c r="H7" s="23"/>
      <c r="I7" s="281">
        <f t="shared" si="0"/>
        <v>0</v>
      </c>
    </row>
    <row r="8" spans="1:9" ht="19.5" customHeight="1" thickBot="1">
      <c r="A8" s="280" t="s">
        <v>498</v>
      </c>
      <c r="B8" s="62" t="s">
        <v>550</v>
      </c>
      <c r="C8" s="454"/>
      <c r="D8" s="63"/>
      <c r="E8" s="64"/>
      <c r="F8" s="26"/>
      <c r="G8" s="26"/>
      <c r="H8" s="23"/>
      <c r="I8" s="281">
        <f t="shared" si="0"/>
        <v>0</v>
      </c>
    </row>
    <row r="9" spans="1:9" ht="25.5" customHeight="1" thickBot="1">
      <c r="A9" s="278" t="s">
        <v>499</v>
      </c>
      <c r="B9" s="279" t="s">
        <v>486</v>
      </c>
      <c r="C9" s="455"/>
      <c r="D9" s="58">
        <f>+D10+D11</f>
        <v>0</v>
      </c>
      <c r="E9" s="59">
        <f>+E10+E11</f>
        <v>0</v>
      </c>
      <c r="F9" s="60">
        <f>+F10+F11</f>
        <v>0</v>
      </c>
      <c r="G9" s="60">
        <f>+G10+G11</f>
        <v>0</v>
      </c>
      <c r="H9" s="61">
        <f>+H10+H11</f>
        <v>0</v>
      </c>
      <c r="I9" s="58">
        <f t="shared" si="0"/>
        <v>0</v>
      </c>
    </row>
    <row r="10" spans="1:9" ht="19.5" customHeight="1">
      <c r="A10" s="280" t="s">
        <v>500</v>
      </c>
      <c r="B10" s="62" t="s">
        <v>550</v>
      </c>
      <c r="C10" s="454"/>
      <c r="D10" s="63"/>
      <c r="E10" s="64"/>
      <c r="F10" s="26"/>
      <c r="G10" s="26"/>
      <c r="H10" s="23"/>
      <c r="I10" s="281">
        <f t="shared" si="0"/>
        <v>0</v>
      </c>
    </row>
    <row r="11" spans="1:9" ht="19.5" customHeight="1" thickBot="1">
      <c r="A11" s="280" t="s">
        <v>501</v>
      </c>
      <c r="B11" s="62" t="s">
        <v>550</v>
      </c>
      <c r="C11" s="454"/>
      <c r="D11" s="63"/>
      <c r="E11" s="64"/>
      <c r="F11" s="26"/>
      <c r="G11" s="26"/>
      <c r="H11" s="23"/>
      <c r="I11" s="281">
        <f t="shared" si="0"/>
        <v>0</v>
      </c>
    </row>
    <row r="12" spans="1:9" ht="19.5" customHeight="1" thickBot="1">
      <c r="A12" s="278" t="s">
        <v>502</v>
      </c>
      <c r="B12" s="279" t="s">
        <v>684</v>
      </c>
      <c r="C12" s="455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280" t="s">
        <v>503</v>
      </c>
      <c r="B13" s="62" t="s">
        <v>550</v>
      </c>
      <c r="C13" s="454"/>
      <c r="D13" s="63"/>
      <c r="E13" s="64"/>
      <c r="F13" s="26"/>
      <c r="G13" s="26"/>
      <c r="H13" s="23"/>
      <c r="I13" s="281">
        <f t="shared" si="0"/>
        <v>0</v>
      </c>
    </row>
    <row r="14" spans="1:9" ht="19.5" customHeight="1" thickBot="1">
      <c r="A14" s="278" t="s">
        <v>504</v>
      </c>
      <c r="B14" s="279" t="s">
        <v>685</v>
      </c>
      <c r="C14" s="455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282" t="s">
        <v>505</v>
      </c>
      <c r="B15" s="65" t="s">
        <v>550</v>
      </c>
      <c r="C15" s="456"/>
      <c r="D15" s="66"/>
      <c r="E15" s="67"/>
      <c r="F15" s="27"/>
      <c r="G15" s="27"/>
      <c r="H15" s="25"/>
      <c r="I15" s="283">
        <f t="shared" si="0"/>
        <v>0</v>
      </c>
    </row>
    <row r="16" spans="1:9" ht="19.5" customHeight="1" thickBot="1">
      <c r="A16" s="278" t="s">
        <v>506</v>
      </c>
      <c r="B16" s="284" t="s">
        <v>686</v>
      </c>
      <c r="C16" s="455"/>
      <c r="D16" s="58">
        <f>+D17</f>
        <v>0</v>
      </c>
      <c r="E16" s="59">
        <v>5200000</v>
      </c>
      <c r="F16" s="60">
        <v>5200000</v>
      </c>
      <c r="G16" s="60">
        <v>5200000</v>
      </c>
      <c r="H16" s="61">
        <v>5200000</v>
      </c>
      <c r="I16" s="58">
        <f t="shared" si="0"/>
        <v>20800000</v>
      </c>
    </row>
    <row r="17" spans="1:9" ht="19.5" customHeight="1" thickBot="1">
      <c r="A17" s="285" t="s">
        <v>507</v>
      </c>
      <c r="B17" s="68" t="s">
        <v>225</v>
      </c>
      <c r="C17" s="457"/>
      <c r="D17" s="69"/>
      <c r="E17" s="70">
        <v>5200000</v>
      </c>
      <c r="F17" s="71">
        <v>5200000</v>
      </c>
      <c r="G17" s="71">
        <v>5200000</v>
      </c>
      <c r="H17" s="24">
        <v>5200000</v>
      </c>
      <c r="I17" s="286">
        <f t="shared" si="0"/>
        <v>20800000</v>
      </c>
    </row>
    <row r="18" spans="1:9" ht="19.5" customHeight="1" thickBot="1">
      <c r="A18" s="1179" t="s">
        <v>622</v>
      </c>
      <c r="B18" s="1180"/>
      <c r="C18" s="903"/>
      <c r="D18" s="58">
        <f aca="true" t="shared" si="1" ref="D18:I18">+D6+D9+D12+D14+D16</f>
        <v>0</v>
      </c>
      <c r="E18" s="59">
        <f t="shared" si="1"/>
        <v>5200000</v>
      </c>
      <c r="F18" s="60">
        <f t="shared" si="1"/>
        <v>5200000</v>
      </c>
      <c r="G18" s="60">
        <f t="shared" si="1"/>
        <v>5200000</v>
      </c>
      <c r="H18" s="61">
        <f t="shared" si="1"/>
        <v>5200000</v>
      </c>
      <c r="I18" s="58">
        <f t="shared" si="1"/>
        <v>20800000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view="pageBreakPreview" zoomScale="60" workbookViewId="0" topLeftCell="A1">
      <selection activeCell="D2" sqref="D2"/>
    </sheetView>
  </sheetViews>
  <sheetFormatPr defaultColWidth="9.00390625" defaultRowHeight="12.75"/>
  <cols>
    <col min="1" max="1" width="5.875" style="8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189" t="s">
        <v>487</v>
      </c>
      <c r="C1" s="1189"/>
      <c r="D1" s="1189"/>
    </row>
    <row r="2" spans="1:4" s="73" customFormat="1" ht="16.5" thickBot="1">
      <c r="A2" s="72"/>
      <c r="B2" s="374"/>
      <c r="D2" s="42"/>
    </row>
    <row r="3" spans="1:4" s="75" customFormat="1" ht="48" customHeight="1" thickBot="1">
      <c r="A3" s="74" t="s">
        <v>494</v>
      </c>
      <c r="B3" s="197" t="s">
        <v>495</v>
      </c>
      <c r="C3" s="197" t="s">
        <v>551</v>
      </c>
      <c r="D3" s="198" t="s">
        <v>552</v>
      </c>
    </row>
    <row r="4" spans="1:4" s="75" customFormat="1" ht="13.5" customHeight="1" thickBot="1">
      <c r="A4" s="33">
        <v>1</v>
      </c>
      <c r="B4" s="200">
        <v>2</v>
      </c>
      <c r="C4" s="200">
        <v>3</v>
      </c>
      <c r="D4" s="201">
        <v>4</v>
      </c>
    </row>
    <row r="5" spans="1:5" ht="18" customHeight="1">
      <c r="A5" s="131" t="s">
        <v>496</v>
      </c>
      <c r="B5" s="202" t="s">
        <v>643</v>
      </c>
      <c r="C5" s="298">
        <v>81231900</v>
      </c>
      <c r="D5" s="76">
        <v>14380000</v>
      </c>
      <c r="E5" s="3" t="s">
        <v>857</v>
      </c>
    </row>
    <row r="6" spans="1:4" ht="18" customHeight="1">
      <c r="A6" s="77" t="s">
        <v>497</v>
      </c>
      <c r="B6" s="203" t="s">
        <v>644</v>
      </c>
      <c r="C6" s="130"/>
      <c r="D6" s="79"/>
    </row>
    <row r="7" spans="1:4" ht="18" customHeight="1">
      <c r="A7" s="77" t="s">
        <v>498</v>
      </c>
      <c r="B7" s="203" t="s">
        <v>601</v>
      </c>
      <c r="C7" s="130"/>
      <c r="D7" s="79"/>
    </row>
    <row r="8" spans="1:4" ht="18" customHeight="1">
      <c r="A8" s="77" t="s">
        <v>499</v>
      </c>
      <c r="B8" s="203" t="s">
        <v>602</v>
      </c>
      <c r="C8" s="130"/>
      <c r="D8" s="79"/>
    </row>
    <row r="9" spans="1:4" ht="18" customHeight="1">
      <c r="A9" s="77" t="s">
        <v>500</v>
      </c>
      <c r="B9" s="203" t="s">
        <v>636</v>
      </c>
      <c r="C9" s="130"/>
      <c r="D9" s="79"/>
    </row>
    <row r="10" spans="1:4" ht="18" customHeight="1">
      <c r="A10" s="77" t="s">
        <v>501</v>
      </c>
      <c r="B10" s="203" t="s">
        <v>637</v>
      </c>
      <c r="C10" s="130"/>
      <c r="D10" s="79"/>
    </row>
    <row r="11" spans="1:4" ht="18" customHeight="1">
      <c r="A11" s="77" t="s">
        <v>502</v>
      </c>
      <c r="B11" s="204" t="s">
        <v>638</v>
      </c>
      <c r="C11" s="130"/>
      <c r="D11" s="79"/>
    </row>
    <row r="12" spans="1:4" ht="18" customHeight="1">
      <c r="A12" s="77" t="s">
        <v>504</v>
      </c>
      <c r="B12" s="204" t="s">
        <v>639</v>
      </c>
      <c r="C12" s="130">
        <v>5800000</v>
      </c>
      <c r="D12" s="79"/>
    </row>
    <row r="13" spans="1:4" ht="18" customHeight="1">
      <c r="A13" s="77" t="s">
        <v>505</v>
      </c>
      <c r="B13" s="204" t="s">
        <v>640</v>
      </c>
      <c r="C13" s="130">
        <v>300000</v>
      </c>
      <c r="D13" s="79"/>
    </row>
    <row r="14" spans="1:4" ht="18" customHeight="1">
      <c r="A14" s="77" t="s">
        <v>506</v>
      </c>
      <c r="B14" s="204" t="s">
        <v>641</v>
      </c>
      <c r="C14" s="130"/>
      <c r="D14" s="79"/>
    </row>
    <row r="15" spans="1:4" ht="22.5" customHeight="1">
      <c r="A15" s="77" t="s">
        <v>507</v>
      </c>
      <c r="B15" s="204" t="s">
        <v>642</v>
      </c>
      <c r="C15" s="130">
        <v>120000000</v>
      </c>
      <c r="D15" s="79"/>
    </row>
    <row r="16" spans="1:4" ht="18" customHeight="1">
      <c r="A16" s="77" t="s">
        <v>508</v>
      </c>
      <c r="B16" s="203" t="s">
        <v>603</v>
      </c>
      <c r="C16" s="130">
        <v>18000000</v>
      </c>
      <c r="D16" s="79"/>
    </row>
    <row r="17" spans="1:4" ht="18" customHeight="1">
      <c r="A17" s="77" t="s">
        <v>509</v>
      </c>
      <c r="B17" s="203" t="s">
        <v>489</v>
      </c>
      <c r="C17" s="130">
        <v>6200000</v>
      </c>
      <c r="D17" s="79"/>
    </row>
    <row r="18" spans="1:4" ht="18" customHeight="1">
      <c r="A18" s="77" t="s">
        <v>510</v>
      </c>
      <c r="B18" s="203" t="s">
        <v>488</v>
      </c>
      <c r="C18" s="130"/>
      <c r="D18" s="79"/>
    </row>
    <row r="19" spans="1:4" ht="18" customHeight="1">
      <c r="A19" s="77" t="s">
        <v>511</v>
      </c>
      <c r="B19" s="203" t="s">
        <v>604</v>
      </c>
      <c r="C19" s="130"/>
      <c r="D19" s="79"/>
    </row>
    <row r="20" spans="1:4" ht="18" customHeight="1">
      <c r="A20" s="77" t="s">
        <v>512</v>
      </c>
      <c r="B20" s="203" t="s">
        <v>605</v>
      </c>
      <c r="C20" s="130"/>
      <c r="D20" s="79"/>
    </row>
    <row r="21" spans="1:4" ht="18" customHeight="1">
      <c r="A21" s="77" t="s">
        <v>513</v>
      </c>
      <c r="B21" s="121"/>
      <c r="C21" s="78"/>
      <c r="D21" s="79"/>
    </row>
    <row r="22" spans="1:4" ht="18" customHeight="1">
      <c r="A22" s="77" t="s">
        <v>514</v>
      </c>
      <c r="B22" s="80"/>
      <c r="C22" s="78"/>
      <c r="D22" s="79"/>
    </row>
    <row r="23" spans="1:4" ht="18" customHeight="1">
      <c r="A23" s="77" t="s">
        <v>515</v>
      </c>
      <c r="B23" s="80"/>
      <c r="C23" s="78"/>
      <c r="D23" s="79"/>
    </row>
    <row r="24" spans="1:4" ht="18" customHeight="1">
      <c r="A24" s="77" t="s">
        <v>516</v>
      </c>
      <c r="B24" s="80"/>
      <c r="C24" s="78"/>
      <c r="D24" s="79"/>
    </row>
    <row r="25" spans="1:4" ht="18" customHeight="1">
      <c r="A25" s="77" t="s">
        <v>517</v>
      </c>
      <c r="B25" s="80"/>
      <c r="C25" s="78"/>
      <c r="D25" s="79"/>
    </row>
    <row r="26" spans="1:4" ht="18" customHeight="1">
      <c r="A26" s="77" t="s">
        <v>518</v>
      </c>
      <c r="B26" s="80"/>
      <c r="C26" s="78"/>
      <c r="D26" s="79"/>
    </row>
    <row r="27" spans="1:4" ht="18" customHeight="1">
      <c r="A27" s="77" t="s">
        <v>519</v>
      </c>
      <c r="B27" s="80"/>
      <c r="C27" s="78"/>
      <c r="D27" s="79"/>
    </row>
    <row r="28" spans="1:4" ht="18" customHeight="1">
      <c r="A28" s="77" t="s">
        <v>520</v>
      </c>
      <c r="B28" s="80"/>
      <c r="C28" s="78"/>
      <c r="D28" s="79"/>
    </row>
    <row r="29" spans="1:4" ht="18" customHeight="1" thickBot="1">
      <c r="A29" s="132" t="s">
        <v>521</v>
      </c>
      <c r="B29" s="81"/>
      <c r="C29" s="82"/>
      <c r="D29" s="83"/>
    </row>
    <row r="30" spans="1:4" ht="18" customHeight="1" thickBot="1">
      <c r="A30" s="34" t="s">
        <v>522</v>
      </c>
      <c r="B30" s="208" t="s">
        <v>529</v>
      </c>
      <c r="C30" s="209">
        <f>+C5+C6+C7+C8+C9+C16+C18+C12+C13+C15+C17+C19+C20+C21+C22+C23+C24+C25+C26+C27+C28+C29</f>
        <v>231531900</v>
      </c>
      <c r="D30" s="210">
        <f>+D5+D6+D7+D8+D9+D16+D17+D18+D19+D20+D21+D22+D23+D24+D25+D26+D27+D28+D29</f>
        <v>14380000</v>
      </c>
    </row>
    <row r="31" spans="1:4" ht="27" customHeight="1">
      <c r="A31" s="84"/>
      <c r="B31" s="1188"/>
      <c r="C31" s="1188"/>
      <c r="D31" s="1188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B1">
      <selection activeCell="C27" sqref="C27:N27"/>
    </sheetView>
  </sheetViews>
  <sheetFormatPr defaultColWidth="9.00390625" defaultRowHeight="12.75"/>
  <cols>
    <col min="1" max="1" width="4.875" style="100" customWidth="1"/>
    <col min="2" max="2" width="31.125" style="115" customWidth="1"/>
    <col min="3" max="3" width="11.125" style="115" bestFit="1" customWidth="1"/>
    <col min="4" max="4" width="10.125" style="115" bestFit="1" customWidth="1"/>
    <col min="5" max="5" width="11.125" style="115" bestFit="1" customWidth="1"/>
    <col min="6" max="7" width="10.125" style="115" bestFit="1" customWidth="1"/>
    <col min="8" max="10" width="11.125" style="115" bestFit="1" customWidth="1"/>
    <col min="11" max="14" width="10.125" style="115" bestFit="1" customWidth="1"/>
    <col min="15" max="15" width="12.625" style="100" customWidth="1"/>
    <col min="16" max="16384" width="9.375" style="115" customWidth="1"/>
  </cols>
  <sheetData>
    <row r="1" spans="1:15" ht="31.5" customHeight="1">
      <c r="A1" s="1193" t="s">
        <v>847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</row>
    <row r="2" ht="16.5" thickBot="1">
      <c r="O2" s="4"/>
    </row>
    <row r="3" spans="1:15" s="100" customFormat="1" ht="25.5" customHeight="1" thickBot="1">
      <c r="A3" s="97" t="s">
        <v>494</v>
      </c>
      <c r="B3" s="98" t="s">
        <v>541</v>
      </c>
      <c r="C3" s="98" t="s">
        <v>553</v>
      </c>
      <c r="D3" s="98" t="s">
        <v>554</v>
      </c>
      <c r="E3" s="98" t="s">
        <v>555</v>
      </c>
      <c r="F3" s="98" t="s">
        <v>556</v>
      </c>
      <c r="G3" s="98" t="s">
        <v>557</v>
      </c>
      <c r="H3" s="98" t="s">
        <v>558</v>
      </c>
      <c r="I3" s="98" t="s">
        <v>559</v>
      </c>
      <c r="J3" s="98" t="s">
        <v>560</v>
      </c>
      <c r="K3" s="98" t="s">
        <v>561</v>
      </c>
      <c r="L3" s="98" t="s">
        <v>562</v>
      </c>
      <c r="M3" s="98" t="s">
        <v>563</v>
      </c>
      <c r="N3" s="98" t="s">
        <v>564</v>
      </c>
      <c r="O3" s="99" t="s">
        <v>529</v>
      </c>
    </row>
    <row r="4" spans="1:15" s="102" customFormat="1" ht="15" customHeight="1" thickBot="1">
      <c r="A4" s="101" t="s">
        <v>496</v>
      </c>
      <c r="B4" s="1190" t="s">
        <v>533</v>
      </c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2"/>
    </row>
    <row r="5" spans="1:15" s="102" customFormat="1" ht="22.5">
      <c r="A5" s="103" t="s">
        <v>497</v>
      </c>
      <c r="B5" s="462" t="s">
        <v>73</v>
      </c>
      <c r="C5" s="104">
        <f>32714181+506895</f>
        <v>33221076</v>
      </c>
      <c r="D5" s="104">
        <v>32714181</v>
      </c>
      <c r="E5" s="104">
        <v>32714181</v>
      </c>
      <c r="F5" s="104">
        <v>32714181</v>
      </c>
      <c r="G5" s="104">
        <v>32714181</v>
      </c>
      <c r="H5" s="104">
        <v>32714181</v>
      </c>
      <c r="I5" s="104">
        <v>32714181</v>
      </c>
      <c r="J5" s="104">
        <v>32714181</v>
      </c>
      <c r="K5" s="104">
        <v>32714181</v>
      </c>
      <c r="L5" s="104">
        <v>32714181</v>
      </c>
      <c r="M5" s="104">
        <v>32714181</v>
      </c>
      <c r="N5" s="104">
        <v>32714171</v>
      </c>
      <c r="O5" s="720">
        <v>393077057</v>
      </c>
    </row>
    <row r="6" spans="1:15" s="109" customFormat="1" ht="22.5">
      <c r="A6" s="106" t="s">
        <v>498</v>
      </c>
      <c r="B6" s="289" t="s">
        <v>146</v>
      </c>
      <c r="C6" s="107">
        <v>856000</v>
      </c>
      <c r="D6" s="107">
        <v>856000</v>
      </c>
      <c r="E6" s="107">
        <v>856000</v>
      </c>
      <c r="F6" s="107">
        <v>856000</v>
      </c>
      <c r="G6" s="107">
        <v>856000</v>
      </c>
      <c r="H6" s="107">
        <v>856000</v>
      </c>
      <c r="I6" s="107">
        <v>856000</v>
      </c>
      <c r="J6" s="107">
        <v>856000</v>
      </c>
      <c r="K6" s="107">
        <v>856000</v>
      </c>
      <c r="L6" s="107">
        <v>856000</v>
      </c>
      <c r="M6" s="107">
        <v>856000</v>
      </c>
      <c r="N6" s="107">
        <v>864000</v>
      </c>
      <c r="O6" s="108">
        <v>10280000</v>
      </c>
    </row>
    <row r="7" spans="1:15" s="109" customFormat="1" ht="22.5">
      <c r="A7" s="106" t="s">
        <v>499</v>
      </c>
      <c r="B7" s="288" t="s">
        <v>147</v>
      </c>
      <c r="C7" s="110">
        <v>13120752</v>
      </c>
      <c r="D7" s="110">
        <v>13120752</v>
      </c>
      <c r="E7" s="110">
        <v>13120752</v>
      </c>
      <c r="F7" s="110">
        <v>13120752</v>
      </c>
      <c r="G7" s="110">
        <v>13120752</v>
      </c>
      <c r="H7" s="110">
        <v>13120752</v>
      </c>
      <c r="I7" s="110">
        <v>13120752</v>
      </c>
      <c r="J7" s="110">
        <v>13120752</v>
      </c>
      <c r="K7" s="110">
        <v>13120752</v>
      </c>
      <c r="L7" s="110">
        <v>13120752</v>
      </c>
      <c r="M7" s="110">
        <v>13120752</v>
      </c>
      <c r="N7" s="110">
        <v>13120755</v>
      </c>
      <c r="O7" s="108">
        <v>157449027</v>
      </c>
    </row>
    <row r="8" spans="1:15" s="109" customFormat="1" ht="13.5" customHeight="1">
      <c r="A8" s="106" t="s">
        <v>500</v>
      </c>
      <c r="B8" s="287" t="s">
        <v>650</v>
      </c>
      <c r="C8" s="107">
        <v>12150000</v>
      </c>
      <c r="D8" s="107">
        <v>12150000</v>
      </c>
      <c r="E8" s="107">
        <v>12150000</v>
      </c>
      <c r="F8" s="107">
        <v>12150000</v>
      </c>
      <c r="G8" s="107">
        <v>12150000</v>
      </c>
      <c r="H8" s="107">
        <v>12150000</v>
      </c>
      <c r="I8" s="107">
        <v>12150000</v>
      </c>
      <c r="J8" s="107">
        <v>12150000</v>
      </c>
      <c r="K8" s="107">
        <v>12150000</v>
      </c>
      <c r="L8" s="107">
        <v>12150000</v>
      </c>
      <c r="M8" s="107">
        <v>12150000</v>
      </c>
      <c r="N8" s="107">
        <v>12150000</v>
      </c>
      <c r="O8" s="108">
        <v>145800000</v>
      </c>
    </row>
    <row r="9" spans="1:15" s="109" customFormat="1" ht="13.5" customHeight="1">
      <c r="A9" s="106" t="s">
        <v>501</v>
      </c>
      <c r="B9" s="287" t="s">
        <v>148</v>
      </c>
      <c r="C9" s="107">
        <v>9675992</v>
      </c>
      <c r="D9" s="107">
        <v>9675992</v>
      </c>
      <c r="E9" s="107">
        <v>9675992</v>
      </c>
      <c r="F9" s="107">
        <v>9675992</v>
      </c>
      <c r="G9" s="107">
        <v>9675992</v>
      </c>
      <c r="H9" s="107">
        <v>9675992</v>
      </c>
      <c r="I9" s="107">
        <v>9675992</v>
      </c>
      <c r="J9" s="107">
        <v>9675992</v>
      </c>
      <c r="K9" s="107">
        <v>9675992</v>
      </c>
      <c r="L9" s="107">
        <v>9675992</v>
      </c>
      <c r="M9" s="107">
        <v>9675992</v>
      </c>
      <c r="N9" s="107">
        <v>9675988</v>
      </c>
      <c r="O9" s="108">
        <v>116111900</v>
      </c>
    </row>
    <row r="10" spans="1:15" s="109" customFormat="1" ht="13.5" customHeight="1">
      <c r="A10" s="106" t="s">
        <v>502</v>
      </c>
      <c r="B10" s="287" t="s">
        <v>490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5" s="109" customFormat="1" ht="13.5" customHeight="1">
      <c r="A11" s="106" t="s">
        <v>503</v>
      </c>
      <c r="B11" s="287" t="s">
        <v>75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>
        <v>0</v>
      </c>
    </row>
    <row r="12" spans="1:15" s="109" customFormat="1" ht="22.5">
      <c r="A12" s="106" t="s">
        <v>504</v>
      </c>
      <c r="B12" s="289" t="s">
        <v>131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>
        <f>SUM(C12:N12)</f>
        <v>0</v>
      </c>
    </row>
    <row r="13" spans="1:15" s="109" customFormat="1" ht="15.75">
      <c r="A13" s="106" t="s">
        <v>505</v>
      </c>
      <c r="B13" s="289" t="s">
        <v>854</v>
      </c>
      <c r="C13" s="107">
        <v>95000000</v>
      </c>
      <c r="D13" s="107"/>
      <c r="E13" s="107"/>
      <c r="F13" s="107"/>
      <c r="G13" s="107"/>
      <c r="H13" s="107">
        <v>200000000</v>
      </c>
      <c r="I13" s="107"/>
      <c r="J13" s="107"/>
      <c r="K13" s="107"/>
      <c r="L13" s="107"/>
      <c r="M13" s="107"/>
      <c r="N13" s="107"/>
      <c r="O13" s="108">
        <v>295000000</v>
      </c>
    </row>
    <row r="14" spans="1:15" s="109" customFormat="1" ht="18" customHeight="1" thickBot="1">
      <c r="A14" s="106" t="s">
        <v>506</v>
      </c>
      <c r="B14" s="287" t="s">
        <v>853</v>
      </c>
      <c r="C14" s="107">
        <v>16656666</v>
      </c>
      <c r="D14" s="107">
        <v>16656666</v>
      </c>
      <c r="E14" s="107">
        <v>16656666</v>
      </c>
      <c r="F14" s="107">
        <v>16656666</v>
      </c>
      <c r="G14" s="107">
        <v>16656666</v>
      </c>
      <c r="H14" s="107">
        <v>16656666</v>
      </c>
      <c r="I14" s="107">
        <v>16656666</v>
      </c>
      <c r="J14" s="107">
        <v>16656666</v>
      </c>
      <c r="K14" s="107">
        <v>16656666</v>
      </c>
      <c r="L14" s="107">
        <v>16656666</v>
      </c>
      <c r="M14" s="107">
        <v>16656674</v>
      </c>
      <c r="N14" s="107">
        <v>16656666</v>
      </c>
      <c r="O14" s="105">
        <v>199880000</v>
      </c>
    </row>
    <row r="15" spans="1:15" s="102" customFormat="1" ht="15.75" customHeight="1" thickBot="1">
      <c r="A15" s="101" t="s">
        <v>507</v>
      </c>
      <c r="B15" s="35" t="s">
        <v>590</v>
      </c>
      <c r="C15" s="112">
        <f>SUM(C5:C14)</f>
        <v>180680486</v>
      </c>
      <c r="D15" s="112">
        <f aca="true" t="shared" si="0" ref="D15:N15">SUM(D5:D14)</f>
        <v>85173591</v>
      </c>
      <c r="E15" s="112">
        <f t="shared" si="0"/>
        <v>85173591</v>
      </c>
      <c r="F15" s="112">
        <f t="shared" si="0"/>
        <v>85173591</v>
      </c>
      <c r="G15" s="112">
        <f t="shared" si="0"/>
        <v>85173591</v>
      </c>
      <c r="H15" s="112">
        <f t="shared" si="0"/>
        <v>285173591</v>
      </c>
      <c r="I15" s="112">
        <f t="shared" si="0"/>
        <v>85173591</v>
      </c>
      <c r="J15" s="112">
        <f t="shared" si="0"/>
        <v>85173591</v>
      </c>
      <c r="K15" s="112">
        <f t="shared" si="0"/>
        <v>85173591</v>
      </c>
      <c r="L15" s="112">
        <f t="shared" si="0"/>
        <v>85173591</v>
      </c>
      <c r="M15" s="112">
        <f t="shared" si="0"/>
        <v>85173599</v>
      </c>
      <c r="N15" s="112">
        <f t="shared" si="0"/>
        <v>85181580</v>
      </c>
      <c r="O15" s="113">
        <f>O5+O6+O7+O8+O9+O10+O14+O13</f>
        <v>1317597984</v>
      </c>
    </row>
    <row r="16" spans="1:15" s="102" customFormat="1" ht="15" customHeight="1" thickBot="1">
      <c r="A16" s="101"/>
      <c r="B16" s="1190" t="s">
        <v>535</v>
      </c>
      <c r="C16" s="1191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2"/>
    </row>
    <row r="17" spans="1:15" s="109" customFormat="1" ht="13.5" customHeight="1">
      <c r="A17" s="114" t="s">
        <v>508</v>
      </c>
      <c r="B17" s="290" t="s">
        <v>542</v>
      </c>
      <c r="C17" s="110">
        <f>17028131+343700</f>
        <v>17371831</v>
      </c>
      <c r="D17" s="110">
        <v>17028132</v>
      </c>
      <c r="E17" s="110">
        <v>17028133</v>
      </c>
      <c r="F17" s="110">
        <v>17028134</v>
      </c>
      <c r="G17" s="110">
        <v>17028135</v>
      </c>
      <c r="H17" s="110">
        <v>17028136</v>
      </c>
      <c r="I17" s="110">
        <v>17028137</v>
      </c>
      <c r="J17" s="110">
        <v>17028138</v>
      </c>
      <c r="K17" s="110">
        <v>17028139</v>
      </c>
      <c r="L17" s="110">
        <v>17028139</v>
      </c>
      <c r="M17" s="110">
        <v>17028139</v>
      </c>
      <c r="N17" s="110">
        <v>19473807</v>
      </c>
      <c r="O17" s="111">
        <v>207127000</v>
      </c>
    </row>
    <row r="18" spans="1:15" s="109" customFormat="1" ht="27" customHeight="1">
      <c r="A18" s="106" t="s">
        <v>509</v>
      </c>
      <c r="B18" s="289" t="s">
        <v>659</v>
      </c>
      <c r="C18" s="107">
        <f>3807500+89154</f>
        <v>3896654</v>
      </c>
      <c r="D18" s="107">
        <v>3807500</v>
      </c>
      <c r="E18" s="107">
        <v>3807500</v>
      </c>
      <c r="F18" s="107">
        <v>3807500</v>
      </c>
      <c r="G18" s="107">
        <v>3807500</v>
      </c>
      <c r="H18" s="107">
        <v>3807500</v>
      </c>
      <c r="I18" s="107">
        <v>3807500</v>
      </c>
      <c r="J18" s="107">
        <v>3807500</v>
      </c>
      <c r="K18" s="107">
        <v>3807500</v>
      </c>
      <c r="L18" s="107">
        <v>3807500</v>
      </c>
      <c r="M18" s="107">
        <v>3807500</v>
      </c>
      <c r="N18" s="107">
        <v>7060900</v>
      </c>
      <c r="O18" s="111">
        <v>49032554</v>
      </c>
    </row>
    <row r="19" spans="1:15" s="109" customFormat="1" ht="13.5" customHeight="1">
      <c r="A19" s="106" t="s">
        <v>510</v>
      </c>
      <c r="B19" s="287" t="s">
        <v>616</v>
      </c>
      <c r="C19" s="107">
        <v>18334406</v>
      </c>
      <c r="D19" s="107">
        <v>18334407</v>
      </c>
      <c r="E19" s="107">
        <v>18334408</v>
      </c>
      <c r="F19" s="107">
        <v>18334409</v>
      </c>
      <c r="G19" s="107">
        <v>18334410</v>
      </c>
      <c r="H19" s="107">
        <v>18334411</v>
      </c>
      <c r="I19" s="107">
        <v>18334412</v>
      </c>
      <c r="J19" s="107">
        <v>18334413</v>
      </c>
      <c r="K19" s="107">
        <v>18334414</v>
      </c>
      <c r="L19" s="107">
        <v>17334415</v>
      </c>
      <c r="M19" s="107">
        <v>17334416</v>
      </c>
      <c r="N19" s="107">
        <v>17334479</v>
      </c>
      <c r="O19" s="111">
        <v>217013000</v>
      </c>
    </row>
    <row r="20" spans="1:15" s="109" customFormat="1" ht="13.5" customHeight="1">
      <c r="A20" s="106" t="s">
        <v>511</v>
      </c>
      <c r="B20" s="287" t="s">
        <v>660</v>
      </c>
      <c r="C20" s="107">
        <v>800911</v>
      </c>
      <c r="D20" s="107">
        <v>800911</v>
      </c>
      <c r="E20" s="107">
        <v>800911</v>
      </c>
      <c r="F20" s="107">
        <v>800911</v>
      </c>
      <c r="G20" s="107">
        <v>800911</v>
      </c>
      <c r="H20" s="107">
        <v>800911</v>
      </c>
      <c r="I20" s="107">
        <v>800911</v>
      </c>
      <c r="J20" s="107">
        <v>800911</v>
      </c>
      <c r="K20" s="107">
        <v>800911</v>
      </c>
      <c r="L20" s="107">
        <v>800911</v>
      </c>
      <c r="M20" s="107">
        <v>800911</v>
      </c>
      <c r="N20" s="107">
        <v>800979</v>
      </c>
      <c r="O20" s="111">
        <v>9611000</v>
      </c>
    </row>
    <row r="21" spans="1:15" s="109" customFormat="1" ht="13.5" customHeight="1">
      <c r="A21" s="106" t="s">
        <v>512</v>
      </c>
      <c r="B21" s="287" t="s">
        <v>491</v>
      </c>
      <c r="C21" s="107">
        <f>12000000+74041</f>
        <v>12074041</v>
      </c>
      <c r="D21" s="107">
        <v>12000000</v>
      </c>
      <c r="E21" s="107">
        <v>12000000</v>
      </c>
      <c r="F21" s="107">
        <v>10000000</v>
      </c>
      <c r="G21" s="107">
        <v>11952635</v>
      </c>
      <c r="H21" s="107">
        <v>12142105</v>
      </c>
      <c r="I21" s="107">
        <v>11952631</v>
      </c>
      <c r="J21" s="107">
        <v>11952629</v>
      </c>
      <c r="K21" s="107">
        <v>13068000</v>
      </c>
      <c r="L21" s="107">
        <v>12000000</v>
      </c>
      <c r="M21" s="107">
        <v>12000000</v>
      </c>
      <c r="N21" s="107">
        <v>13000600</v>
      </c>
      <c r="O21" s="111">
        <v>144142641</v>
      </c>
    </row>
    <row r="22" spans="1:15" s="109" customFormat="1" ht="13.5" customHeight="1">
      <c r="A22" s="106" t="s">
        <v>513</v>
      </c>
      <c r="B22" s="287" t="s">
        <v>708</v>
      </c>
      <c r="C22" s="107"/>
      <c r="D22" s="107"/>
      <c r="E22" s="107"/>
      <c r="F22" s="107">
        <v>20000000</v>
      </c>
      <c r="G22" s="107"/>
      <c r="H22" s="107">
        <v>100000000</v>
      </c>
      <c r="I22" s="107"/>
      <c r="J22" s="107"/>
      <c r="K22" s="107">
        <v>20411285</v>
      </c>
      <c r="L22" s="107"/>
      <c r="M22" s="107"/>
      <c r="N22" s="107"/>
      <c r="O22" s="111">
        <v>140411285</v>
      </c>
    </row>
    <row r="23" spans="1:15" s="109" customFormat="1" ht="15.75">
      <c r="A23" s="106" t="s">
        <v>514</v>
      </c>
      <c r="B23" s="289" t="s">
        <v>663</v>
      </c>
      <c r="C23" s="107"/>
      <c r="D23" s="107"/>
      <c r="E23" s="107"/>
      <c r="F23" s="107"/>
      <c r="G23" s="107">
        <v>33250000</v>
      </c>
      <c r="H23" s="107">
        <v>81250000</v>
      </c>
      <c r="I23" s="107">
        <v>33250000</v>
      </c>
      <c r="J23" s="107">
        <v>33250000</v>
      </c>
      <c r="K23" s="107"/>
      <c r="L23" s="107"/>
      <c r="M23" s="107"/>
      <c r="N23" s="107"/>
      <c r="O23" s="111">
        <v>181000000</v>
      </c>
    </row>
    <row r="24" spans="1:15" s="109" customFormat="1" ht="13.5" customHeight="1">
      <c r="A24" s="106" t="s">
        <v>515</v>
      </c>
      <c r="B24" s="287" t="s">
        <v>710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11">
        <f>D24+E24+H24</f>
        <v>0</v>
      </c>
    </row>
    <row r="25" spans="1:15" s="109" customFormat="1" ht="13.5" customHeight="1">
      <c r="A25" s="106" t="s">
        <v>516</v>
      </c>
      <c r="B25" s="571" t="s">
        <v>492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11"/>
    </row>
    <row r="26" spans="1:15" s="102" customFormat="1" ht="15.75" customHeight="1" thickBot="1">
      <c r="A26" s="570" t="s">
        <v>517</v>
      </c>
      <c r="B26" s="571" t="s">
        <v>858</v>
      </c>
      <c r="C26" s="107">
        <v>128202643</v>
      </c>
      <c r="D26" s="107">
        <v>33202641</v>
      </c>
      <c r="E26" s="107">
        <v>33202639</v>
      </c>
      <c r="F26" s="107">
        <v>15202637</v>
      </c>
      <c r="G26" s="107"/>
      <c r="H26" s="107">
        <v>51810528</v>
      </c>
      <c r="I26" s="107"/>
      <c r="J26" s="107"/>
      <c r="K26" s="107">
        <v>11723342</v>
      </c>
      <c r="L26" s="107">
        <v>33202625</v>
      </c>
      <c r="M26" s="107">
        <v>33202631</v>
      </c>
      <c r="N26" s="107">
        <v>29510818</v>
      </c>
      <c r="O26" s="111">
        <v>369260504</v>
      </c>
    </row>
    <row r="27" spans="1:15" ht="16.5" thickBot="1">
      <c r="A27" s="572" t="s">
        <v>518</v>
      </c>
      <c r="B27" s="573" t="s">
        <v>591</v>
      </c>
      <c r="C27" s="574">
        <f>SUM(C17:C26)</f>
        <v>180680486</v>
      </c>
      <c r="D27" s="574">
        <f aca="true" t="shared" si="1" ref="D27:N27">SUM(D17:D26)</f>
        <v>85173591</v>
      </c>
      <c r="E27" s="574">
        <f t="shared" si="1"/>
        <v>85173591</v>
      </c>
      <c r="F27" s="574">
        <f t="shared" si="1"/>
        <v>85173591</v>
      </c>
      <c r="G27" s="574">
        <f t="shared" si="1"/>
        <v>85173591</v>
      </c>
      <c r="H27" s="574">
        <f t="shared" si="1"/>
        <v>285173591</v>
      </c>
      <c r="I27" s="574">
        <f t="shared" si="1"/>
        <v>85173591</v>
      </c>
      <c r="J27" s="574">
        <f t="shared" si="1"/>
        <v>85173591</v>
      </c>
      <c r="K27" s="574">
        <f t="shared" si="1"/>
        <v>85173591</v>
      </c>
      <c r="L27" s="574">
        <f t="shared" si="1"/>
        <v>84173590</v>
      </c>
      <c r="M27" s="574">
        <f t="shared" si="1"/>
        <v>84173597</v>
      </c>
      <c r="N27" s="574">
        <f t="shared" si="1"/>
        <v>87181583</v>
      </c>
      <c r="O27" s="113">
        <f>O17+O18+O19+O20+O21+O22+O23+O25+O26</f>
        <v>1317597984</v>
      </c>
    </row>
    <row r="28" spans="1:15" ht="16.5" thickBot="1">
      <c r="A28" s="572" t="s">
        <v>519</v>
      </c>
      <c r="B28" s="575" t="s">
        <v>592</v>
      </c>
      <c r="C28" s="576">
        <f>(C15-C27)</f>
        <v>0</v>
      </c>
      <c r="D28" s="576">
        <f aca="true" t="shared" si="2" ref="D28:N28">(D15-D27)</f>
        <v>0</v>
      </c>
      <c r="E28" s="576">
        <f t="shared" si="2"/>
        <v>0</v>
      </c>
      <c r="F28" s="576">
        <f t="shared" si="2"/>
        <v>0</v>
      </c>
      <c r="G28" s="576">
        <f t="shared" si="2"/>
        <v>0</v>
      </c>
      <c r="H28" s="576">
        <f t="shared" si="2"/>
        <v>0</v>
      </c>
      <c r="I28" s="576">
        <f t="shared" si="2"/>
        <v>0</v>
      </c>
      <c r="J28" s="576">
        <f t="shared" si="2"/>
        <v>0</v>
      </c>
      <c r="K28" s="576">
        <f t="shared" si="2"/>
        <v>0</v>
      </c>
      <c r="L28" s="576">
        <f t="shared" si="2"/>
        <v>1000001</v>
      </c>
      <c r="M28" s="576">
        <f t="shared" si="2"/>
        <v>1000002</v>
      </c>
      <c r="N28" s="576">
        <f t="shared" si="2"/>
        <v>-2000003</v>
      </c>
      <c r="O28" s="113">
        <f>SUM(C28:N28)</f>
        <v>0</v>
      </c>
    </row>
    <row r="29" ht="15.75">
      <c r="A29" s="116"/>
    </row>
    <row r="30" spans="2:15" ht="15.75">
      <c r="B30" s="117"/>
      <c r="C30" s="118"/>
      <c r="D30" s="118"/>
      <c r="O30" s="115"/>
    </row>
    <row r="31" ht="15.75">
      <c r="O31" s="115"/>
    </row>
    <row r="32" ht="15.75">
      <c r="O32" s="115"/>
    </row>
    <row r="33" ht="15.75">
      <c r="O33" s="115"/>
    </row>
    <row r="34" ht="15.75">
      <c r="O34" s="115"/>
    </row>
    <row r="35" ht="15.75">
      <c r="O35" s="115"/>
    </row>
    <row r="36" ht="15.75">
      <c r="O36" s="115"/>
    </row>
    <row r="37" ht="15.75">
      <c r="O37" s="115"/>
    </row>
    <row r="38" ht="15.75">
      <c r="O38" s="115"/>
    </row>
    <row r="39" ht="15.75">
      <c r="O39" s="115"/>
    </row>
    <row r="40" ht="15.75">
      <c r="O40" s="115"/>
    </row>
    <row r="41" ht="15.75">
      <c r="O41" s="115"/>
    </row>
    <row r="42" ht="15.75">
      <c r="O42" s="115"/>
    </row>
    <row r="43" ht="15.75">
      <c r="O43" s="115"/>
    </row>
    <row r="44" ht="15.75">
      <c r="O44" s="115"/>
    </row>
    <row r="45" ht="15.75">
      <c r="O45" s="115"/>
    </row>
    <row r="46" ht="15.75">
      <c r="O46" s="115"/>
    </row>
    <row r="47" ht="15.75">
      <c r="O47" s="115"/>
    </row>
    <row r="48" ht="15.75">
      <c r="O48" s="115"/>
    </row>
    <row r="49" ht="15.75">
      <c r="O49" s="115"/>
    </row>
    <row r="50" ht="15.75">
      <c r="O50" s="115"/>
    </row>
    <row r="51" ht="15.75">
      <c r="O51" s="115"/>
    </row>
    <row r="52" ht="15.75">
      <c r="O52" s="115"/>
    </row>
    <row r="53" ht="15.75">
      <c r="O53" s="115"/>
    </row>
    <row r="54" ht="15.75">
      <c r="O54" s="115"/>
    </row>
    <row r="55" ht="15.75">
      <c r="O55" s="115"/>
    </row>
    <row r="56" ht="15.75">
      <c r="O56" s="115"/>
    </row>
    <row r="57" ht="15.75">
      <c r="O57" s="115"/>
    </row>
    <row r="58" ht="15.75">
      <c r="O58" s="115"/>
    </row>
    <row r="59" ht="15.75">
      <c r="O59" s="115"/>
    </row>
    <row r="60" ht="15.75">
      <c r="O60" s="115"/>
    </row>
    <row r="61" ht="15.75">
      <c r="O61" s="115"/>
    </row>
    <row r="62" ht="15.75">
      <c r="O62" s="115"/>
    </row>
    <row r="63" ht="15.75">
      <c r="O63" s="115"/>
    </row>
    <row r="64" ht="15.75">
      <c r="O64" s="115"/>
    </row>
    <row r="65" ht="15.75">
      <c r="O65" s="115"/>
    </row>
    <row r="66" ht="15.75">
      <c r="O66" s="115"/>
    </row>
    <row r="67" ht="15.75">
      <c r="O67" s="115"/>
    </row>
    <row r="68" ht="15.75">
      <c r="O68" s="115"/>
    </row>
    <row r="69" ht="15.75">
      <c r="O69" s="115"/>
    </row>
    <row r="70" ht="15.75">
      <c r="O70" s="115"/>
    </row>
    <row r="71" ht="15.75">
      <c r="O71" s="115"/>
    </row>
    <row r="72" ht="15.75">
      <c r="O72" s="115"/>
    </row>
    <row r="73" ht="15.75">
      <c r="O73" s="115"/>
    </row>
    <row r="74" ht="15.75">
      <c r="O74" s="115"/>
    </row>
    <row r="75" ht="15.75">
      <c r="O75" s="115"/>
    </row>
    <row r="76" ht="15.75">
      <c r="O76" s="115"/>
    </row>
    <row r="77" ht="15.75">
      <c r="O77" s="115"/>
    </row>
    <row r="78" ht="15.75">
      <c r="O78" s="115"/>
    </row>
    <row r="79" ht="15.75">
      <c r="O79" s="115"/>
    </row>
    <row r="80" ht="15.75">
      <c r="O80" s="115"/>
    </row>
    <row r="81" ht="15.75">
      <c r="O81" s="115"/>
    </row>
    <row r="82" ht="15.75">
      <c r="O82" s="115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CE,Félkövér dőlt"&amp;11 4.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8"/>
  <sheetViews>
    <sheetView view="pageBreakPreview" zoomScale="60" workbookViewId="0" topLeftCell="A1">
      <selection activeCell="G28" sqref="G28"/>
    </sheetView>
  </sheetViews>
  <sheetFormatPr defaultColWidth="9.00390625" defaultRowHeight="12.75"/>
  <cols>
    <col min="1" max="1" width="8.50390625" style="45" customWidth="1"/>
    <col min="2" max="2" width="9.375" style="45" customWidth="1"/>
    <col min="3" max="3" width="42.625" style="45" customWidth="1"/>
    <col min="4" max="4" width="9.375" style="45" customWidth="1"/>
    <col min="5" max="5" width="11.00390625" style="45" customWidth="1"/>
    <col min="6" max="6" width="12.375" style="45" customWidth="1"/>
    <col min="7" max="7" width="9.375" style="45" customWidth="1"/>
    <col min="8" max="8" width="13.375" style="45" bestFit="1" customWidth="1"/>
    <col min="9" max="9" width="13.375" style="45" customWidth="1"/>
    <col min="10" max="10" width="15.125" style="45" customWidth="1"/>
    <col min="11" max="16384" width="9.375" style="45" customWidth="1"/>
  </cols>
  <sheetData>
    <row r="1" spans="1:9" ht="15.75">
      <c r="A1" s="1201" t="s">
        <v>823</v>
      </c>
      <c r="B1" s="1201"/>
      <c r="C1" s="1201"/>
      <c r="D1" s="1201"/>
      <c r="E1" s="1201"/>
      <c r="F1" s="1201"/>
      <c r="G1" s="1201"/>
      <c r="H1" s="1201"/>
      <c r="I1" s="1201"/>
    </row>
    <row r="2" spans="1:9" ht="16.5" thickBot="1">
      <c r="A2" s="556"/>
      <c r="B2" s="556"/>
      <c r="C2" s="556"/>
      <c r="D2" s="556"/>
      <c r="E2" s="556"/>
      <c r="F2" s="556"/>
      <c r="G2" s="556"/>
      <c r="H2" s="1197" t="s">
        <v>108</v>
      </c>
      <c r="I2" s="1198"/>
    </row>
    <row r="3" spans="1:9" ht="18.75" customHeight="1">
      <c r="A3" s="904" t="s">
        <v>448</v>
      </c>
      <c r="B3" s="905"/>
      <c r="C3" s="905"/>
      <c r="D3" s="906" t="s">
        <v>449</v>
      </c>
      <c r="E3" s="943"/>
      <c r="F3" s="907"/>
      <c r="G3" s="906" t="s">
        <v>449</v>
      </c>
      <c r="H3" s="943"/>
      <c r="I3" s="907"/>
    </row>
    <row r="4" spans="1:9" s="46" customFormat="1" ht="24" customHeight="1">
      <c r="A4" s="908"/>
      <c r="B4" s="554"/>
      <c r="C4" s="554"/>
      <c r="D4" s="614" t="s">
        <v>730</v>
      </c>
      <c r="E4" s="944" t="s">
        <v>730</v>
      </c>
      <c r="F4" s="909" t="s">
        <v>730</v>
      </c>
      <c r="G4" s="614" t="s">
        <v>113</v>
      </c>
      <c r="H4" s="944" t="s">
        <v>113</v>
      </c>
      <c r="I4" s="909" t="s">
        <v>113</v>
      </c>
    </row>
    <row r="5" spans="1:9" s="46" customFormat="1" ht="16.5" customHeight="1">
      <c r="A5" s="908"/>
      <c r="B5" s="554"/>
      <c r="C5" s="554"/>
      <c r="D5" s="614"/>
      <c r="E5" s="944"/>
      <c r="F5" s="909" t="s">
        <v>450</v>
      </c>
      <c r="G5" s="614"/>
      <c r="H5" s="944"/>
      <c r="I5" s="909" t="s">
        <v>450</v>
      </c>
    </row>
    <row r="6" spans="1:9" s="47" customFormat="1" ht="12.75">
      <c r="A6" s="910"/>
      <c r="B6" s="615"/>
      <c r="C6" s="615"/>
      <c r="D6" s="555" t="s">
        <v>451</v>
      </c>
      <c r="E6" s="945" t="s">
        <v>452</v>
      </c>
      <c r="F6" s="911" t="s">
        <v>453</v>
      </c>
      <c r="G6" s="555" t="s">
        <v>451</v>
      </c>
      <c r="H6" s="945" t="s">
        <v>452</v>
      </c>
      <c r="I6" s="911" t="s">
        <v>453</v>
      </c>
    </row>
    <row r="7" spans="1:9" ht="12.75">
      <c r="A7" s="912" t="s">
        <v>454</v>
      </c>
      <c r="B7" s="616"/>
      <c r="C7" s="616"/>
      <c r="D7" s="617">
        <v>21.76</v>
      </c>
      <c r="E7" s="934">
        <v>4580000</v>
      </c>
      <c r="F7" s="913">
        <v>99661</v>
      </c>
      <c r="G7" s="617">
        <v>21.8</v>
      </c>
      <c r="H7" s="934">
        <v>4580000</v>
      </c>
      <c r="I7" s="913">
        <v>99844000</v>
      </c>
    </row>
    <row r="8" spans="1:9" ht="12.75" customHeight="1">
      <c r="A8" s="912" t="s">
        <v>455</v>
      </c>
      <c r="B8" s="616"/>
      <c r="C8" s="616"/>
      <c r="D8" s="618"/>
      <c r="E8" s="933"/>
      <c r="F8" s="913">
        <v>5954</v>
      </c>
      <c r="G8" s="618"/>
      <c r="H8" s="933"/>
      <c r="I8" s="913">
        <v>5956330</v>
      </c>
    </row>
    <row r="9" spans="1:9" ht="12.75">
      <c r="A9" s="912" t="s">
        <v>456</v>
      </c>
      <c r="B9" s="616"/>
      <c r="C9" s="616"/>
      <c r="D9" s="618"/>
      <c r="E9" s="933" t="s">
        <v>457</v>
      </c>
      <c r="F9" s="913">
        <v>10272</v>
      </c>
      <c r="G9" s="618"/>
      <c r="H9" s="933" t="s">
        <v>457</v>
      </c>
      <c r="I9" s="913">
        <v>10624000</v>
      </c>
    </row>
    <row r="10" spans="1:9" ht="12.75">
      <c r="A10" s="912" t="s">
        <v>458</v>
      </c>
      <c r="B10" s="616"/>
      <c r="C10" s="616"/>
      <c r="D10" s="618"/>
      <c r="E10" s="933" t="s">
        <v>459</v>
      </c>
      <c r="F10" s="913">
        <v>1370</v>
      </c>
      <c r="G10" s="618"/>
      <c r="H10" s="933" t="s">
        <v>459</v>
      </c>
      <c r="I10" s="913">
        <v>100000</v>
      </c>
    </row>
    <row r="11" spans="1:9" ht="12.75">
      <c r="A11" s="912" t="s">
        <v>460</v>
      </c>
      <c r="B11" s="616"/>
      <c r="C11" s="616"/>
      <c r="D11" s="618"/>
      <c r="E11" s="933" t="s">
        <v>461</v>
      </c>
      <c r="F11" s="913">
        <v>5398</v>
      </c>
      <c r="G11" s="618"/>
      <c r="H11" s="933" t="s">
        <v>461</v>
      </c>
      <c r="I11" s="913">
        <v>5395790</v>
      </c>
    </row>
    <row r="12" spans="1:9" ht="12.75">
      <c r="A12" s="912" t="s">
        <v>462</v>
      </c>
      <c r="B12" s="616"/>
      <c r="C12" s="616"/>
      <c r="D12" s="618"/>
      <c r="E12" s="933"/>
      <c r="F12" s="914"/>
      <c r="G12" s="618"/>
      <c r="H12" s="933"/>
      <c r="I12" s="914"/>
    </row>
    <row r="13" spans="1:9" ht="12.75">
      <c r="A13" s="912" t="s">
        <v>463</v>
      </c>
      <c r="B13" s="616"/>
      <c r="C13" s="616"/>
      <c r="D13" s="618">
        <v>5525</v>
      </c>
      <c r="E13" s="934">
        <v>2700</v>
      </c>
      <c r="F13" s="915">
        <v>14839</v>
      </c>
      <c r="G13" s="618">
        <v>5525</v>
      </c>
      <c r="H13" s="934">
        <v>2700</v>
      </c>
      <c r="I13" s="915">
        <v>14852700</v>
      </c>
    </row>
    <row r="14" spans="1:9" ht="12.75">
      <c r="A14" s="916" t="s">
        <v>462</v>
      </c>
      <c r="B14" s="616"/>
      <c r="C14" s="616"/>
      <c r="D14" s="618"/>
      <c r="E14" s="934"/>
      <c r="F14" s="917">
        <v>-9025</v>
      </c>
      <c r="G14" s="618"/>
      <c r="H14" s="934"/>
      <c r="I14" s="917">
        <v>-10589395</v>
      </c>
    </row>
    <row r="15" spans="1:9" ht="12.75">
      <c r="A15" s="912" t="s">
        <v>464</v>
      </c>
      <c r="B15" s="616"/>
      <c r="C15" s="616"/>
      <c r="D15" s="618"/>
      <c r="E15" s="935"/>
      <c r="F15" s="918">
        <v>414</v>
      </c>
      <c r="G15" s="618"/>
      <c r="H15" s="935"/>
      <c r="I15" s="918">
        <v>328000</v>
      </c>
    </row>
    <row r="16" spans="1:9" ht="12.75">
      <c r="A16" s="912" t="s">
        <v>465</v>
      </c>
      <c r="B16" s="616"/>
      <c r="C16" s="616"/>
      <c r="D16" s="618"/>
      <c r="E16" s="936"/>
      <c r="F16" s="919">
        <v>245</v>
      </c>
      <c r="G16" s="618"/>
      <c r="H16" s="936"/>
      <c r="I16" s="919">
        <v>249900</v>
      </c>
    </row>
    <row r="17" spans="1:9" ht="12.75">
      <c r="A17" s="920" t="s">
        <v>351</v>
      </c>
      <c r="B17" s="722"/>
      <c r="C17" s="722"/>
      <c r="D17" s="723"/>
      <c r="E17" s="937"/>
      <c r="F17" s="921">
        <f>F7+F8+F9+F10+F11+F12++F13+F14+F15+F16</f>
        <v>129128</v>
      </c>
      <c r="G17" s="723"/>
      <c r="H17" s="937"/>
      <c r="I17" s="921">
        <f>I7+I8+I9+I10+I11+I12++I13+I14+I15+I16</f>
        <v>126761325</v>
      </c>
    </row>
    <row r="18" spans="1:9" ht="12.75">
      <c r="A18" s="922" t="s">
        <v>471</v>
      </c>
      <c r="B18" s="619"/>
      <c r="C18" s="619"/>
      <c r="D18" s="621">
        <v>16.2</v>
      </c>
      <c r="E18" s="934">
        <v>4308000</v>
      </c>
      <c r="F18" s="913">
        <v>46526</v>
      </c>
      <c r="G18" s="621">
        <v>17.5</v>
      </c>
      <c r="H18" s="934">
        <v>4469900</v>
      </c>
      <c r="I18" s="913">
        <v>52148833</v>
      </c>
    </row>
    <row r="19" spans="1:9" ht="12.75">
      <c r="A19" s="912" t="s">
        <v>472</v>
      </c>
      <c r="B19" s="616"/>
      <c r="C19" s="616"/>
      <c r="D19" s="621">
        <v>16.2</v>
      </c>
      <c r="E19" s="934">
        <v>4308000</v>
      </c>
      <c r="F19" s="913">
        <v>23263</v>
      </c>
      <c r="G19" s="621">
        <v>18</v>
      </c>
      <c r="H19" s="934">
        <v>4308000</v>
      </c>
      <c r="I19" s="913">
        <v>26819400</v>
      </c>
    </row>
    <row r="20" spans="1:9" ht="12.75">
      <c r="A20" s="912" t="s">
        <v>473</v>
      </c>
      <c r="B20" s="616"/>
      <c r="C20" s="616"/>
      <c r="D20" s="621">
        <v>16.2</v>
      </c>
      <c r="E20" s="934">
        <v>35000</v>
      </c>
      <c r="F20" s="913">
        <v>567</v>
      </c>
      <c r="G20" s="621"/>
      <c r="H20" s="934">
        <v>35000</v>
      </c>
      <c r="I20" s="913">
        <v>687600</v>
      </c>
    </row>
    <row r="21" spans="1:9" ht="12.75">
      <c r="A21" s="912" t="s">
        <v>327</v>
      </c>
      <c r="B21" s="616"/>
      <c r="C21" s="616"/>
      <c r="D21" s="621">
        <v>1</v>
      </c>
      <c r="E21" s="934">
        <v>35000</v>
      </c>
      <c r="F21" s="913">
        <v>35</v>
      </c>
      <c r="G21" s="621">
        <v>1</v>
      </c>
      <c r="H21" s="934">
        <v>35000</v>
      </c>
      <c r="I21" s="913">
        <v>0</v>
      </c>
    </row>
    <row r="22" spans="1:9" ht="12.75">
      <c r="A22" s="912" t="s">
        <v>257</v>
      </c>
      <c r="B22" s="616"/>
      <c r="C22" s="616"/>
      <c r="D22" s="618">
        <v>12</v>
      </c>
      <c r="E22" s="934">
        <v>1800000</v>
      </c>
      <c r="F22" s="913">
        <v>14400</v>
      </c>
      <c r="G22" s="618">
        <v>14</v>
      </c>
      <c r="H22" s="934">
        <v>1800000</v>
      </c>
      <c r="I22" s="913">
        <v>15600000</v>
      </c>
    </row>
    <row r="23" spans="1:9" ht="12.75">
      <c r="A23" s="912" t="s">
        <v>328</v>
      </c>
      <c r="B23" s="616"/>
      <c r="C23" s="616"/>
      <c r="D23" s="618">
        <v>1</v>
      </c>
      <c r="E23" s="934">
        <v>4308000</v>
      </c>
      <c r="F23" s="913">
        <v>2872</v>
      </c>
      <c r="G23" s="618">
        <v>1</v>
      </c>
      <c r="H23" s="934">
        <v>4469900</v>
      </c>
      <c r="I23" s="913">
        <v>2979933</v>
      </c>
    </row>
    <row r="24" spans="1:9" ht="12.75">
      <c r="A24" s="912" t="s">
        <v>258</v>
      </c>
      <c r="B24" s="616"/>
      <c r="C24" s="616"/>
      <c r="D24" s="618">
        <v>12</v>
      </c>
      <c r="E24" s="934">
        <v>1800000</v>
      </c>
      <c r="F24" s="913">
        <v>7200</v>
      </c>
      <c r="G24" s="618">
        <v>12</v>
      </c>
      <c r="H24" s="934">
        <v>1800000</v>
      </c>
      <c r="I24" s="913">
        <v>8400000</v>
      </c>
    </row>
    <row r="25" spans="1:9" ht="12.75">
      <c r="A25" s="912" t="s">
        <v>329</v>
      </c>
      <c r="B25" s="616"/>
      <c r="C25" s="616"/>
      <c r="D25" s="618">
        <v>1</v>
      </c>
      <c r="E25" s="934">
        <v>4308000</v>
      </c>
      <c r="F25" s="913">
        <v>1436</v>
      </c>
      <c r="G25" s="618">
        <v>1</v>
      </c>
      <c r="H25" s="934">
        <v>4308000</v>
      </c>
      <c r="I25" s="913">
        <v>0</v>
      </c>
    </row>
    <row r="26" spans="1:11" ht="12.75">
      <c r="A26" s="912" t="s">
        <v>330</v>
      </c>
      <c r="B26" s="616"/>
      <c r="C26" s="616"/>
      <c r="D26" s="618">
        <v>198</v>
      </c>
      <c r="E26" s="934">
        <v>80000</v>
      </c>
      <c r="F26" s="913">
        <v>10560</v>
      </c>
      <c r="G26" s="618">
        <v>200</v>
      </c>
      <c r="H26" s="934">
        <v>80000</v>
      </c>
      <c r="I26" s="913">
        <v>10893333</v>
      </c>
      <c r="K26" s="946"/>
    </row>
    <row r="27" spans="1:9" ht="12.75">
      <c r="A27" s="912" t="s">
        <v>331</v>
      </c>
      <c r="B27" s="616"/>
      <c r="C27" s="616"/>
      <c r="D27" s="618">
        <v>198</v>
      </c>
      <c r="E27" s="934">
        <v>80000</v>
      </c>
      <c r="F27" s="913">
        <v>5280</v>
      </c>
      <c r="G27" s="618">
        <v>206</v>
      </c>
      <c r="H27" s="934">
        <v>80000</v>
      </c>
      <c r="I27" s="913">
        <v>5610067</v>
      </c>
    </row>
    <row r="28" spans="1:10" ht="12.75">
      <c r="A28" s="912" t="s">
        <v>348</v>
      </c>
      <c r="B28" s="616"/>
      <c r="C28" s="616"/>
      <c r="D28" s="618"/>
      <c r="E28" s="934"/>
      <c r="F28" s="913">
        <v>2672</v>
      </c>
      <c r="G28" s="618"/>
      <c r="H28" s="934"/>
      <c r="I28" s="913">
        <v>0</v>
      </c>
      <c r="J28" s="721"/>
    </row>
    <row r="29" spans="1:9" ht="12.75">
      <c r="A29" s="923" t="s">
        <v>352</v>
      </c>
      <c r="B29" s="722"/>
      <c r="C29" s="722"/>
      <c r="D29" s="723"/>
      <c r="E29" s="937"/>
      <c r="F29" s="921">
        <f>F18+F19+F20+F21+F22+F23+F24+F25+F26+F27+F28</f>
        <v>114811</v>
      </c>
      <c r="G29" s="723"/>
      <c r="H29" s="937"/>
      <c r="I29" s="921">
        <f>I18+I19+I20+I21+I22+I23+I24+I25+I26+I27+I28</f>
        <v>123139166</v>
      </c>
    </row>
    <row r="30" spans="1:9" ht="12.75">
      <c r="A30" s="912" t="s">
        <v>265</v>
      </c>
      <c r="B30" s="616"/>
      <c r="C30" s="616"/>
      <c r="D30" s="618">
        <v>5496</v>
      </c>
      <c r="E30" s="938">
        <v>1.56</v>
      </c>
      <c r="F30" s="913">
        <v>30008</v>
      </c>
      <c r="G30" s="618">
        <v>5496</v>
      </c>
      <c r="H30" s="938">
        <v>1.56</v>
      </c>
      <c r="I30" s="913">
        <v>33707000</v>
      </c>
    </row>
    <row r="31" spans="1:9" ht="12.75">
      <c r="A31" s="912" t="s">
        <v>326</v>
      </c>
      <c r="B31" s="616"/>
      <c r="C31" s="616"/>
      <c r="D31" s="618">
        <v>6375</v>
      </c>
      <c r="E31" s="934">
        <v>395</v>
      </c>
      <c r="F31" s="913">
        <v>3900</v>
      </c>
      <c r="G31" s="618">
        <v>6375</v>
      </c>
      <c r="H31" s="934">
        <v>395</v>
      </c>
      <c r="I31" s="913">
        <v>3900000</v>
      </c>
    </row>
    <row r="32" spans="1:9" ht="12.75">
      <c r="A32" s="912" t="s">
        <v>466</v>
      </c>
      <c r="B32" s="616"/>
      <c r="C32" s="616"/>
      <c r="D32" s="618"/>
      <c r="E32" s="934"/>
      <c r="F32" s="913"/>
      <c r="G32" s="618"/>
      <c r="H32" s="934"/>
      <c r="I32" s="913"/>
    </row>
    <row r="33" spans="1:9" ht="12.75">
      <c r="A33" s="912" t="s">
        <v>192</v>
      </c>
      <c r="B33" s="616"/>
      <c r="C33" s="616"/>
      <c r="D33" s="618"/>
      <c r="E33" s="934"/>
      <c r="F33" s="913"/>
      <c r="G33" s="618"/>
      <c r="H33" s="934"/>
      <c r="I33" s="913"/>
    </row>
    <row r="34" spans="1:9" ht="12.75">
      <c r="A34" s="912" t="s">
        <v>467</v>
      </c>
      <c r="B34" s="616"/>
      <c r="C34" s="616"/>
      <c r="D34" s="618"/>
      <c r="E34" s="934"/>
      <c r="F34" s="913"/>
      <c r="G34" s="618"/>
      <c r="H34" s="934"/>
      <c r="I34" s="913"/>
    </row>
    <row r="35" spans="1:9" ht="12.75">
      <c r="A35" s="1199" t="s">
        <v>468</v>
      </c>
      <c r="B35" s="1200"/>
      <c r="C35" s="1200"/>
      <c r="D35" s="620">
        <v>18</v>
      </c>
      <c r="E35" s="939">
        <v>55360</v>
      </c>
      <c r="F35" s="924">
        <v>996</v>
      </c>
      <c r="G35" s="620">
        <v>18</v>
      </c>
      <c r="H35" s="939">
        <v>55360</v>
      </c>
      <c r="I35" s="925">
        <v>996480</v>
      </c>
    </row>
    <row r="36" spans="1:9" ht="12.75">
      <c r="A36" s="922" t="s">
        <v>169</v>
      </c>
      <c r="B36" s="619"/>
      <c r="C36" s="619"/>
      <c r="D36" s="620">
        <v>0</v>
      </c>
      <c r="E36" s="939">
        <v>145000</v>
      </c>
      <c r="F36" s="924">
        <v>0</v>
      </c>
      <c r="G36" s="620">
        <v>0</v>
      </c>
      <c r="H36" s="939">
        <v>145000</v>
      </c>
      <c r="I36" s="925">
        <v>0</v>
      </c>
    </row>
    <row r="37" spans="1:9" ht="12.75">
      <c r="A37" s="912" t="s">
        <v>469</v>
      </c>
      <c r="B37" s="616"/>
      <c r="C37" s="616"/>
      <c r="D37" s="618">
        <v>25</v>
      </c>
      <c r="E37" s="934">
        <v>109000</v>
      </c>
      <c r="F37" s="913">
        <v>2725</v>
      </c>
      <c r="G37" s="618">
        <v>25</v>
      </c>
      <c r="H37" s="934">
        <v>109000</v>
      </c>
      <c r="I37" s="913">
        <v>2725000</v>
      </c>
    </row>
    <row r="38" spans="1:9" ht="12.75">
      <c r="A38" s="912" t="s">
        <v>349</v>
      </c>
      <c r="B38" s="616"/>
      <c r="C38" s="616"/>
      <c r="D38" s="618">
        <v>19</v>
      </c>
      <c r="E38" s="934">
        <v>2606040</v>
      </c>
      <c r="F38" s="913">
        <v>49515</v>
      </c>
      <c r="G38" s="618">
        <v>19</v>
      </c>
      <c r="H38" s="934">
        <v>2606040</v>
      </c>
      <c r="I38" s="913">
        <v>49514760</v>
      </c>
    </row>
    <row r="39" spans="1:9" ht="12.75">
      <c r="A39" s="912" t="s">
        <v>470</v>
      </c>
      <c r="B39" s="616"/>
      <c r="C39" s="616"/>
      <c r="D39" s="618"/>
      <c r="E39" s="934"/>
      <c r="F39" s="913">
        <v>7304</v>
      </c>
      <c r="G39" s="618"/>
      <c r="H39" s="934"/>
      <c r="I39" s="913">
        <v>6483000</v>
      </c>
    </row>
    <row r="40" spans="1:9" s="48" customFormat="1" ht="12" customHeight="1">
      <c r="A40" s="912" t="s">
        <v>191</v>
      </c>
      <c r="B40" s="616"/>
      <c r="C40" s="616"/>
      <c r="D40" s="618">
        <v>10</v>
      </c>
      <c r="E40" s="934">
        <v>494100</v>
      </c>
      <c r="F40" s="913">
        <v>4941</v>
      </c>
      <c r="G40" s="618">
        <v>10</v>
      </c>
      <c r="H40" s="934">
        <v>494100</v>
      </c>
      <c r="I40" s="913">
        <v>4941000</v>
      </c>
    </row>
    <row r="41" spans="1:9" ht="12.75">
      <c r="A41" s="1199" t="s">
        <v>259</v>
      </c>
      <c r="B41" s="1200"/>
      <c r="C41" s="1200"/>
      <c r="D41" s="624">
        <v>9.76</v>
      </c>
      <c r="E41" s="934">
        <v>1632000</v>
      </c>
      <c r="F41" s="925">
        <v>15929</v>
      </c>
      <c r="G41" s="624">
        <v>9.76</v>
      </c>
      <c r="H41" s="934">
        <v>1632000</v>
      </c>
      <c r="I41" s="925">
        <v>15569280</v>
      </c>
    </row>
    <row r="42" spans="1:9" ht="12.75">
      <c r="A42" s="926" t="s">
        <v>474</v>
      </c>
      <c r="B42" s="619"/>
      <c r="C42" s="619"/>
      <c r="D42" s="622"/>
      <c r="E42" s="934"/>
      <c r="F42" s="927">
        <v>22545</v>
      </c>
      <c r="G42" s="622"/>
      <c r="H42" s="934"/>
      <c r="I42" s="1002">
        <v>18417231</v>
      </c>
    </row>
    <row r="43" spans="1:9" ht="12.75">
      <c r="A43" s="926" t="s">
        <v>350</v>
      </c>
      <c r="B43" s="619"/>
      <c r="C43" s="619"/>
      <c r="D43" s="622">
        <v>700</v>
      </c>
      <c r="E43" s="934">
        <v>570</v>
      </c>
      <c r="F43" s="927">
        <v>399</v>
      </c>
      <c r="G43" s="622">
        <v>700</v>
      </c>
      <c r="H43" s="934">
        <v>570</v>
      </c>
      <c r="I43" s="1002">
        <v>144780</v>
      </c>
    </row>
    <row r="44" spans="1:9" ht="26.25" customHeight="1">
      <c r="A44" s="1204" t="s">
        <v>353</v>
      </c>
      <c r="B44" s="1205"/>
      <c r="C44" s="1206"/>
      <c r="D44" s="724"/>
      <c r="E44" s="940"/>
      <c r="F44" s="928">
        <f>F30+F31+F35+F36+F37+F38+F39+F40+F41+F42+F43</f>
        <v>138262</v>
      </c>
      <c r="G44" s="724"/>
      <c r="H44" s="940"/>
      <c r="I44" s="928">
        <f>I30+I31+I35+I36+I37+I38+I39+I40+I41+I42+I43</f>
        <v>136398531</v>
      </c>
    </row>
    <row r="45" spans="1:11" ht="12.75">
      <c r="A45" s="1202" t="s">
        <v>475</v>
      </c>
      <c r="B45" s="1203"/>
      <c r="C45" s="1203"/>
      <c r="D45" s="623">
        <v>5496</v>
      </c>
      <c r="E45" s="938">
        <v>1140</v>
      </c>
      <c r="F45" s="929">
        <v>6266</v>
      </c>
      <c r="G45" s="623">
        <v>5496</v>
      </c>
      <c r="H45" s="938">
        <v>1140</v>
      </c>
      <c r="I45" s="929">
        <v>6271140</v>
      </c>
      <c r="J45" s="721"/>
      <c r="K45" s="947"/>
    </row>
    <row r="46" spans="1:10" ht="12.75">
      <c r="A46" s="930" t="s">
        <v>354</v>
      </c>
      <c r="B46" s="725"/>
      <c r="C46" s="725"/>
      <c r="D46" s="726"/>
      <c r="E46" s="941"/>
      <c r="F46" s="931">
        <f>F45</f>
        <v>6266</v>
      </c>
      <c r="G46" s="726"/>
      <c r="H46" s="941"/>
      <c r="I46" s="931">
        <v>6271140</v>
      </c>
      <c r="J46" s="721"/>
    </row>
    <row r="47" spans="1:9" ht="21.75" customHeight="1" thickBot="1">
      <c r="A47" s="1195" t="s">
        <v>221</v>
      </c>
      <c r="B47" s="1196"/>
      <c r="C47" s="727"/>
      <c r="D47" s="728"/>
      <c r="E47" s="942"/>
      <c r="F47" s="932">
        <f>F46+F44+F29+F17</f>
        <v>388467</v>
      </c>
      <c r="G47" s="728"/>
      <c r="H47" s="942"/>
      <c r="I47" s="932">
        <f>I46+I44+I29+I17</f>
        <v>392570162</v>
      </c>
    </row>
    <row r="48" spans="1:9" ht="12.75">
      <c r="A48"/>
      <c r="B48"/>
      <c r="C48"/>
      <c r="D48"/>
      <c r="E48"/>
      <c r="F48"/>
      <c r="G48"/>
      <c r="H48"/>
      <c r="I48"/>
    </row>
  </sheetData>
  <sheetProtection/>
  <mergeCells count="7">
    <mergeCell ref="A47:B47"/>
    <mergeCell ref="H2:I2"/>
    <mergeCell ref="A41:C41"/>
    <mergeCell ref="A1:I1"/>
    <mergeCell ref="A35:C35"/>
    <mergeCell ref="A45:C45"/>
    <mergeCell ref="A44:C4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="60" workbookViewId="0" topLeftCell="A1">
      <selection activeCell="D10" sqref="D5:D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209" t="s">
        <v>824</v>
      </c>
      <c r="B1" s="1209"/>
      <c r="C1" s="1209"/>
      <c r="D1" s="1209"/>
      <c r="E1" s="1209"/>
      <c r="F1" s="1209"/>
    </row>
    <row r="2" spans="1:6" ht="15.75" customHeight="1">
      <c r="A2" s="632"/>
      <c r="B2" s="632"/>
      <c r="C2" s="632"/>
      <c r="D2" s="632"/>
      <c r="E2" s="1211" t="s">
        <v>288</v>
      </c>
      <c r="F2" s="1211"/>
    </row>
    <row r="3" spans="1:6" ht="13.5" thickBot="1">
      <c r="A3" s="640"/>
      <c r="B3" s="640"/>
      <c r="C3" s="1210"/>
      <c r="D3" s="1210"/>
      <c r="E3" s="1210"/>
      <c r="F3" s="1210"/>
    </row>
    <row r="4" spans="1:6" ht="42.75" customHeight="1" thickBot="1">
      <c r="A4" s="657" t="s">
        <v>549</v>
      </c>
      <c r="B4" s="658" t="s">
        <v>606</v>
      </c>
      <c r="C4" s="658" t="s">
        <v>607</v>
      </c>
      <c r="D4" s="659" t="s">
        <v>280</v>
      </c>
      <c r="E4" s="660" t="s">
        <v>281</v>
      </c>
      <c r="F4" s="662"/>
    </row>
    <row r="5" spans="1:6" ht="15.75" customHeight="1">
      <c r="A5" s="641" t="s">
        <v>496</v>
      </c>
      <c r="B5" s="642" t="s">
        <v>440</v>
      </c>
      <c r="C5" s="642" t="s">
        <v>442</v>
      </c>
      <c r="D5" s="661">
        <v>125000</v>
      </c>
      <c r="E5" s="651" t="s">
        <v>282</v>
      </c>
      <c r="F5" s="1212">
        <v>3450000</v>
      </c>
    </row>
    <row r="6" spans="1:6" ht="15.75" customHeight="1">
      <c r="A6" s="643" t="s">
        <v>497</v>
      </c>
      <c r="B6" s="644" t="s">
        <v>441</v>
      </c>
      <c r="C6" s="644" t="s">
        <v>442</v>
      </c>
      <c r="D6" s="650">
        <v>125000</v>
      </c>
      <c r="E6" s="652" t="s">
        <v>282</v>
      </c>
      <c r="F6" s="1213"/>
    </row>
    <row r="7" spans="1:6" ht="15.75" customHeight="1">
      <c r="A7" s="643" t="s">
        <v>498</v>
      </c>
      <c r="B7" s="644" t="s">
        <v>443</v>
      </c>
      <c r="C7" s="644" t="s">
        <v>442</v>
      </c>
      <c r="D7" s="650">
        <v>125000</v>
      </c>
      <c r="E7" s="652" t="s">
        <v>282</v>
      </c>
      <c r="F7" s="1213"/>
    </row>
    <row r="8" spans="1:6" ht="15.75" customHeight="1">
      <c r="A8" s="647" t="s">
        <v>499</v>
      </c>
      <c r="B8" s="645" t="s">
        <v>445</v>
      </c>
      <c r="C8" s="645" t="s">
        <v>442</v>
      </c>
      <c r="D8" s="656">
        <v>300000</v>
      </c>
      <c r="E8" s="653" t="s">
        <v>282</v>
      </c>
      <c r="F8" s="1213"/>
    </row>
    <row r="9" spans="1:6" ht="15.75" customHeight="1">
      <c r="A9" s="643" t="s">
        <v>500</v>
      </c>
      <c r="B9" s="644" t="s">
        <v>446</v>
      </c>
      <c r="C9" s="645" t="s">
        <v>442</v>
      </c>
      <c r="D9" s="650">
        <v>100000</v>
      </c>
      <c r="E9" s="652" t="s">
        <v>282</v>
      </c>
      <c r="F9" s="1213"/>
    </row>
    <row r="10" spans="1:6" ht="15.75" customHeight="1">
      <c r="A10" s="643" t="s">
        <v>501</v>
      </c>
      <c r="B10" s="644" t="s">
        <v>447</v>
      </c>
      <c r="C10" s="644" t="s">
        <v>442</v>
      </c>
      <c r="D10" s="650">
        <v>675000</v>
      </c>
      <c r="E10" s="652" t="s">
        <v>282</v>
      </c>
      <c r="F10" s="1213"/>
    </row>
    <row r="11" spans="1:6" ht="15.75" customHeight="1" thickBot="1">
      <c r="A11" s="639" t="s">
        <v>502</v>
      </c>
      <c r="B11" s="649" t="s">
        <v>289</v>
      </c>
      <c r="C11" s="648" t="s">
        <v>442</v>
      </c>
      <c r="D11" s="638">
        <v>2000000</v>
      </c>
      <c r="E11" s="655" t="s">
        <v>282</v>
      </c>
      <c r="F11" s="1214"/>
    </row>
    <row r="12" spans="1:6" ht="15.75" customHeight="1" thickBot="1">
      <c r="A12" s="639" t="s">
        <v>503</v>
      </c>
      <c r="B12" s="649" t="s">
        <v>284</v>
      </c>
      <c r="C12" s="649" t="s">
        <v>285</v>
      </c>
      <c r="D12" s="638">
        <v>1200000</v>
      </c>
      <c r="E12" s="654" t="s">
        <v>283</v>
      </c>
      <c r="F12" s="1011">
        <v>1200000</v>
      </c>
    </row>
    <row r="13" spans="1:6" ht="15.75" customHeight="1" thickBot="1">
      <c r="A13" s="663" t="s">
        <v>504</v>
      </c>
      <c r="B13" s="664" t="s">
        <v>444</v>
      </c>
      <c r="C13" s="664" t="s">
        <v>442</v>
      </c>
      <c r="D13" s="665">
        <v>1750000</v>
      </c>
      <c r="E13" s="666" t="s">
        <v>286</v>
      </c>
      <c r="F13" s="1006">
        <v>1750000</v>
      </c>
    </row>
    <row r="14" spans="1:6" ht="15.75" customHeight="1">
      <c r="A14" s="647" t="s">
        <v>505</v>
      </c>
      <c r="B14" s="645"/>
      <c r="C14" s="642"/>
      <c r="D14" s="656"/>
      <c r="E14" s="1003"/>
      <c r="F14" s="1007"/>
    </row>
    <row r="15" spans="1:6" ht="15.75" customHeight="1">
      <c r="A15" s="643" t="s">
        <v>506</v>
      </c>
      <c r="B15" s="644"/>
      <c r="C15" s="644"/>
      <c r="D15" s="650"/>
      <c r="E15" s="1004"/>
      <c r="F15" s="1008"/>
    </row>
    <row r="16" spans="1:6" ht="15.75" customHeight="1">
      <c r="A16" s="643" t="s">
        <v>507</v>
      </c>
      <c r="B16" s="644"/>
      <c r="C16" s="644"/>
      <c r="D16" s="650"/>
      <c r="E16" s="1004"/>
      <c r="F16" s="1008"/>
    </row>
    <row r="17" spans="1:6" ht="15.75" customHeight="1">
      <c r="A17" s="643" t="s">
        <v>508</v>
      </c>
      <c r="B17" s="644"/>
      <c r="C17" s="644"/>
      <c r="D17" s="650"/>
      <c r="E17" s="1004"/>
      <c r="F17" s="1008"/>
    </row>
    <row r="18" spans="1:6" ht="15.75" customHeight="1">
      <c r="A18" s="643" t="s">
        <v>509</v>
      </c>
      <c r="B18" s="644"/>
      <c r="C18" s="644"/>
      <c r="D18" s="650"/>
      <c r="E18" s="1004"/>
      <c r="F18" s="1008"/>
    </row>
    <row r="19" spans="1:6" ht="15.75" customHeight="1" thickBot="1">
      <c r="A19" s="643" t="s">
        <v>510</v>
      </c>
      <c r="B19" s="644"/>
      <c r="C19" s="949"/>
      <c r="D19" s="650"/>
      <c r="E19" s="1004"/>
      <c r="F19" s="1009"/>
    </row>
    <row r="20" spans="1:6" ht="15.75" customHeight="1" thickBot="1">
      <c r="A20" s="1207" t="s">
        <v>529</v>
      </c>
      <c r="B20" s="1208"/>
      <c r="C20" s="950"/>
      <c r="D20" s="948">
        <v>6400000</v>
      </c>
      <c r="E20" s="1005"/>
      <c r="F20" s="1010"/>
    </row>
    <row r="21" spans="1:4" ht="15.75" customHeight="1">
      <c r="A21" s="634"/>
      <c r="B21" s="635"/>
      <c r="C21" s="635"/>
      <c r="D21" s="636"/>
    </row>
    <row r="22" spans="1:5" ht="15.75" customHeight="1">
      <c r="A22" s="646"/>
      <c r="B22" s="646"/>
      <c r="E22" s="554"/>
    </row>
    <row r="23" spans="1:4" ht="15.75" customHeight="1">
      <c r="A23" s="634"/>
      <c r="B23" s="635"/>
      <c r="C23" s="635"/>
      <c r="D23" s="636"/>
    </row>
    <row r="24" spans="1:4" ht="15.75" customHeight="1">
      <c r="A24" s="634"/>
      <c r="B24" s="635"/>
      <c r="C24" s="635"/>
      <c r="D24" s="636"/>
    </row>
    <row r="25" spans="1:4" ht="15.75" customHeight="1">
      <c r="A25" s="634"/>
      <c r="B25" s="635"/>
      <c r="C25" s="635"/>
      <c r="D25" s="636"/>
    </row>
    <row r="26" spans="1:4" ht="15.75" customHeight="1">
      <c r="A26" s="634"/>
      <c r="B26" s="635"/>
      <c r="C26" s="635"/>
      <c r="D26" s="636"/>
    </row>
    <row r="27" spans="1:4" ht="15.75" customHeight="1">
      <c r="A27" s="634"/>
      <c r="B27" s="635"/>
      <c r="C27" s="635"/>
      <c r="D27" s="637"/>
    </row>
    <row r="28" spans="1:4" ht="15.75" customHeight="1">
      <c r="A28" s="634"/>
      <c r="B28" s="635"/>
      <c r="C28" s="635"/>
      <c r="D28" s="637"/>
    </row>
    <row r="29" spans="1:4" ht="15.75" customHeight="1">
      <c r="A29" s="634"/>
      <c r="B29" s="635"/>
      <c r="C29" s="635"/>
      <c r="D29" s="637"/>
    </row>
    <row r="30" spans="1:4" ht="15.75" customHeight="1">
      <c r="A30" s="634"/>
      <c r="B30" s="635"/>
      <c r="C30" s="635"/>
      <c r="D30" s="637"/>
    </row>
    <row r="31" spans="1:4" ht="12.75">
      <c r="A31" s="554"/>
      <c r="B31" s="554"/>
      <c r="C31" s="554"/>
      <c r="D31" s="554"/>
    </row>
    <row r="32" spans="1:4" ht="12.75">
      <c r="A32" s="554"/>
      <c r="B32" s="554"/>
      <c r="C32" s="554"/>
      <c r="D32" s="554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0">
      <selection activeCell="H14" sqref="H14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8" width="13.125" style="0" customWidth="1"/>
  </cols>
  <sheetData>
    <row r="1" spans="1:8" ht="25.5" customHeight="1" thickBot="1">
      <c r="A1" s="539"/>
      <c r="B1" s="540"/>
      <c r="C1" s="541"/>
      <c r="D1" s="542"/>
      <c r="E1" s="543"/>
      <c r="F1" s="543"/>
      <c r="G1" s="543"/>
      <c r="H1" s="543"/>
    </row>
    <row r="2" spans="1:8" ht="43.5" customHeight="1">
      <c r="A2" s="539"/>
      <c r="B2" s="739" t="s">
        <v>496</v>
      </c>
      <c r="C2" s="1229" t="s">
        <v>164</v>
      </c>
      <c r="D2" s="1221"/>
      <c r="E2" s="740" t="s">
        <v>848</v>
      </c>
      <c r="F2" s="1028" t="s">
        <v>866</v>
      </c>
      <c r="G2" s="1028" t="s">
        <v>905</v>
      </c>
      <c r="H2" s="1028" t="s">
        <v>906</v>
      </c>
    </row>
    <row r="3" spans="1:8" ht="12.75">
      <c r="A3" s="539"/>
      <c r="B3" s="741"/>
      <c r="C3" s="1240" t="s">
        <v>193</v>
      </c>
      <c r="D3" s="742" t="s">
        <v>189</v>
      </c>
      <c r="E3" s="743">
        <f>9544000+13100</f>
        <v>9557100</v>
      </c>
      <c r="F3" s="743">
        <f>9544000+13100+14000+221218+387000</f>
        <v>10179318</v>
      </c>
      <c r="G3" s="743">
        <f>9544000+13100+14000+221218+387000+10500+181802+220000</f>
        <v>10591620</v>
      </c>
      <c r="H3" s="743">
        <f>9544000+13100+14000+221218+387000+10500+181802+220000+10500+181802</f>
        <v>10783922</v>
      </c>
    </row>
    <row r="4" spans="1:8" ht="12.75">
      <c r="A4" s="539"/>
      <c r="B4" s="744"/>
      <c r="C4" s="1242"/>
      <c r="D4" s="745" t="s">
        <v>408</v>
      </c>
      <c r="E4" s="746">
        <f>2104000+3537</f>
        <v>2107537</v>
      </c>
      <c r="F4" s="746">
        <f>2104000+3537+3080+48668+132431</f>
        <v>2291716</v>
      </c>
      <c r="G4" s="746">
        <f>2104000+3537+3080+48668+132431+2310+39995+48400</f>
        <v>2382421</v>
      </c>
      <c r="H4" s="746">
        <f>2104000+3537+3080+48668+132431+2310+39995+48400+2310+39996</f>
        <v>2424727</v>
      </c>
    </row>
    <row r="5" spans="1:8" ht="12.75">
      <c r="A5" s="539"/>
      <c r="B5" s="747"/>
      <c r="C5" s="1242"/>
      <c r="D5" s="748" t="s">
        <v>190</v>
      </c>
      <c r="E5" s="749">
        <v>6100000</v>
      </c>
      <c r="F5" s="749">
        <f>6100000-250000+23000</f>
        <v>5873000</v>
      </c>
      <c r="G5" s="749">
        <f>6100000+23000+3370127+500000+1101654+300000</f>
        <v>11394781</v>
      </c>
      <c r="H5" s="749">
        <f>6100000+23000+3370127+500000+1101654+300000+83</f>
        <v>11394864</v>
      </c>
    </row>
    <row r="6" spans="1:8" ht="12.75">
      <c r="A6" s="539"/>
      <c r="B6" s="752"/>
      <c r="C6" s="1238" t="s">
        <v>413</v>
      </c>
      <c r="D6" s="1239"/>
      <c r="E6" s="751">
        <f>SUM(E3:E5)</f>
        <v>17764637</v>
      </c>
      <c r="F6" s="751">
        <f>SUM(F3:F5)</f>
        <v>18344034</v>
      </c>
      <c r="G6" s="751">
        <f>SUM(G3:G5)</f>
        <v>24368822</v>
      </c>
      <c r="H6" s="751">
        <f>SUM(H3:H5)</f>
        <v>24603513</v>
      </c>
    </row>
    <row r="7" spans="1:8" ht="12.75">
      <c r="A7" s="539"/>
      <c r="B7" s="741"/>
      <c r="C7" s="1240" t="s">
        <v>194</v>
      </c>
      <c r="D7" s="742" t="s">
        <v>189</v>
      </c>
      <c r="E7" s="746">
        <f>2092000+12800</f>
        <v>2104800</v>
      </c>
      <c r="F7" s="746">
        <f>2092000+12800+39200+56000+100000</f>
        <v>2300000</v>
      </c>
      <c r="G7" s="746">
        <f>2092000+12800+39200+56000+100000+29400+50400+50000</f>
        <v>2429800</v>
      </c>
      <c r="H7" s="746">
        <f>2092000+12800+39200+56000+100000+29400+50400+50000+29400+50402</f>
        <v>2509602</v>
      </c>
    </row>
    <row r="8" spans="1:8" ht="12.75">
      <c r="A8" s="539"/>
      <c r="B8" s="744"/>
      <c r="C8" s="1240"/>
      <c r="D8" s="745" t="s">
        <v>408</v>
      </c>
      <c r="E8" s="746">
        <f>467000+3456</f>
        <v>470456</v>
      </c>
      <c r="F8" s="746">
        <f>467000+3456+8624+12320+34220</f>
        <v>525620</v>
      </c>
      <c r="G8" s="746">
        <f>467000+3456+8624+12320+34220+6468+11088+11000</f>
        <v>554176</v>
      </c>
      <c r="H8" s="746">
        <f>467000+3456+8624+12320+34220+6468+11088+11000+6468+11088</f>
        <v>571732</v>
      </c>
    </row>
    <row r="9" spans="1:8" ht="12.75">
      <c r="A9" s="539"/>
      <c r="B9" s="747"/>
      <c r="C9" s="1240"/>
      <c r="D9" s="748" t="s">
        <v>190</v>
      </c>
      <c r="E9" s="746">
        <v>750000</v>
      </c>
      <c r="F9" s="746">
        <v>750000</v>
      </c>
      <c r="G9" s="746">
        <f>750000+320879</f>
        <v>1070879</v>
      </c>
      <c r="H9" s="746">
        <f>750000+320879</f>
        <v>1070879</v>
      </c>
    </row>
    <row r="10" spans="1:8" ht="12.75">
      <c r="A10" s="539"/>
      <c r="B10" s="752"/>
      <c r="C10" s="1238" t="s">
        <v>414</v>
      </c>
      <c r="D10" s="1241"/>
      <c r="E10" s="751">
        <f>SUM(E7:E9)</f>
        <v>3325256</v>
      </c>
      <c r="F10" s="751">
        <f>SUM(F7:F9)</f>
        <v>3575620</v>
      </c>
      <c r="G10" s="751">
        <f>SUM(G7:G9)</f>
        <v>4054855</v>
      </c>
      <c r="H10" s="751">
        <f>SUM(H7:H9)</f>
        <v>4152213</v>
      </c>
    </row>
    <row r="11" spans="1:8" ht="12.75">
      <c r="A11" s="539"/>
      <c r="B11" s="752"/>
      <c r="C11" s="1039" t="s">
        <v>195</v>
      </c>
      <c r="D11" s="753" t="s">
        <v>190</v>
      </c>
      <c r="E11" s="754">
        <v>595000</v>
      </c>
      <c r="F11" s="754">
        <f>595000+250000</f>
        <v>845000</v>
      </c>
      <c r="G11" s="754">
        <f>595000</f>
        <v>595000</v>
      </c>
      <c r="H11" s="754">
        <f>595000</f>
        <v>595000</v>
      </c>
    </row>
    <row r="12" spans="1:8" ht="12.75">
      <c r="A12" s="539"/>
      <c r="B12" s="752"/>
      <c r="C12" s="1040" t="s">
        <v>405</v>
      </c>
      <c r="D12" s="753" t="s">
        <v>190</v>
      </c>
      <c r="E12" s="754">
        <v>1100000</v>
      </c>
      <c r="F12" s="754">
        <v>1100000</v>
      </c>
      <c r="G12" s="754">
        <v>1100000</v>
      </c>
      <c r="H12" s="754">
        <v>1100000</v>
      </c>
    </row>
    <row r="13" spans="1:8" ht="12.75">
      <c r="A13" s="539"/>
      <c r="B13" s="750"/>
      <c r="C13" s="755" t="s">
        <v>196</v>
      </c>
      <c r="D13" s="756" t="s">
        <v>190</v>
      </c>
      <c r="E13" s="754">
        <v>440000</v>
      </c>
      <c r="F13" s="754">
        <f>440000+295919</f>
        <v>735919</v>
      </c>
      <c r="G13" s="754">
        <f>440000+295919+200000+280000+209770+153390+130000</f>
        <v>1709079</v>
      </c>
      <c r="H13" s="754">
        <f>440000+295919+200000+280000+209770+153390+130000+398390+317280</f>
        <v>2424749</v>
      </c>
    </row>
    <row r="14" spans="1:8" ht="12.75">
      <c r="A14" s="539"/>
      <c r="B14" s="741"/>
      <c r="C14" s="1243" t="s">
        <v>197</v>
      </c>
      <c r="D14" s="742" t="s">
        <v>189</v>
      </c>
      <c r="E14" s="746">
        <f aca="true" t="shared" si="0" ref="E14:G15">SUM(E3+E7)</f>
        <v>11661900</v>
      </c>
      <c r="F14" s="746">
        <f t="shared" si="0"/>
        <v>12479318</v>
      </c>
      <c r="G14" s="746">
        <f t="shared" si="0"/>
        <v>13021420</v>
      </c>
      <c r="H14" s="746">
        <f>SUM(H3+H7)</f>
        <v>13293524</v>
      </c>
    </row>
    <row r="15" spans="1:8" ht="12.75">
      <c r="A15" s="539"/>
      <c r="B15" s="744"/>
      <c r="C15" s="1244"/>
      <c r="D15" s="745" t="s">
        <v>408</v>
      </c>
      <c r="E15" s="746">
        <f t="shared" si="0"/>
        <v>2577993</v>
      </c>
      <c r="F15" s="746">
        <f t="shared" si="0"/>
        <v>2817336</v>
      </c>
      <c r="G15" s="746">
        <f t="shared" si="0"/>
        <v>2936597</v>
      </c>
      <c r="H15" s="746">
        <f>SUM(H4+H8)</f>
        <v>2996459</v>
      </c>
    </row>
    <row r="16" spans="1:8" ht="13.5" thickBot="1">
      <c r="A16" s="539"/>
      <c r="B16" s="747"/>
      <c r="C16" s="1245"/>
      <c r="D16" s="748" t="s">
        <v>190</v>
      </c>
      <c r="E16" s="746">
        <f>SUM(E5+E9+E11+E12+E13)</f>
        <v>8985000</v>
      </c>
      <c r="F16" s="746">
        <f>SUM(F5+F9+F11+F12+F13)</f>
        <v>9303919</v>
      </c>
      <c r="G16" s="746">
        <f>SUM(G5+G9+G11+G12+G13)</f>
        <v>15869739</v>
      </c>
      <c r="H16" s="746">
        <f>SUM(H5+H9+H11+H12+H13)</f>
        <v>16585492</v>
      </c>
    </row>
    <row r="17" spans="1:8" ht="13.5" thickBot="1">
      <c r="A17" s="539"/>
      <c r="B17" s="757" t="s">
        <v>496</v>
      </c>
      <c r="C17" s="1230" t="s">
        <v>406</v>
      </c>
      <c r="D17" s="1231"/>
      <c r="E17" s="758">
        <f>SUM(E14:E16)</f>
        <v>23224893</v>
      </c>
      <c r="F17" s="758">
        <f>SUM(F14:F16)</f>
        <v>24600573</v>
      </c>
      <c r="G17" s="758">
        <f>SUM(G14:G16)</f>
        <v>31827756</v>
      </c>
      <c r="H17" s="758">
        <f>SUM(H14:H16)</f>
        <v>32875475</v>
      </c>
    </row>
    <row r="18" spans="1:8" ht="12.75">
      <c r="A18" s="539"/>
      <c r="B18" s="540"/>
      <c r="C18" s="544"/>
      <c r="D18" s="544"/>
      <c r="E18" s="539"/>
      <c r="F18" s="539"/>
      <c r="G18" s="539"/>
      <c r="H18" s="539"/>
    </row>
    <row r="19" spans="1:8" ht="12.75">
      <c r="A19" s="539"/>
      <c r="B19" s="540"/>
      <c r="C19" s="544"/>
      <c r="D19" s="544"/>
      <c r="E19" s="539"/>
      <c r="F19" s="539"/>
      <c r="G19" s="539"/>
      <c r="H19" s="539"/>
    </row>
    <row r="20" spans="1:8" ht="13.5" thickBot="1">
      <c r="A20" s="539"/>
      <c r="B20" s="540"/>
      <c r="C20" s="544"/>
      <c r="D20" s="544"/>
      <c r="E20" s="539"/>
      <c r="F20" s="539"/>
      <c r="G20" s="539"/>
      <c r="H20" s="539"/>
    </row>
    <row r="21" spans="1:8" ht="23.25" customHeight="1">
      <c r="A21" s="539"/>
      <c r="B21" s="1090" t="s">
        <v>497</v>
      </c>
      <c r="C21" s="1235" t="s">
        <v>165</v>
      </c>
      <c r="D21" s="1235"/>
      <c r="E21" s="740" t="s">
        <v>848</v>
      </c>
      <c r="F21" s="1028" t="s">
        <v>866</v>
      </c>
      <c r="G21" s="1028" t="s">
        <v>905</v>
      </c>
      <c r="H21" s="1028" t="s">
        <v>906</v>
      </c>
    </row>
    <row r="22" spans="1:8" ht="12.75">
      <c r="A22" s="539"/>
      <c r="B22" s="759"/>
      <c r="C22" s="1232" t="s">
        <v>229</v>
      </c>
      <c r="D22" s="1030" t="s">
        <v>189</v>
      </c>
      <c r="E22" s="743">
        <f>79536500+156600</f>
        <v>79693100</v>
      </c>
      <c r="F22" s="743">
        <f>79536500+156600+635300+2111403</f>
        <v>82439803</v>
      </c>
      <c r="G22" s="743">
        <f>79536500+156600+635300+2111403+488100+1671301</f>
        <v>84599204</v>
      </c>
      <c r="H22" s="743">
        <f>79536500+156600+635300+2111403+488100+1671301+485000+1558436</f>
        <v>86642640</v>
      </c>
    </row>
    <row r="23" spans="1:8" ht="12.75">
      <c r="A23" s="539"/>
      <c r="B23" s="760"/>
      <c r="C23" s="1233"/>
      <c r="D23" s="1031" t="s">
        <v>408</v>
      </c>
      <c r="E23" s="746">
        <f>20419800+38637</f>
        <v>20458437</v>
      </c>
      <c r="F23" s="746">
        <f>20419800+38637+134706+464509</f>
        <v>21057652</v>
      </c>
      <c r="G23" s="746">
        <f>20419800+38637+134706+464509+107382+367686</f>
        <v>21532720</v>
      </c>
      <c r="H23" s="746">
        <f>20419800+38637+134706+464509+107382+367686+106700+342855</f>
        <v>21982275</v>
      </c>
    </row>
    <row r="24" spans="1:8" ht="12.75">
      <c r="A24" s="539"/>
      <c r="B24" s="1032"/>
      <c r="C24" s="1234"/>
      <c r="D24" s="1033" t="s">
        <v>190</v>
      </c>
      <c r="E24" s="762">
        <v>56669000</v>
      </c>
      <c r="F24" s="762">
        <v>56669000</v>
      </c>
      <c r="G24" s="762">
        <f>56669000-320904</f>
        <v>56348096</v>
      </c>
      <c r="H24" s="762">
        <f>56669000-320904+867</f>
        <v>56348963</v>
      </c>
    </row>
    <row r="25" spans="1:8" ht="12.75">
      <c r="A25" s="539"/>
      <c r="B25" s="763"/>
      <c r="C25" s="1220" t="s">
        <v>198</v>
      </c>
      <c r="D25" s="1220"/>
      <c r="E25" s="751">
        <f>SUM(E22:E24)</f>
        <v>156820537</v>
      </c>
      <c r="F25" s="751">
        <f>SUM(F22:F24)</f>
        <v>160166455</v>
      </c>
      <c r="G25" s="751">
        <f>SUM(G22:G24)</f>
        <v>162480020</v>
      </c>
      <c r="H25" s="751">
        <f>SUM(H22:H24)</f>
        <v>164973878</v>
      </c>
    </row>
    <row r="26" spans="1:8" ht="12.75">
      <c r="A26" s="539"/>
      <c r="B26" s="759"/>
      <c r="C26" s="1226" t="s">
        <v>439</v>
      </c>
      <c r="D26" s="742" t="s">
        <v>189</v>
      </c>
      <c r="E26" s="743">
        <f>4840700+13500</f>
        <v>4854200</v>
      </c>
      <c r="F26" s="743">
        <f>4840700+13500+33200+71221</f>
        <v>4958621</v>
      </c>
      <c r="G26" s="743">
        <f>4840700+13500+33200+71221+24900+23887</f>
        <v>5007408</v>
      </c>
      <c r="H26" s="743">
        <f>4840700+13500+33200+71221+24900+23887+24700+92663</f>
        <v>5124771</v>
      </c>
    </row>
    <row r="27" spans="1:8" ht="12.75">
      <c r="A27" s="539"/>
      <c r="B27" s="760"/>
      <c r="C27" s="1227"/>
      <c r="D27" s="745" t="s">
        <v>408</v>
      </c>
      <c r="E27" s="746">
        <f>1110200+3645</f>
        <v>1113845</v>
      </c>
      <c r="F27" s="746">
        <f>1110200+3645+7304+15669</f>
        <v>1136818</v>
      </c>
      <c r="G27" s="746">
        <f>1110200+3645+7304+15669+5478+5255</f>
        <v>1147551</v>
      </c>
      <c r="H27" s="746">
        <f>1110200+3645+7304+15669+5478+5255+5434+20386</f>
        <v>1173371</v>
      </c>
    </row>
    <row r="28" spans="1:8" ht="12.75">
      <c r="A28" s="539"/>
      <c r="B28" s="761"/>
      <c r="C28" s="1228"/>
      <c r="D28" s="748" t="s">
        <v>190</v>
      </c>
      <c r="E28" s="762">
        <v>164000</v>
      </c>
      <c r="F28" s="762">
        <v>164000</v>
      </c>
      <c r="G28" s="762">
        <v>164000</v>
      </c>
      <c r="H28" s="762">
        <v>164000</v>
      </c>
    </row>
    <row r="29" spans="1:8" ht="12.75">
      <c r="A29" s="539"/>
      <c r="B29" s="763"/>
      <c r="C29" s="1220" t="s">
        <v>199</v>
      </c>
      <c r="D29" s="1220"/>
      <c r="E29" s="751">
        <f>SUM(E26:E28)</f>
        <v>6132045</v>
      </c>
      <c r="F29" s="751">
        <f>SUM(F26:F28)</f>
        <v>6259439</v>
      </c>
      <c r="G29" s="751">
        <f>SUM(G26:G28)</f>
        <v>6318959</v>
      </c>
      <c r="H29" s="751">
        <f>SUM(H26:H28)</f>
        <v>6462142</v>
      </c>
    </row>
    <row r="30" spans="1:8" ht="12.75">
      <c r="A30" s="539"/>
      <c r="B30" s="759"/>
      <c r="C30" s="1226" t="s">
        <v>415</v>
      </c>
      <c r="D30" s="742" t="s">
        <v>189</v>
      </c>
      <c r="E30" s="743"/>
      <c r="F30" s="743"/>
      <c r="G30" s="743"/>
      <c r="H30" s="743"/>
    </row>
    <row r="31" spans="1:8" ht="12.75">
      <c r="A31" s="539"/>
      <c r="B31" s="760"/>
      <c r="C31" s="1227"/>
      <c r="D31" s="745" t="s">
        <v>408</v>
      </c>
      <c r="E31" s="746"/>
      <c r="F31" s="746"/>
      <c r="G31" s="746"/>
      <c r="H31" s="746"/>
    </row>
    <row r="32" spans="1:8" ht="12.75">
      <c r="A32" s="539"/>
      <c r="B32" s="761"/>
      <c r="C32" s="1228"/>
      <c r="D32" s="748" t="s">
        <v>190</v>
      </c>
      <c r="E32" s="762"/>
      <c r="F32" s="762"/>
      <c r="G32" s="762"/>
      <c r="H32" s="762"/>
    </row>
    <row r="33" spans="1:8" ht="12.75">
      <c r="A33" s="539"/>
      <c r="B33" s="763"/>
      <c r="C33" s="1220" t="s">
        <v>200</v>
      </c>
      <c r="D33" s="1220"/>
      <c r="E33" s="751">
        <f>SUM(E30:E32)</f>
        <v>0</v>
      </c>
      <c r="F33" s="751">
        <f>SUM(F30:F32)</f>
        <v>0</v>
      </c>
      <c r="G33" s="751">
        <f>SUM(G30:G32)</f>
        <v>0</v>
      </c>
      <c r="H33" s="751">
        <f>SUM(H30:H32)</f>
        <v>0</v>
      </c>
    </row>
    <row r="34" spans="1:8" ht="12.75">
      <c r="A34" s="539"/>
      <c r="B34" s="765"/>
      <c r="C34" s="1217" t="s">
        <v>169</v>
      </c>
      <c r="D34" s="742" t="s">
        <v>189</v>
      </c>
      <c r="E34" s="766"/>
      <c r="F34" s="766"/>
      <c r="G34" s="766"/>
      <c r="H34" s="766"/>
    </row>
    <row r="35" spans="1:8" ht="12.75">
      <c r="A35" s="539"/>
      <c r="B35" s="765"/>
      <c r="C35" s="1218"/>
      <c r="D35" s="745" t="s">
        <v>408</v>
      </c>
      <c r="E35" s="766"/>
      <c r="F35" s="766"/>
      <c r="G35" s="766"/>
      <c r="H35" s="766"/>
    </row>
    <row r="36" spans="1:8" ht="12.75">
      <c r="A36" s="539"/>
      <c r="B36" s="765"/>
      <c r="C36" s="1219"/>
      <c r="D36" s="748" t="s">
        <v>190</v>
      </c>
      <c r="E36" s="767"/>
      <c r="F36" s="767"/>
      <c r="G36" s="767"/>
      <c r="H36" s="767"/>
    </row>
    <row r="37" spans="1:8" ht="12.75">
      <c r="A37" s="539"/>
      <c r="B37" s="763"/>
      <c r="C37" s="764" t="s">
        <v>173</v>
      </c>
      <c r="D37" s="764"/>
      <c r="E37" s="751">
        <f>SUM(E34:E36)</f>
        <v>0</v>
      </c>
      <c r="F37" s="751">
        <f>SUM(F34:F36)</f>
        <v>0</v>
      </c>
      <c r="G37" s="751">
        <f>SUM(G34:G36)</f>
        <v>0</v>
      </c>
      <c r="H37" s="751">
        <f>SUM(H34:H36)</f>
        <v>0</v>
      </c>
    </row>
    <row r="38" spans="1:8" ht="12.75">
      <c r="A38" s="539"/>
      <c r="B38" s="759"/>
      <c r="C38" s="1224" t="s">
        <v>201</v>
      </c>
      <c r="D38" s="742" t="s">
        <v>189</v>
      </c>
      <c r="E38" s="743">
        <f aca="true" t="shared" si="1" ref="E38:F40">SUM(E22+E26+E30+E34)</f>
        <v>84547300</v>
      </c>
      <c r="F38" s="743">
        <f t="shared" si="1"/>
        <v>87398424</v>
      </c>
      <c r="G38" s="743">
        <f>SUM(G22+G26+G30+G34)</f>
        <v>89606612</v>
      </c>
      <c r="H38" s="743">
        <f>SUM(H22+H26+H30+H34)</f>
        <v>91767411</v>
      </c>
    </row>
    <row r="39" spans="1:8" ht="12.75">
      <c r="A39" s="539"/>
      <c r="B39" s="760"/>
      <c r="C39" s="1224"/>
      <c r="D39" s="745" t="s">
        <v>408</v>
      </c>
      <c r="E39" s="743">
        <f t="shared" si="1"/>
        <v>21572282</v>
      </c>
      <c r="F39" s="743">
        <f t="shared" si="1"/>
        <v>22194470</v>
      </c>
      <c r="G39" s="743">
        <f>SUM(G23+G27+G31+G35)</f>
        <v>22680271</v>
      </c>
      <c r="H39" s="743">
        <f>SUM(H23+H27+H31+H35)</f>
        <v>23155646</v>
      </c>
    </row>
    <row r="40" spans="1:8" ht="13.5" thickBot="1">
      <c r="A40" s="539"/>
      <c r="B40" s="768"/>
      <c r="C40" s="1225"/>
      <c r="D40" s="748" t="s">
        <v>190</v>
      </c>
      <c r="E40" s="743">
        <f t="shared" si="1"/>
        <v>56833000</v>
      </c>
      <c r="F40" s="743">
        <v>56758690</v>
      </c>
      <c r="G40" s="743">
        <f>G24+G28</f>
        <v>56512096</v>
      </c>
      <c r="H40" s="743">
        <f>H24+H28</f>
        <v>56512963</v>
      </c>
    </row>
    <row r="41" spans="1:8" ht="13.5" thickBot="1">
      <c r="A41" s="539"/>
      <c r="B41" s="757" t="s">
        <v>497</v>
      </c>
      <c r="C41" s="1223" t="s">
        <v>202</v>
      </c>
      <c r="D41" s="1223"/>
      <c r="E41" s="758">
        <f>SUM(E38:E40)</f>
        <v>162952582</v>
      </c>
      <c r="F41" s="758">
        <f>SUM(F38:F40)</f>
        <v>166351584</v>
      </c>
      <c r="G41" s="758">
        <f>SUM(G38:G40)</f>
        <v>168798979</v>
      </c>
      <c r="H41" s="758">
        <f>SUM(H38:H40)</f>
        <v>171436020</v>
      </c>
    </row>
    <row r="42" spans="1:8" ht="12.75">
      <c r="A42" s="539"/>
      <c r="B42" s="540"/>
      <c r="C42" s="544"/>
      <c r="D42" s="544"/>
      <c r="E42" s="539"/>
      <c r="F42" s="539"/>
      <c r="G42" s="539"/>
      <c r="H42" s="539"/>
    </row>
    <row r="43" spans="1:8" ht="13.5" thickBot="1">
      <c r="A43" s="539"/>
      <c r="B43" s="545"/>
      <c r="C43" s="546"/>
      <c r="D43" s="546"/>
      <c r="E43" s="539"/>
      <c r="F43" s="539"/>
      <c r="G43" s="539"/>
      <c r="H43" s="539"/>
    </row>
    <row r="44" spans="1:8" ht="24">
      <c r="A44" s="539"/>
      <c r="B44" s="1091" t="s">
        <v>498</v>
      </c>
      <c r="C44" s="1221" t="s">
        <v>184</v>
      </c>
      <c r="D44" s="1221"/>
      <c r="E44" s="740" t="s">
        <v>848</v>
      </c>
      <c r="F44" s="1028" t="s">
        <v>866</v>
      </c>
      <c r="G44" s="1028" t="s">
        <v>905</v>
      </c>
      <c r="H44" s="1028" t="s">
        <v>906</v>
      </c>
    </row>
    <row r="45" spans="1:8" ht="12.75">
      <c r="A45" s="539"/>
      <c r="B45" s="789"/>
      <c r="C45" s="1222" t="s">
        <v>434</v>
      </c>
      <c r="D45" s="777" t="s">
        <v>206</v>
      </c>
      <c r="E45" s="769">
        <f>68615600+26400</f>
        <v>68642000</v>
      </c>
      <c r="F45" s="769">
        <f>68615600-3000000+26400+26400</f>
        <v>65668400</v>
      </c>
      <c r="G45" s="769">
        <f>68615600-3000000+26400+26400</f>
        <v>65668400</v>
      </c>
      <c r="H45" s="769">
        <v>64668400</v>
      </c>
    </row>
    <row r="46" spans="1:8" ht="12.75">
      <c r="A46" s="539"/>
      <c r="B46" s="770"/>
      <c r="C46" s="1222"/>
      <c r="D46" s="771" t="s">
        <v>408</v>
      </c>
      <c r="E46" s="1092">
        <f>15377500+7128</f>
        <v>15384628</v>
      </c>
      <c r="F46" s="772">
        <f>15377500+7128+5808</f>
        <v>15390436</v>
      </c>
      <c r="G46" s="772">
        <f>15377500+7128+5808</f>
        <v>15390436</v>
      </c>
      <c r="H46" s="772">
        <v>15390436</v>
      </c>
    </row>
    <row r="47" spans="1:8" ht="12.75">
      <c r="A47" s="539"/>
      <c r="B47" s="770"/>
      <c r="C47" s="1248"/>
      <c r="D47" s="771" t="s">
        <v>190</v>
      </c>
      <c r="E47" s="1092">
        <v>15890000</v>
      </c>
      <c r="F47" s="772">
        <f>15890000+3000000</f>
        <v>18890000</v>
      </c>
      <c r="G47" s="772">
        <f>15890000+3000000</f>
        <v>18890000</v>
      </c>
      <c r="H47" s="772">
        <v>20165200</v>
      </c>
    </row>
    <row r="48" spans="1:8" ht="12.75">
      <c r="A48" s="539"/>
      <c r="B48" s="773"/>
      <c r="C48" s="774" t="s">
        <v>180</v>
      </c>
      <c r="D48" s="1029"/>
      <c r="E48" s="1093">
        <f>SUM(E45:E47)</f>
        <v>99916628</v>
      </c>
      <c r="F48" s="775">
        <f>SUM(F45:F47)</f>
        <v>99948836</v>
      </c>
      <c r="G48" s="775">
        <f>SUM(G45:G47)</f>
        <v>99948836</v>
      </c>
      <c r="H48" s="775">
        <f>SUM(H45:H47)</f>
        <v>100224036</v>
      </c>
    </row>
    <row r="49" spans="1:8" ht="12.75">
      <c r="A49" s="539"/>
      <c r="B49" s="776"/>
      <c r="C49" s="1249" t="s">
        <v>227</v>
      </c>
      <c r="D49" s="777" t="s">
        <v>206</v>
      </c>
      <c r="E49" s="1094">
        <v>2427000</v>
      </c>
      <c r="F49" s="778">
        <v>2427000</v>
      </c>
      <c r="G49" s="778">
        <v>2427000</v>
      </c>
      <c r="H49" s="778">
        <v>2427000</v>
      </c>
    </row>
    <row r="50" spans="1:8" ht="12.75">
      <c r="A50" s="539"/>
      <c r="B50" s="776"/>
      <c r="C50" s="1250"/>
      <c r="D50" s="771" t="s">
        <v>408</v>
      </c>
      <c r="E50" s="1095">
        <v>533900</v>
      </c>
      <c r="F50" s="779">
        <v>533900</v>
      </c>
      <c r="G50" s="779">
        <v>533900</v>
      </c>
      <c r="H50" s="779">
        <v>533900</v>
      </c>
    </row>
    <row r="51" spans="1:8" ht="12.75">
      <c r="A51" s="539"/>
      <c r="B51" s="780"/>
      <c r="C51" s="781" t="s">
        <v>228</v>
      </c>
      <c r="D51" s="788"/>
      <c r="E51" s="1096">
        <f>(E49+E50)</f>
        <v>2960900</v>
      </c>
      <c r="F51" s="782">
        <f>(F49+F50)</f>
        <v>2960900</v>
      </c>
      <c r="G51" s="782">
        <f>(G49+G50)</f>
        <v>2960900</v>
      </c>
      <c r="H51" s="782">
        <f>(H49+H50)</f>
        <v>2960900</v>
      </c>
    </row>
    <row r="52" spans="1:8" ht="12.75">
      <c r="A52" s="539"/>
      <c r="B52" s="1022"/>
      <c r="C52" s="1236" t="s">
        <v>261</v>
      </c>
      <c r="D52" s="1023" t="s">
        <v>206</v>
      </c>
      <c r="E52" s="1092">
        <v>0</v>
      </c>
      <c r="F52" s="772">
        <v>0</v>
      </c>
      <c r="G52" s="772">
        <v>0</v>
      </c>
      <c r="H52" s="772">
        <v>0</v>
      </c>
    </row>
    <row r="53" spans="1:8" ht="12.75">
      <c r="A53" s="539"/>
      <c r="B53" s="1022"/>
      <c r="C53" s="1236"/>
      <c r="D53" s="1023" t="s">
        <v>408</v>
      </c>
      <c r="E53" s="1092">
        <v>0</v>
      </c>
      <c r="F53" s="772">
        <v>0</v>
      </c>
      <c r="G53" s="772">
        <v>0</v>
      </c>
      <c r="H53" s="772">
        <v>0</v>
      </c>
    </row>
    <row r="54" spans="1:8" ht="12.75">
      <c r="A54" s="539"/>
      <c r="B54" s="1022"/>
      <c r="C54" s="1236"/>
      <c r="D54" s="1023" t="s">
        <v>190</v>
      </c>
      <c r="E54" s="1092">
        <v>0</v>
      </c>
      <c r="F54" s="772">
        <v>0</v>
      </c>
      <c r="G54" s="772">
        <v>0</v>
      </c>
      <c r="H54" s="772">
        <v>0</v>
      </c>
    </row>
    <row r="55" spans="1:8" ht="14.25" customHeight="1">
      <c r="A55" s="539"/>
      <c r="B55" s="780"/>
      <c r="C55" s="781" t="s">
        <v>261</v>
      </c>
      <c r="D55" s="788"/>
      <c r="E55" s="1096">
        <v>0</v>
      </c>
      <c r="F55" s="782">
        <v>0</v>
      </c>
      <c r="G55" s="782">
        <v>0</v>
      </c>
      <c r="H55" s="782">
        <v>0</v>
      </c>
    </row>
    <row r="56" spans="1:8" ht="12.75">
      <c r="A56" s="539"/>
      <c r="B56" s="783"/>
      <c r="C56" s="1222" t="s">
        <v>262</v>
      </c>
      <c r="D56" s="777" t="s">
        <v>206</v>
      </c>
      <c r="E56" s="1097">
        <v>0</v>
      </c>
      <c r="F56" s="784">
        <v>0</v>
      </c>
      <c r="G56" s="784">
        <v>0</v>
      </c>
      <c r="H56" s="784">
        <v>0</v>
      </c>
    </row>
    <row r="57" spans="1:8" ht="12.75">
      <c r="A57" s="539"/>
      <c r="B57" s="783"/>
      <c r="C57" s="1222"/>
      <c r="D57" s="771" t="s">
        <v>408</v>
      </c>
      <c r="E57" s="1098">
        <v>0</v>
      </c>
      <c r="F57" s="785">
        <v>0</v>
      </c>
      <c r="G57" s="785">
        <v>0</v>
      </c>
      <c r="H57" s="785">
        <v>0</v>
      </c>
    </row>
    <row r="58" spans="1:8" ht="12.75">
      <c r="A58" s="539"/>
      <c r="B58" s="786"/>
      <c r="C58" s="1222"/>
      <c r="D58" s="771" t="s">
        <v>190</v>
      </c>
      <c r="E58" s="1099">
        <v>0</v>
      </c>
      <c r="F58" s="787">
        <v>0</v>
      </c>
      <c r="G58" s="787">
        <v>0</v>
      </c>
      <c r="H58" s="787">
        <v>0</v>
      </c>
    </row>
    <row r="59" spans="1:8" ht="12.75">
      <c r="A59" s="539"/>
      <c r="B59" s="780"/>
      <c r="C59" s="781" t="s">
        <v>263</v>
      </c>
      <c r="D59" s="788"/>
      <c r="E59" s="1096">
        <v>0</v>
      </c>
      <c r="F59" s="782">
        <v>0</v>
      </c>
      <c r="G59" s="782">
        <v>0</v>
      </c>
      <c r="H59" s="782">
        <v>0</v>
      </c>
    </row>
    <row r="60" spans="1:8" ht="12.75">
      <c r="A60" s="539"/>
      <c r="B60" s="783"/>
      <c r="C60" s="1222" t="s">
        <v>264</v>
      </c>
      <c r="D60" s="777" t="s">
        <v>206</v>
      </c>
      <c r="E60" s="1097">
        <v>0</v>
      </c>
      <c r="F60" s="784">
        <v>0</v>
      </c>
      <c r="G60" s="784">
        <v>0</v>
      </c>
      <c r="H60" s="784">
        <v>0</v>
      </c>
    </row>
    <row r="61" spans="1:8" ht="12.75">
      <c r="A61" s="539"/>
      <c r="B61" s="783"/>
      <c r="C61" s="1222"/>
      <c r="D61" s="771" t="s">
        <v>408</v>
      </c>
      <c r="E61" s="1098">
        <v>0</v>
      </c>
      <c r="F61" s="785">
        <v>0</v>
      </c>
      <c r="G61" s="785">
        <v>0</v>
      </c>
      <c r="H61" s="785">
        <v>0</v>
      </c>
    </row>
    <row r="62" spans="1:8" ht="12.75">
      <c r="A62" s="539"/>
      <c r="B62" s="786"/>
      <c r="C62" s="1222"/>
      <c r="D62" s="771" t="s">
        <v>190</v>
      </c>
      <c r="E62" s="1099">
        <v>0</v>
      </c>
      <c r="F62" s="787">
        <v>0</v>
      </c>
      <c r="G62" s="787">
        <v>0</v>
      </c>
      <c r="H62" s="787">
        <v>0</v>
      </c>
    </row>
    <row r="63" spans="1:8" ht="12.75">
      <c r="A63" s="539"/>
      <c r="B63" s="780"/>
      <c r="C63" s="781" t="s">
        <v>268</v>
      </c>
      <c r="D63" s="788"/>
      <c r="E63" s="1096">
        <v>0</v>
      </c>
      <c r="F63" s="782">
        <v>0</v>
      </c>
      <c r="G63" s="782">
        <v>0</v>
      </c>
      <c r="H63" s="782">
        <v>0</v>
      </c>
    </row>
    <row r="64" spans="1:8" ht="12.75">
      <c r="A64" s="539"/>
      <c r="B64" s="789"/>
      <c r="C64" s="1237" t="s">
        <v>182</v>
      </c>
      <c r="D64" s="777" t="s">
        <v>206</v>
      </c>
      <c r="E64" s="1100">
        <f aca="true" t="shared" si="2" ref="E64:G65">(E45+E49)</f>
        <v>71069000</v>
      </c>
      <c r="F64" s="790">
        <f t="shared" si="2"/>
        <v>68095400</v>
      </c>
      <c r="G64" s="790">
        <f t="shared" si="2"/>
        <v>68095400</v>
      </c>
      <c r="H64" s="790">
        <f>(H45+H49)</f>
        <v>67095400</v>
      </c>
    </row>
    <row r="65" spans="1:8" ht="12.75">
      <c r="A65" s="539"/>
      <c r="B65" s="770"/>
      <c r="C65" s="1237"/>
      <c r="D65" s="771" t="s">
        <v>408</v>
      </c>
      <c r="E65" s="1100">
        <f t="shared" si="2"/>
        <v>15918528</v>
      </c>
      <c r="F65" s="790">
        <f t="shared" si="2"/>
        <v>15924336</v>
      </c>
      <c r="G65" s="790">
        <f t="shared" si="2"/>
        <v>15924336</v>
      </c>
      <c r="H65" s="790">
        <f>(H46+H50)</f>
        <v>15924336</v>
      </c>
    </row>
    <row r="66" spans="1:8" ht="12.75">
      <c r="A66" s="539"/>
      <c r="B66" s="770"/>
      <c r="C66" s="1237"/>
      <c r="D66" s="771" t="s">
        <v>190</v>
      </c>
      <c r="E66" s="1100">
        <f>(E47)</f>
        <v>15890000</v>
      </c>
      <c r="F66" s="790">
        <f>(F47)</f>
        <v>18890000</v>
      </c>
      <c r="G66" s="790">
        <f>(G47)</f>
        <v>18890000</v>
      </c>
      <c r="H66" s="790">
        <f>(H47)</f>
        <v>20165200</v>
      </c>
    </row>
    <row r="67" spans="1:8" ht="13.5" thickBot="1">
      <c r="A67" s="539"/>
      <c r="B67" s="791"/>
      <c r="C67" s="1237"/>
      <c r="D67" s="771" t="s">
        <v>216</v>
      </c>
      <c r="E67" s="1101">
        <v>0</v>
      </c>
      <c r="F67" s="792">
        <v>0</v>
      </c>
      <c r="G67" s="792">
        <v>0</v>
      </c>
      <c r="H67" s="792">
        <v>0</v>
      </c>
    </row>
    <row r="68" spans="1:8" ht="13.5" thickBot="1">
      <c r="A68" s="539"/>
      <c r="B68" s="793" t="s">
        <v>498</v>
      </c>
      <c r="C68" s="1251" t="s">
        <v>185</v>
      </c>
      <c r="D68" s="1252"/>
      <c r="E68" s="1102">
        <f>SUM(E64:E67)</f>
        <v>102877528</v>
      </c>
      <c r="F68" s="794">
        <f>SUM(F64:F67)</f>
        <v>102909736</v>
      </c>
      <c r="G68" s="794">
        <f>SUM(G64:G67)</f>
        <v>102909736</v>
      </c>
      <c r="H68" s="794">
        <f>SUM(H64:H67)</f>
        <v>103184936</v>
      </c>
    </row>
    <row r="69" spans="1:8" ht="12.75">
      <c r="A69" s="539"/>
      <c r="B69" s="545"/>
      <c r="C69" s="546"/>
      <c r="D69" s="546"/>
      <c r="E69" s="1103"/>
      <c r="F69" s="1103"/>
      <c r="G69" s="1103"/>
      <c r="H69" s="1103"/>
    </row>
    <row r="70" spans="1:8" ht="12.75">
      <c r="A70" s="539"/>
      <c r="B70" s="545"/>
      <c r="C70" s="546"/>
      <c r="D70" s="546"/>
      <c r="E70" s="1104"/>
      <c r="F70" s="1104"/>
      <c r="G70" s="1104"/>
      <c r="H70" s="1104"/>
    </row>
    <row r="71" spans="1:8" ht="13.5" thickBot="1">
      <c r="A71" s="539"/>
      <c r="B71" s="545"/>
      <c r="C71" s="546"/>
      <c r="D71" s="546"/>
      <c r="E71" s="1105"/>
      <c r="F71" s="1105"/>
      <c r="G71" s="1105"/>
      <c r="H71" s="1105"/>
    </row>
    <row r="72" spans="1:8" ht="24">
      <c r="A72" s="539"/>
      <c r="B72" s="1026"/>
      <c r="C72" s="1246" t="s">
        <v>221</v>
      </c>
      <c r="D72" s="1247"/>
      <c r="E72" s="740" t="s">
        <v>848</v>
      </c>
      <c r="F72" s="1028" t="s">
        <v>866</v>
      </c>
      <c r="G72" s="1028" t="s">
        <v>905</v>
      </c>
      <c r="H72" s="1028" t="s">
        <v>906</v>
      </c>
    </row>
    <row r="73" spans="1:8" ht="12.75">
      <c r="A73" s="539"/>
      <c r="B73" s="765"/>
      <c r="C73" s="1232" t="s">
        <v>411</v>
      </c>
      <c r="D73" s="1106" t="s">
        <v>189</v>
      </c>
      <c r="E73" s="795">
        <f aca="true" t="shared" si="3" ref="E73:H75">(E14+E38+E64)</f>
        <v>167278200</v>
      </c>
      <c r="F73" s="795">
        <f t="shared" si="3"/>
        <v>167973142</v>
      </c>
      <c r="G73" s="795">
        <f t="shared" si="3"/>
        <v>170723432</v>
      </c>
      <c r="H73" s="795">
        <f t="shared" si="3"/>
        <v>172156335</v>
      </c>
    </row>
    <row r="74" spans="1:8" ht="12.75">
      <c r="A74" s="539"/>
      <c r="B74" s="765"/>
      <c r="C74" s="1233"/>
      <c r="D74" s="745" t="s">
        <v>408</v>
      </c>
      <c r="E74" s="795">
        <f t="shared" si="3"/>
        <v>40068803</v>
      </c>
      <c r="F74" s="795">
        <f t="shared" si="3"/>
        <v>40936142</v>
      </c>
      <c r="G74" s="795">
        <f t="shared" si="3"/>
        <v>41541204</v>
      </c>
      <c r="H74" s="795">
        <f t="shared" si="3"/>
        <v>42076441</v>
      </c>
    </row>
    <row r="75" spans="1:8" ht="12.75">
      <c r="A75" s="539"/>
      <c r="B75" s="765"/>
      <c r="C75" s="1233"/>
      <c r="D75" s="745" t="s">
        <v>190</v>
      </c>
      <c r="E75" s="795">
        <f t="shared" si="3"/>
        <v>81708000</v>
      </c>
      <c r="F75" s="795">
        <f t="shared" si="3"/>
        <v>84952609</v>
      </c>
      <c r="G75" s="795">
        <f t="shared" si="3"/>
        <v>91271835</v>
      </c>
      <c r="H75" s="795">
        <f t="shared" si="3"/>
        <v>93263655</v>
      </c>
    </row>
    <row r="76" spans="1:8" ht="12.75">
      <c r="A76" s="539"/>
      <c r="B76" s="765"/>
      <c r="C76" s="1233"/>
      <c r="D76" s="748" t="s">
        <v>210</v>
      </c>
      <c r="E76" s="796">
        <v>0</v>
      </c>
      <c r="F76" s="796">
        <v>0</v>
      </c>
      <c r="G76" s="796">
        <v>0</v>
      </c>
      <c r="H76" s="796">
        <v>0</v>
      </c>
    </row>
    <row r="77" spans="1:8" ht="13.5" thickBot="1">
      <c r="A77" s="539"/>
      <c r="B77" s="765"/>
      <c r="C77" s="1233"/>
      <c r="D77" s="748" t="s">
        <v>409</v>
      </c>
      <c r="E77" s="1107">
        <v>0</v>
      </c>
      <c r="F77" s="797">
        <v>0</v>
      </c>
      <c r="G77" s="797">
        <v>0</v>
      </c>
      <c r="H77" s="797">
        <v>0</v>
      </c>
    </row>
    <row r="78" spans="1:8" ht="13.5" thickBot="1">
      <c r="A78" s="539"/>
      <c r="B78" s="757" t="s">
        <v>187</v>
      </c>
      <c r="C78" s="1215" t="s">
        <v>203</v>
      </c>
      <c r="D78" s="1216"/>
      <c r="E78" s="1108">
        <f>SUM(E73:E75)</f>
        <v>289055003</v>
      </c>
      <c r="F78" s="798">
        <f>SUM(F73:F75)</f>
        <v>293861893</v>
      </c>
      <c r="G78" s="798">
        <f>SUM(G73:G75)</f>
        <v>303536471</v>
      </c>
      <c r="H78" s="798">
        <f>SUM(H73:H75)</f>
        <v>307496431</v>
      </c>
    </row>
    <row r="79" spans="1:8" ht="14.25">
      <c r="A79" s="539"/>
      <c r="B79" s="547"/>
      <c r="C79" s="547"/>
      <c r="D79" s="547"/>
      <c r="E79" s="539"/>
      <c r="F79" s="539"/>
      <c r="G79" s="539"/>
      <c r="H79" s="539"/>
    </row>
    <row r="80" spans="1:8" ht="15.75">
      <c r="A80" s="376"/>
      <c r="B80" s="376"/>
      <c r="C80" s="193"/>
      <c r="D80" s="54"/>
      <c r="E80" s="539"/>
      <c r="F80" s="539"/>
      <c r="G80" s="539"/>
      <c r="H80" s="539"/>
    </row>
  </sheetData>
  <sheetProtection/>
  <mergeCells count="28">
    <mergeCell ref="C7:C9"/>
    <mergeCell ref="C10:D10"/>
    <mergeCell ref="C3:C5"/>
    <mergeCell ref="C14:C16"/>
    <mergeCell ref="C72:D72"/>
    <mergeCell ref="C45:C47"/>
    <mergeCell ref="C49:C50"/>
    <mergeCell ref="C68:D68"/>
    <mergeCell ref="C2:D2"/>
    <mergeCell ref="C17:D17"/>
    <mergeCell ref="C30:C32"/>
    <mergeCell ref="C33:D33"/>
    <mergeCell ref="C22:C24"/>
    <mergeCell ref="C73:C77"/>
    <mergeCell ref="C21:D21"/>
    <mergeCell ref="C52:C54"/>
    <mergeCell ref="C64:C67"/>
    <mergeCell ref="C6:D6"/>
    <mergeCell ref="C78:D78"/>
    <mergeCell ref="C34:C36"/>
    <mergeCell ref="C25:D25"/>
    <mergeCell ref="C44:D44"/>
    <mergeCell ref="C56:C58"/>
    <mergeCell ref="C41:D41"/>
    <mergeCell ref="C38:C40"/>
    <mergeCell ref="C26:C28"/>
    <mergeCell ref="C29:D29"/>
    <mergeCell ref="C60:C6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3" max="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40">
      <selection activeCell="A25" sqref="A1:IV16384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5" width="13.875" style="1025" customWidth="1"/>
    <col min="6" max="7" width="17.00390625" style="1025" customWidth="1"/>
  </cols>
  <sheetData>
    <row r="1" spans="1:7" ht="25.5">
      <c r="A1" s="801" t="s">
        <v>186</v>
      </c>
      <c r="B1" s="802" t="s">
        <v>204</v>
      </c>
      <c r="C1" s="803" t="s">
        <v>188</v>
      </c>
      <c r="D1" s="804" t="s">
        <v>849</v>
      </c>
      <c r="E1" s="1034" t="s">
        <v>866</v>
      </c>
      <c r="F1" s="1034" t="s">
        <v>905</v>
      </c>
      <c r="G1" s="1034" t="s">
        <v>906</v>
      </c>
    </row>
    <row r="2" spans="1:7" ht="12.75">
      <c r="A2" s="805"/>
      <c r="B2" s="806" t="s">
        <v>429</v>
      </c>
      <c r="C2" s="807" t="s">
        <v>190</v>
      </c>
      <c r="D2" s="808">
        <v>2920000</v>
      </c>
      <c r="E2" s="808">
        <v>2920000</v>
      </c>
      <c r="F2" s="808">
        <v>2920000</v>
      </c>
      <c r="G2" s="808">
        <v>2920000</v>
      </c>
    </row>
    <row r="3" spans="1:7" ht="12.75">
      <c r="A3" s="809"/>
      <c r="B3" s="810" t="s">
        <v>430</v>
      </c>
      <c r="C3" s="811" t="s">
        <v>190</v>
      </c>
      <c r="D3" s="808">
        <v>18780000</v>
      </c>
      <c r="E3" s="808">
        <v>18780000</v>
      </c>
      <c r="F3" s="808">
        <v>18780000</v>
      </c>
      <c r="G3" s="808">
        <v>18780000</v>
      </c>
    </row>
    <row r="4" spans="1:7" ht="12.75">
      <c r="A4" s="809"/>
      <c r="B4" s="810" t="s">
        <v>356</v>
      </c>
      <c r="C4" s="811" t="s">
        <v>190</v>
      </c>
      <c r="D4" s="808">
        <v>500000</v>
      </c>
      <c r="E4" s="808">
        <v>500000</v>
      </c>
      <c r="F4" s="808">
        <v>500000</v>
      </c>
      <c r="G4" s="808">
        <v>500000</v>
      </c>
    </row>
    <row r="5" spans="1:7" ht="12.75">
      <c r="A5" s="809"/>
      <c r="B5" s="810" t="s">
        <v>433</v>
      </c>
      <c r="C5" s="811" t="s">
        <v>190</v>
      </c>
      <c r="D5" s="808">
        <v>1270000</v>
      </c>
      <c r="E5" s="808">
        <v>1270000</v>
      </c>
      <c r="F5" s="808">
        <v>1270000</v>
      </c>
      <c r="G5" s="808">
        <v>1270000</v>
      </c>
    </row>
    <row r="6" spans="1:7" ht="12.75">
      <c r="A6" s="809"/>
      <c r="B6" s="810" t="s">
        <v>205</v>
      </c>
      <c r="C6" s="811" t="s">
        <v>190</v>
      </c>
      <c r="D6" s="808">
        <v>12700000</v>
      </c>
      <c r="E6" s="808">
        <v>12700000</v>
      </c>
      <c r="F6" s="808">
        <v>12700000</v>
      </c>
      <c r="G6" s="808">
        <v>12700000</v>
      </c>
    </row>
    <row r="7" spans="1:7" ht="12.75">
      <c r="A7" s="809"/>
      <c r="B7" s="810" t="s">
        <v>431</v>
      </c>
      <c r="C7" s="811" t="s">
        <v>190</v>
      </c>
      <c r="D7" s="808">
        <v>1778000</v>
      </c>
      <c r="E7" s="808">
        <v>1778000</v>
      </c>
      <c r="F7" s="808">
        <v>1778000</v>
      </c>
      <c r="G7" s="808">
        <v>1778000</v>
      </c>
    </row>
    <row r="8" spans="1:7" ht="12.75">
      <c r="A8" s="809"/>
      <c r="B8" s="1269" t="s">
        <v>220</v>
      </c>
      <c r="C8" s="811" t="s">
        <v>206</v>
      </c>
      <c r="D8" s="808">
        <f>4986000+15000</f>
        <v>5001000</v>
      </c>
      <c r="E8" s="808">
        <f>4986000+15000+52000+200000</f>
        <v>5253000</v>
      </c>
      <c r="F8" s="808">
        <f>4986000+15000+52000+200000+39000</f>
        <v>5292000</v>
      </c>
      <c r="G8" s="808">
        <f>4986000+15000+52000+200000+39000+39000</f>
        <v>5331000</v>
      </c>
    </row>
    <row r="9" spans="1:7" ht="12.75">
      <c r="A9" s="809"/>
      <c r="B9" s="1269"/>
      <c r="C9" s="811" t="s">
        <v>408</v>
      </c>
      <c r="D9" s="808">
        <f>1112000+4050</f>
        <v>1116050</v>
      </c>
      <c r="E9" s="808">
        <f>1112000+4050+11440+68440</f>
        <v>1195930</v>
      </c>
      <c r="F9" s="808">
        <f>1112000+4050+11440+68440+8580</f>
        <v>1204510</v>
      </c>
      <c r="G9" s="808">
        <f>1112000+4050+11440+68440+8580+8580</f>
        <v>1213090</v>
      </c>
    </row>
    <row r="10" spans="1:7" ht="12.75">
      <c r="A10" s="812"/>
      <c r="B10" s="1269"/>
      <c r="C10" s="813" t="s">
        <v>190</v>
      </c>
      <c r="D10" s="808">
        <v>10000000</v>
      </c>
      <c r="E10" s="808">
        <v>10000000</v>
      </c>
      <c r="F10" s="808">
        <v>10000000</v>
      </c>
      <c r="G10" s="808">
        <v>10000000</v>
      </c>
    </row>
    <row r="11" spans="1:7" ht="12.75">
      <c r="A11" s="814"/>
      <c r="B11" s="1267" t="s">
        <v>207</v>
      </c>
      <c r="C11" s="1267"/>
      <c r="D11" s="815">
        <f>SUM(D8:D10)</f>
        <v>16117050</v>
      </c>
      <c r="E11" s="815">
        <f>SUM(E8:E10)</f>
        <v>16448930</v>
      </c>
      <c r="F11" s="815">
        <f>SUM(F8:F10)</f>
        <v>16496510</v>
      </c>
      <c r="G11" s="815">
        <f>SUM(G8:G10)</f>
        <v>16544090</v>
      </c>
    </row>
    <row r="12" spans="1:7" ht="12.75">
      <c r="A12" s="809"/>
      <c r="B12" s="1273" t="s">
        <v>357</v>
      </c>
      <c r="C12" s="811" t="s">
        <v>206</v>
      </c>
      <c r="D12" s="808">
        <v>3000000</v>
      </c>
      <c r="E12" s="808">
        <f>3000000+4394659</f>
        <v>7394659</v>
      </c>
      <c r="F12" s="808">
        <f>3000000+4394659+2676743</f>
        <v>10071402</v>
      </c>
      <c r="G12" s="808">
        <f>3000000+4394659+2676743+2583901</f>
        <v>12655303</v>
      </c>
    </row>
    <row r="13" spans="1:7" ht="12.75">
      <c r="A13" s="809"/>
      <c r="B13" s="1271"/>
      <c r="C13" s="811" t="s">
        <v>408</v>
      </c>
      <c r="D13" s="808">
        <v>660000</v>
      </c>
      <c r="E13" s="808">
        <f>660000+966826</f>
        <v>1626826</v>
      </c>
      <c r="F13" s="808">
        <f>660000+966826+588884</f>
        <v>2215710</v>
      </c>
      <c r="G13" s="808">
        <f>660000+966826+588884+568459</f>
        <v>2784169</v>
      </c>
    </row>
    <row r="14" spans="1:7" ht="12.75">
      <c r="A14" s="812"/>
      <c r="B14" s="1272"/>
      <c r="C14" s="813" t="s">
        <v>190</v>
      </c>
      <c r="D14" s="808">
        <v>0</v>
      </c>
      <c r="E14" s="808">
        <v>0</v>
      </c>
      <c r="F14" s="808">
        <v>0</v>
      </c>
      <c r="G14" s="808">
        <v>0</v>
      </c>
    </row>
    <row r="15" spans="1:7" ht="12.75">
      <c r="A15" s="814"/>
      <c r="B15" s="1267" t="s">
        <v>407</v>
      </c>
      <c r="C15" s="1267"/>
      <c r="D15" s="815">
        <f>D12+D13+D14</f>
        <v>3660000</v>
      </c>
      <c r="E15" s="815">
        <f>E12+E13+E14</f>
        <v>9021485</v>
      </c>
      <c r="F15" s="815">
        <f>F12+F13+F14</f>
        <v>12287112</v>
      </c>
      <c r="G15" s="815">
        <f>G12+G13+G14</f>
        <v>15439472</v>
      </c>
    </row>
    <row r="16" spans="1:7" ht="13.5" thickBot="1">
      <c r="A16" s="817"/>
      <c r="B16" s="818" t="s">
        <v>393</v>
      </c>
      <c r="C16" s="819" t="s">
        <v>190</v>
      </c>
      <c r="D16" s="808"/>
      <c r="E16" s="808"/>
      <c r="F16" s="808"/>
      <c r="G16" s="808"/>
    </row>
    <row r="17" spans="1:7" ht="13.5" thickBot="1">
      <c r="A17" s="820" t="s">
        <v>410</v>
      </c>
      <c r="B17" s="1274" t="s">
        <v>412</v>
      </c>
      <c r="C17" s="1275"/>
      <c r="D17" s="822">
        <f>SUM(D2+D3+D4+D5+D6+D7+D11+D15+D16)</f>
        <v>57725050</v>
      </c>
      <c r="E17" s="822">
        <f>SUM(E2+E3+E4+E5+E6+E7+E11+E15+E16)</f>
        <v>63418415</v>
      </c>
      <c r="F17" s="822">
        <f>SUM(F2+F3+F4+F5+F6+F7+F11+F15+F16)</f>
        <v>66731622</v>
      </c>
      <c r="G17" s="822">
        <f>SUM(G2+G3+G4+G5+G6+G7+G11+G15+G16)</f>
        <v>69931562</v>
      </c>
    </row>
    <row r="18" spans="1:7" ht="12.75">
      <c r="A18" s="823"/>
      <c r="B18" s="824" t="s">
        <v>436</v>
      </c>
      <c r="C18" s="825" t="s">
        <v>208</v>
      </c>
      <c r="D18" s="808">
        <v>3854000</v>
      </c>
      <c r="E18" s="808">
        <v>3854000</v>
      </c>
      <c r="F18" s="808">
        <v>3854000</v>
      </c>
      <c r="G18" s="808">
        <v>3854000</v>
      </c>
    </row>
    <row r="19" spans="1:7" ht="12.75">
      <c r="A19" s="805"/>
      <c r="B19" s="806" t="s">
        <v>420</v>
      </c>
      <c r="C19" s="826" t="s">
        <v>208</v>
      </c>
      <c r="D19" s="808"/>
      <c r="E19" s="808"/>
      <c r="F19" s="808"/>
      <c r="G19" s="808"/>
    </row>
    <row r="20" spans="1:7" ht="12.75">
      <c r="A20" s="805"/>
      <c r="B20" s="806" t="s">
        <v>394</v>
      </c>
      <c r="C20" s="826" t="s">
        <v>435</v>
      </c>
      <c r="D20" s="808"/>
      <c r="E20" s="808"/>
      <c r="F20" s="808"/>
      <c r="G20" s="808"/>
    </row>
    <row r="21" spans="1:7" ht="12.75">
      <c r="A21" s="805"/>
      <c r="B21" s="806" t="s">
        <v>211</v>
      </c>
      <c r="C21" s="826" t="s">
        <v>435</v>
      </c>
      <c r="D21" s="808">
        <v>1500000</v>
      </c>
      <c r="E21" s="808">
        <v>1500000</v>
      </c>
      <c r="F21" s="808">
        <v>1500000</v>
      </c>
      <c r="G21" s="808">
        <v>1500000</v>
      </c>
    </row>
    <row r="22" spans="1:7" ht="12.75">
      <c r="A22" s="809"/>
      <c r="B22" s="810" t="s">
        <v>437</v>
      </c>
      <c r="C22" s="826" t="s">
        <v>208</v>
      </c>
      <c r="D22" s="808">
        <v>1000000</v>
      </c>
      <c r="E22" s="808">
        <v>1000000</v>
      </c>
      <c r="F22" s="808">
        <v>1000000</v>
      </c>
      <c r="G22" s="808">
        <v>1000000</v>
      </c>
    </row>
    <row r="23" spans="1:7" ht="12.75">
      <c r="A23" s="809"/>
      <c r="B23" s="1264" t="s">
        <v>415</v>
      </c>
      <c r="C23" s="826" t="s">
        <v>208</v>
      </c>
      <c r="D23" s="808"/>
      <c r="E23" s="808"/>
      <c r="F23" s="808"/>
      <c r="G23" s="808"/>
    </row>
    <row r="24" spans="1:7" ht="12.75">
      <c r="A24" s="809"/>
      <c r="B24" s="1264"/>
      <c r="C24" s="827" t="s">
        <v>190</v>
      </c>
      <c r="D24" s="808">
        <v>2850000</v>
      </c>
      <c r="E24" s="808">
        <v>2850000</v>
      </c>
      <c r="F24" s="808">
        <v>2850000</v>
      </c>
      <c r="G24" s="808">
        <v>2850000</v>
      </c>
    </row>
    <row r="25" spans="1:7" ht="12.75">
      <c r="A25" s="809"/>
      <c r="B25" s="810" t="s">
        <v>395</v>
      </c>
      <c r="C25" s="827" t="s">
        <v>208</v>
      </c>
      <c r="D25" s="808">
        <v>1757000</v>
      </c>
      <c r="E25" s="808">
        <v>1757000</v>
      </c>
      <c r="F25" s="808">
        <v>1757000</v>
      </c>
      <c r="G25" s="808">
        <v>1757000</v>
      </c>
    </row>
    <row r="26" spans="1:7" ht="12.75">
      <c r="A26" s="809"/>
      <c r="B26" s="810" t="s">
        <v>260</v>
      </c>
      <c r="C26" s="827" t="s">
        <v>208</v>
      </c>
      <c r="D26" s="808"/>
      <c r="E26" s="808"/>
      <c r="F26" s="808"/>
      <c r="G26" s="808"/>
    </row>
    <row r="27" spans="1:7" ht="12.75">
      <c r="A27" s="809"/>
      <c r="B27" s="1278" t="s">
        <v>438</v>
      </c>
      <c r="C27" s="826" t="s">
        <v>210</v>
      </c>
      <c r="D27" s="808">
        <v>1500000</v>
      </c>
      <c r="E27" s="808">
        <v>1500000</v>
      </c>
      <c r="F27" s="808">
        <v>1500000</v>
      </c>
      <c r="G27" s="808">
        <v>1500000</v>
      </c>
    </row>
    <row r="28" spans="1:7" ht="12.75">
      <c r="A28" s="828"/>
      <c r="B28" s="1279"/>
      <c r="C28" s="829" t="s">
        <v>190</v>
      </c>
      <c r="D28" s="830"/>
      <c r="E28" s="830"/>
      <c r="F28" s="830"/>
      <c r="G28" s="830"/>
    </row>
    <row r="29" spans="1:7" ht="12.75">
      <c r="A29" s="828"/>
      <c r="B29" s="831" t="s">
        <v>396</v>
      </c>
      <c r="C29" s="829" t="s">
        <v>210</v>
      </c>
      <c r="D29" s="830"/>
      <c r="E29" s="830"/>
      <c r="F29" s="830"/>
      <c r="G29" s="830"/>
    </row>
    <row r="30" spans="1:7" ht="13.5" thickBot="1">
      <c r="A30" s="832"/>
      <c r="B30" s="833" t="s">
        <v>209</v>
      </c>
      <c r="C30" s="826" t="s">
        <v>210</v>
      </c>
      <c r="D30" s="834"/>
      <c r="E30" s="834"/>
      <c r="F30" s="834"/>
      <c r="G30" s="834"/>
    </row>
    <row r="31" spans="1:7" ht="13.5" thickBot="1">
      <c r="A31" s="835" t="s">
        <v>416</v>
      </c>
      <c r="B31" s="1265" t="s">
        <v>418</v>
      </c>
      <c r="C31" s="1266"/>
      <c r="D31" s="836">
        <f>SUM(D18:D30)</f>
        <v>12461000</v>
      </c>
      <c r="E31" s="836">
        <f>SUM(E18:E30)</f>
        <v>12461000</v>
      </c>
      <c r="F31" s="836">
        <f>SUM(F18:F30)</f>
        <v>12461000</v>
      </c>
      <c r="G31" s="836">
        <f>SUM(G18:G30)</f>
        <v>12461000</v>
      </c>
    </row>
    <row r="32" spans="1:7" ht="12.75">
      <c r="A32" s="837"/>
      <c r="B32" s="838" t="s">
        <v>425</v>
      </c>
      <c r="C32" s="839" t="s">
        <v>190</v>
      </c>
      <c r="D32" s="808">
        <v>482000</v>
      </c>
      <c r="E32" s="808">
        <v>482000</v>
      </c>
      <c r="F32" s="808">
        <v>482000</v>
      </c>
      <c r="G32" s="808">
        <v>482000</v>
      </c>
    </row>
    <row r="33" spans="1:7" ht="12.75">
      <c r="A33" s="809"/>
      <c r="B33" s="1267" t="s">
        <v>426</v>
      </c>
      <c r="C33" s="1268"/>
      <c r="D33" s="840">
        <f>D32</f>
        <v>482000</v>
      </c>
      <c r="E33" s="840">
        <f>E32</f>
        <v>482000</v>
      </c>
      <c r="F33" s="840">
        <f>F32</f>
        <v>482000</v>
      </c>
      <c r="G33" s="840">
        <f>G32</f>
        <v>482000</v>
      </c>
    </row>
    <row r="34" spans="1:7" ht="12.75">
      <c r="A34" s="809"/>
      <c r="B34" s="841" t="s">
        <v>427</v>
      </c>
      <c r="C34" s="842" t="s">
        <v>190</v>
      </c>
      <c r="D34" s="808">
        <v>205000</v>
      </c>
      <c r="E34" s="808">
        <v>205000</v>
      </c>
      <c r="F34" s="808">
        <v>205000</v>
      </c>
      <c r="G34" s="808">
        <v>205000</v>
      </c>
    </row>
    <row r="35" spans="1:7" ht="12.75">
      <c r="A35" s="809"/>
      <c r="B35" s="1267" t="s">
        <v>428</v>
      </c>
      <c r="C35" s="1268"/>
      <c r="D35" s="840">
        <f>D34</f>
        <v>205000</v>
      </c>
      <c r="E35" s="840">
        <f>E34</f>
        <v>205000</v>
      </c>
      <c r="F35" s="840">
        <f>F34</f>
        <v>205000</v>
      </c>
      <c r="G35" s="840">
        <f>G34</f>
        <v>205000</v>
      </c>
    </row>
    <row r="36" spans="1:7" ht="12.75">
      <c r="A36" s="809"/>
      <c r="B36" s="1261" t="s">
        <v>213</v>
      </c>
      <c r="C36" s="826" t="s">
        <v>206</v>
      </c>
      <c r="D36" s="808">
        <f>6236000+22400</f>
        <v>6258400</v>
      </c>
      <c r="E36" s="808">
        <f>6236000+22400+84400+200000</f>
        <v>6542800</v>
      </c>
      <c r="F36" s="808">
        <f>6236000+22400+84400+200000+63300</f>
        <v>6606100</v>
      </c>
      <c r="G36" s="808">
        <f>6236000+22400+84400+200000+63300+63300</f>
        <v>6669400</v>
      </c>
    </row>
    <row r="37" spans="1:7" ht="12.75">
      <c r="A37" s="809"/>
      <c r="B37" s="1261"/>
      <c r="C37" s="827" t="s">
        <v>408</v>
      </c>
      <c r="D37" s="808">
        <f>1395000+6048</f>
        <v>1401048</v>
      </c>
      <c r="E37" s="808">
        <f>1395000+6048+18568+68440</f>
        <v>1488056</v>
      </c>
      <c r="F37" s="808">
        <f>1395000+6048+18568+68440+13926</f>
        <v>1501982</v>
      </c>
      <c r="G37" s="808">
        <f>1395000+6048+18568+68440+13926+13926</f>
        <v>1515908</v>
      </c>
    </row>
    <row r="38" spans="1:7" ht="12.75">
      <c r="A38" s="809"/>
      <c r="B38" s="1261"/>
      <c r="C38" s="843" t="s">
        <v>190</v>
      </c>
      <c r="D38" s="808">
        <v>2668000</v>
      </c>
      <c r="E38" s="808">
        <v>2668000</v>
      </c>
      <c r="F38" s="808">
        <v>2668000</v>
      </c>
      <c r="G38" s="808">
        <v>2668000</v>
      </c>
    </row>
    <row r="39" spans="1:7" ht="13.5" thickBot="1">
      <c r="A39" s="812"/>
      <c r="B39" s="1276" t="s">
        <v>214</v>
      </c>
      <c r="C39" s="1277"/>
      <c r="D39" s="844">
        <f>SUM(D36:D38)</f>
        <v>10327448</v>
      </c>
      <c r="E39" s="844">
        <f>SUM(E36:E38)</f>
        <v>10698856</v>
      </c>
      <c r="F39" s="844">
        <f>SUM(F36:F38)</f>
        <v>10776082</v>
      </c>
      <c r="G39" s="844">
        <f>SUM(G36:G38)</f>
        <v>10853308</v>
      </c>
    </row>
    <row r="40" spans="1:7" ht="13.5" thickBot="1">
      <c r="A40" s="820" t="s">
        <v>417</v>
      </c>
      <c r="B40" s="1274" t="s">
        <v>215</v>
      </c>
      <c r="C40" s="1280"/>
      <c r="D40" s="822">
        <f>SUM(D33+D35+D39)</f>
        <v>11014448</v>
      </c>
      <c r="E40" s="822">
        <f>SUM(E33+E35+E39)</f>
        <v>11385856</v>
      </c>
      <c r="F40" s="822">
        <f>SUM(F33+F35+F39)</f>
        <v>11463082</v>
      </c>
      <c r="G40" s="822">
        <f>SUM(G33+G35+G39)</f>
        <v>11540308</v>
      </c>
    </row>
    <row r="41" spans="1:7" ht="12.75">
      <c r="A41" s="805"/>
      <c r="B41" s="1270" t="s">
        <v>432</v>
      </c>
      <c r="C41" s="825" t="s">
        <v>206</v>
      </c>
      <c r="D41" s="846">
        <f>18377000+30000</f>
        <v>18407000</v>
      </c>
      <c r="E41" s="846">
        <f>18377000+30000+104000+310000</f>
        <v>18821000</v>
      </c>
      <c r="F41" s="846">
        <f>18377000+30000+104000+310000+382500+78000+2676743</f>
        <v>21958243</v>
      </c>
      <c r="G41" s="846">
        <f>18377000+30000+104000+310000+382500+78000+2676743+78000</f>
        <v>22036243</v>
      </c>
    </row>
    <row r="42" spans="1:7" ht="12.75">
      <c r="A42" s="809"/>
      <c r="B42" s="1271"/>
      <c r="C42" s="827" t="s">
        <v>408</v>
      </c>
      <c r="D42" s="808">
        <f>4139000+8100</f>
        <v>4147100</v>
      </c>
      <c r="E42" s="808">
        <f>4139000+8100+22880+68200</f>
        <v>4238180</v>
      </c>
      <c r="F42" s="808">
        <f>4139000+8100+22880+68200+84152+17160+588883</f>
        <v>4928375</v>
      </c>
      <c r="G42" s="808">
        <f>4139000+8100+22880+68200+84152+17160+588883+17160</f>
        <v>4945535</v>
      </c>
    </row>
    <row r="43" spans="1:7" ht="12.75">
      <c r="A43" s="809"/>
      <c r="B43" s="1271"/>
      <c r="C43" s="827" t="s">
        <v>190</v>
      </c>
      <c r="D43" s="808">
        <v>21600000</v>
      </c>
      <c r="E43" s="808">
        <v>21600000</v>
      </c>
      <c r="F43" s="808">
        <v>21600000</v>
      </c>
      <c r="G43" s="808">
        <v>21600000</v>
      </c>
    </row>
    <row r="44" spans="1:7" ht="12.75">
      <c r="A44" s="809"/>
      <c r="B44" s="1271"/>
      <c r="C44" s="843" t="s">
        <v>183</v>
      </c>
      <c r="D44" s="808"/>
      <c r="E44" s="808"/>
      <c r="F44" s="808"/>
      <c r="G44" s="808"/>
    </row>
    <row r="45" spans="1:7" ht="12.75">
      <c r="A45" s="809"/>
      <c r="B45" s="1272"/>
      <c r="C45" s="847" t="s">
        <v>212</v>
      </c>
      <c r="D45" s="848"/>
      <c r="E45" s="848"/>
      <c r="F45" s="848"/>
      <c r="G45" s="848"/>
    </row>
    <row r="46" spans="1:7" ht="13.5" thickBot="1">
      <c r="A46" s="849"/>
      <c r="B46" s="850" t="s">
        <v>174</v>
      </c>
      <c r="C46" s="851"/>
      <c r="D46" s="852">
        <f>SUM(D41:D45)</f>
        <v>44154100</v>
      </c>
      <c r="E46" s="852">
        <f>SUM(E41:E45)</f>
        <v>44659180</v>
      </c>
      <c r="F46" s="852">
        <f>SUM(F41:F45)</f>
        <v>48486618</v>
      </c>
      <c r="G46" s="852">
        <f>SUM(G41:G45)</f>
        <v>48581778</v>
      </c>
    </row>
    <row r="47" spans="1:7" ht="13.5" thickBot="1">
      <c r="A47" s="853" t="s">
        <v>419</v>
      </c>
      <c r="B47" s="854" t="s">
        <v>421</v>
      </c>
      <c r="C47" s="855"/>
      <c r="D47" s="845">
        <f>SUM(D46)</f>
        <v>44154100</v>
      </c>
      <c r="E47" s="845">
        <f>SUM(E46)</f>
        <v>44659180</v>
      </c>
      <c r="F47" s="845">
        <f>SUM(F46)</f>
        <v>48486618</v>
      </c>
      <c r="G47" s="845">
        <f>SUM(G46)</f>
        <v>48581778</v>
      </c>
    </row>
    <row r="48" spans="1:7" ht="13.5" thickBot="1">
      <c r="A48" s="548"/>
      <c r="B48" s="549"/>
      <c r="C48" s="550"/>
      <c r="D48" s="551"/>
      <c r="E48" s="551"/>
      <c r="F48" s="551"/>
      <c r="G48" s="551"/>
    </row>
    <row r="49" spans="1:7" ht="13.5" thickBot="1">
      <c r="A49" s="823"/>
      <c r="B49" s="1262" t="s">
        <v>397</v>
      </c>
      <c r="C49" s="825" t="s">
        <v>206</v>
      </c>
      <c r="D49" s="846">
        <f>6444500+12900+17600</f>
        <v>6475000</v>
      </c>
      <c r="E49" s="846">
        <f>6444500+12900+17600+48000+62800+300000+100000</f>
        <v>6985800</v>
      </c>
      <c r="F49" s="846">
        <f>6444500+12900+17600+48000+62800+300000+100000+36000+47100</f>
        <v>7068900</v>
      </c>
      <c r="G49" s="846">
        <f>6444500+12900+17600+48000+62800+300000+100000+36000+47100+36000+47100</f>
        <v>7152000</v>
      </c>
    </row>
    <row r="50" spans="1:7" ht="13.5" thickBot="1">
      <c r="A50" s="809"/>
      <c r="B50" s="1263"/>
      <c r="C50" s="827" t="s">
        <v>408</v>
      </c>
      <c r="D50" s="808">
        <f>1440000+3483+4752</f>
        <v>1448235</v>
      </c>
      <c r="E50" s="808">
        <f>1440000+3483+4752+10560+13816+102660+34220</f>
        <v>1609491</v>
      </c>
      <c r="F50" s="808">
        <f>1440000+3483+4752+10560+13816+102660+34220+7920+10362</f>
        <v>1627773</v>
      </c>
      <c r="G50" s="808">
        <f>1440000+3483+4752+10560+13816+102660+34220+7920+10362+7920+10362</f>
        <v>1646055</v>
      </c>
    </row>
    <row r="51" spans="1:7" ht="12.75">
      <c r="A51" s="809"/>
      <c r="B51" s="1263"/>
      <c r="C51" s="827" t="s">
        <v>190</v>
      </c>
      <c r="D51" s="808">
        <v>57200000</v>
      </c>
      <c r="E51" s="808">
        <v>57200000</v>
      </c>
      <c r="F51" s="808">
        <v>57200000</v>
      </c>
      <c r="G51" s="808">
        <v>57200000</v>
      </c>
    </row>
    <row r="52" spans="1:7" ht="12.75">
      <c r="A52" s="849"/>
      <c r="B52" s="850" t="s">
        <v>398</v>
      </c>
      <c r="C52" s="851"/>
      <c r="D52" s="856">
        <f>SUM(D49:D51)</f>
        <v>65123235</v>
      </c>
      <c r="E52" s="856">
        <f>SUM(E49:E51)</f>
        <v>65795291</v>
      </c>
      <c r="F52" s="856">
        <f>SUM(F49:F51)</f>
        <v>65896673</v>
      </c>
      <c r="G52" s="856">
        <f>SUM(G49:G51)</f>
        <v>65998055</v>
      </c>
    </row>
    <row r="53" spans="1:7" ht="12.75">
      <c r="A53" s="805"/>
      <c r="B53" s="1258" t="s">
        <v>422</v>
      </c>
      <c r="C53" s="826" t="s">
        <v>206</v>
      </c>
      <c r="D53" s="857">
        <f>222000+3900</f>
        <v>225900</v>
      </c>
      <c r="E53" s="857">
        <f>222000+3900</f>
        <v>225900</v>
      </c>
      <c r="F53" s="857">
        <f>222000+3900</f>
        <v>225900</v>
      </c>
      <c r="G53" s="857">
        <f>222000+3900</f>
        <v>225900</v>
      </c>
    </row>
    <row r="54" spans="1:7" ht="12.75">
      <c r="A54" s="809"/>
      <c r="B54" s="1259"/>
      <c r="C54" s="827" t="s">
        <v>408</v>
      </c>
      <c r="D54" s="858">
        <f>60000+1053</f>
        <v>61053</v>
      </c>
      <c r="E54" s="858">
        <f>60000+1053</f>
        <v>61053</v>
      </c>
      <c r="F54" s="858">
        <f>60000+1053</f>
        <v>61053</v>
      </c>
      <c r="G54" s="858">
        <f>60000+1053</f>
        <v>61053</v>
      </c>
    </row>
    <row r="55" spans="1:7" ht="12.75">
      <c r="A55" s="809"/>
      <c r="B55" s="1259"/>
      <c r="C55" s="827" t="s">
        <v>190</v>
      </c>
      <c r="D55" s="858"/>
      <c r="E55" s="858"/>
      <c r="F55" s="858"/>
      <c r="G55" s="858"/>
    </row>
    <row r="56" spans="1:7" ht="12.75">
      <c r="A56" s="859"/>
      <c r="B56" s="860" t="s">
        <v>175</v>
      </c>
      <c r="C56" s="861"/>
      <c r="D56" s="862">
        <f>SUM(D53:D55)</f>
        <v>286953</v>
      </c>
      <c r="E56" s="862">
        <f>SUM(E53:E55)</f>
        <v>286953</v>
      </c>
      <c r="F56" s="862">
        <f>SUM(F53:F55)</f>
        <v>286953</v>
      </c>
      <c r="G56" s="862">
        <f>SUM(G53:G55)</f>
        <v>286953</v>
      </c>
    </row>
    <row r="57" spans="1:7" ht="12.75">
      <c r="A57" s="863"/>
      <c r="B57" s="1260" t="s">
        <v>423</v>
      </c>
      <c r="C57" s="864" t="s">
        <v>206</v>
      </c>
      <c r="D57" s="858">
        <f>462000+19500</f>
        <v>481500</v>
      </c>
      <c r="E57" s="858">
        <f>462000+19500</f>
        <v>481500</v>
      </c>
      <c r="F57" s="858">
        <f>462000+19500</f>
        <v>481500</v>
      </c>
      <c r="G57" s="858">
        <f>462000+19500</f>
        <v>481500</v>
      </c>
    </row>
    <row r="58" spans="1:7" ht="12.75">
      <c r="A58" s="809"/>
      <c r="B58" s="1261"/>
      <c r="C58" s="827" t="s">
        <v>408</v>
      </c>
      <c r="D58" s="858">
        <f>125000+5265</f>
        <v>130265</v>
      </c>
      <c r="E58" s="858">
        <f>125000+5265</f>
        <v>130265</v>
      </c>
      <c r="F58" s="858">
        <f>125000+5265</f>
        <v>130265</v>
      </c>
      <c r="G58" s="858">
        <f>125000+5265</f>
        <v>130265</v>
      </c>
    </row>
    <row r="59" spans="1:7" ht="12.75">
      <c r="A59" s="865"/>
      <c r="B59" s="1261"/>
      <c r="C59" s="866" t="s">
        <v>190</v>
      </c>
      <c r="D59" s="858"/>
      <c r="E59" s="858"/>
      <c r="F59" s="858"/>
      <c r="G59" s="858"/>
    </row>
    <row r="60" spans="1:7" ht="12.75">
      <c r="A60" s="814"/>
      <c r="B60" s="867" t="s">
        <v>176</v>
      </c>
      <c r="C60" s="868"/>
      <c r="D60" s="862">
        <f>SUM(D57:D59)</f>
        <v>611765</v>
      </c>
      <c r="E60" s="862">
        <f>SUM(E57:E59)</f>
        <v>611765</v>
      </c>
      <c r="F60" s="862">
        <f>SUM(F57:F59)</f>
        <v>611765</v>
      </c>
      <c r="G60" s="862">
        <f>SUM(G57:G59)</f>
        <v>611765</v>
      </c>
    </row>
    <row r="61" spans="1:7" ht="12.75">
      <c r="A61" s="865"/>
      <c r="B61" s="816" t="s">
        <v>424</v>
      </c>
      <c r="C61" s="866" t="s">
        <v>190</v>
      </c>
      <c r="D61" s="808"/>
      <c r="E61" s="808"/>
      <c r="F61" s="808"/>
      <c r="G61" s="808"/>
    </row>
    <row r="62" spans="1:7" ht="12.75">
      <c r="A62" s="828"/>
      <c r="B62" s="1256" t="s">
        <v>177</v>
      </c>
      <c r="C62" s="1257"/>
      <c r="D62" s="869">
        <f>D61</f>
        <v>0</v>
      </c>
      <c r="E62" s="869">
        <f>E61</f>
        <v>0</v>
      </c>
      <c r="F62" s="869">
        <f>F61</f>
        <v>0</v>
      </c>
      <c r="G62" s="869">
        <f>G61</f>
        <v>0</v>
      </c>
    </row>
    <row r="63" spans="1:7" ht="12.75">
      <c r="A63" s="870"/>
      <c r="B63" s="871" t="s">
        <v>399</v>
      </c>
      <c r="C63" s="872" t="s">
        <v>190</v>
      </c>
      <c r="D63" s="873">
        <v>2352000</v>
      </c>
      <c r="E63" s="873">
        <v>2352000</v>
      </c>
      <c r="F63" s="873">
        <v>2352000</v>
      </c>
      <c r="G63" s="873">
        <v>2352000</v>
      </c>
    </row>
    <row r="64" spans="1:7" ht="13.5" thickBot="1">
      <c r="A64" s="874"/>
      <c r="B64" s="875" t="s">
        <v>400</v>
      </c>
      <c r="C64" s="876"/>
      <c r="D64" s="877">
        <f>D63</f>
        <v>2352000</v>
      </c>
      <c r="E64" s="877">
        <f>E63</f>
        <v>2352000</v>
      </c>
      <c r="F64" s="877">
        <f>F63</f>
        <v>2352000</v>
      </c>
      <c r="G64" s="877">
        <f>G63</f>
        <v>2352000</v>
      </c>
    </row>
    <row r="65" spans="1:7" ht="13.5" thickBot="1">
      <c r="A65" s="853" t="s">
        <v>181</v>
      </c>
      <c r="B65" s="854" t="s">
        <v>179</v>
      </c>
      <c r="C65" s="855"/>
      <c r="D65" s="845">
        <f>SUM(D52+D56+D60+D62)</f>
        <v>66021953</v>
      </c>
      <c r="E65" s="845">
        <f>SUM(E52+E56+E60+E62)</f>
        <v>66694009</v>
      </c>
      <c r="F65" s="845">
        <f>SUM(F52+F56+F60+F62)</f>
        <v>66795391</v>
      </c>
      <c r="G65" s="845">
        <f>SUM(G52+G56+G60+G62)</f>
        <v>66896773</v>
      </c>
    </row>
    <row r="66" spans="1:7" ht="13.5" thickBot="1">
      <c r="A66" s="853" t="s">
        <v>170</v>
      </c>
      <c r="B66" s="878" t="s">
        <v>171</v>
      </c>
      <c r="C66" s="879" t="s">
        <v>212</v>
      </c>
      <c r="D66" s="880">
        <f>'[1]Munka1'!$E$9</f>
        <v>126149</v>
      </c>
      <c r="E66" s="880">
        <f>'[1]Munka1'!$E$9</f>
        <v>126149</v>
      </c>
      <c r="F66" s="880">
        <f>'[1]Munka1'!$E$9</f>
        <v>126149</v>
      </c>
      <c r="G66" s="880">
        <f>'[1]Munka1'!$E$9</f>
        <v>126149</v>
      </c>
    </row>
    <row r="67" spans="1:7" ht="13.5" thickBot="1">
      <c r="A67" s="820" t="s">
        <v>172</v>
      </c>
      <c r="B67" s="821" t="s">
        <v>178</v>
      </c>
      <c r="C67" s="881" t="s">
        <v>217</v>
      </c>
      <c r="D67" s="822"/>
      <c r="E67" s="822"/>
      <c r="F67" s="822"/>
      <c r="G67" s="822"/>
    </row>
    <row r="68" spans="1:7" ht="13.5" thickBot="1">
      <c r="A68" s="823"/>
      <c r="B68" s="1253" t="s">
        <v>218</v>
      </c>
      <c r="C68" s="825" t="s">
        <v>206</v>
      </c>
      <c r="D68" s="882">
        <f aca="true" t="shared" si="0" ref="D68:F69">SUM(D8+D12+D36+D41+D49+D53+D57)</f>
        <v>39848800</v>
      </c>
      <c r="E68" s="882">
        <f t="shared" si="0"/>
        <v>45704659</v>
      </c>
      <c r="F68" s="882">
        <f t="shared" si="0"/>
        <v>51704045</v>
      </c>
      <c r="G68" s="882">
        <f>SUM(G8+G12+G36+G41+G49+G53+G57)</f>
        <v>54551346</v>
      </c>
    </row>
    <row r="69" spans="1:7" ht="13.5" thickBot="1">
      <c r="A69" s="809"/>
      <c r="B69" s="1254"/>
      <c r="C69" s="827" t="s">
        <v>408</v>
      </c>
      <c r="D69" s="883">
        <f t="shared" si="0"/>
        <v>8963751</v>
      </c>
      <c r="E69" s="883">
        <f t="shared" si="0"/>
        <v>10349801</v>
      </c>
      <c r="F69" s="883">
        <f t="shared" si="0"/>
        <v>11669668</v>
      </c>
      <c r="G69" s="883">
        <f>SUM(G9+G13+G37+G42+G50+G54+G58)</f>
        <v>12296075</v>
      </c>
    </row>
    <row r="70" spans="1:7" ht="13.5" thickBot="1">
      <c r="A70" s="809"/>
      <c r="B70" s="1254"/>
      <c r="C70" s="827" t="s">
        <v>190</v>
      </c>
      <c r="D70" s="884">
        <f>SUM(D2+D3+D4+D5+D6+D7+D10+D14+D16+D24+D32+D34+D38+D43+D51+D55+D59+D61+D63)</f>
        <v>135305000</v>
      </c>
      <c r="E70" s="884">
        <f>SUM(E2+E3+E4+E5+E6+E7+E10+E14+E16+E24+E32+E34+E38+E43+E51+E55+E59+E61+E63)</f>
        <v>135305000</v>
      </c>
      <c r="F70" s="884">
        <f>SUM(F2+F3+F4+F5+F6+F7+F10+F14+F16+F24+F32+F34+F38+F43+F51+F55+F59+F61+F63)</f>
        <v>135305000</v>
      </c>
      <c r="G70" s="884">
        <f>SUM(G2+G3+G4+G5+G6+G7+G10+G14+G16+G24+G32+G34+G38+G43+G51+G55+G59+G61+G63)+12498669</f>
        <v>147803669</v>
      </c>
    </row>
    <row r="71" spans="1:7" ht="13.5" thickBot="1">
      <c r="A71" s="809"/>
      <c r="B71" s="1254"/>
      <c r="C71" s="827" t="s">
        <v>210</v>
      </c>
      <c r="D71" s="883">
        <f>SUM(D18+D19+D20+D21+D22+D23+D25+D27+D29+D30)</f>
        <v>9611000</v>
      </c>
      <c r="E71" s="883">
        <f>SUM(E18+E19+E20+E21+E22+E23+E25+E27+E29+E30)</f>
        <v>9611000</v>
      </c>
      <c r="F71" s="883">
        <f>SUM(F18+F19+F20+F21+F22+F23+F25+F27+F29+F30)</f>
        <v>9611000</v>
      </c>
      <c r="G71" s="883">
        <f>SUM(G18+G19+G20+G21+G22+G23+G25+G27+G29+G30)-7000000</f>
        <v>2611000</v>
      </c>
    </row>
    <row r="72" spans="1:7" ht="13.5" thickBot="1">
      <c r="A72" s="812"/>
      <c r="B72" s="1254"/>
      <c r="C72" s="885" t="s">
        <v>212</v>
      </c>
      <c r="D72" s="886">
        <f>138868600+74041</f>
        <v>138942641</v>
      </c>
      <c r="E72" s="886">
        <v>145675580</v>
      </c>
      <c r="F72" s="886">
        <v>150359307</v>
      </c>
      <c r="G72" s="886">
        <v>150359307</v>
      </c>
    </row>
    <row r="73" spans="1:7" ht="13.5" thickBot="1">
      <c r="A73" s="887"/>
      <c r="B73" s="1255"/>
      <c r="C73" s="888" t="s">
        <v>217</v>
      </c>
      <c r="D73" s="889">
        <f>D67</f>
        <v>0</v>
      </c>
      <c r="E73" s="889">
        <f>E67</f>
        <v>0</v>
      </c>
      <c r="F73" s="889">
        <f>F67</f>
        <v>0</v>
      </c>
      <c r="G73" s="889">
        <f>G67</f>
        <v>0</v>
      </c>
    </row>
    <row r="74" spans="1:7" ht="13.5" thickBot="1">
      <c r="A74" s="890"/>
      <c r="B74" s="891" t="s">
        <v>219</v>
      </c>
      <c r="C74" s="892"/>
      <c r="D74" s="822">
        <f>SUM(D68:D73)</f>
        <v>332671192</v>
      </c>
      <c r="E74" s="822">
        <f>SUM(E68:E73)</f>
        <v>346646040</v>
      </c>
      <c r="F74" s="822">
        <f>SUM(F68:F73)</f>
        <v>358649020</v>
      </c>
      <c r="G74" s="822">
        <f>SUM(G68:G73)</f>
        <v>367621397</v>
      </c>
    </row>
    <row r="75" spans="1:7" ht="12.75">
      <c r="A75" s="552"/>
      <c r="B75" s="553"/>
      <c r="C75" s="553"/>
      <c r="D75" s="1024"/>
      <c r="E75" s="1024"/>
      <c r="F75" s="1024"/>
      <c r="G75" s="1024"/>
    </row>
    <row r="76" spans="1:7" ht="15.75" hidden="1">
      <c r="A76" s="376"/>
      <c r="B76" s="376"/>
      <c r="C76" s="193"/>
      <c r="D76" s="1024"/>
      <c r="E76" s="1024"/>
      <c r="F76" s="1024"/>
      <c r="G76" s="1024"/>
    </row>
  </sheetData>
  <sheetProtection selectLockedCells="1" selectUnlockedCells="1"/>
  <mergeCells count="19">
    <mergeCell ref="B8:B10"/>
    <mergeCell ref="B11:C11"/>
    <mergeCell ref="B41:B45"/>
    <mergeCell ref="B12:B14"/>
    <mergeCell ref="B15:C15"/>
    <mergeCell ref="B17:C17"/>
    <mergeCell ref="B36:B38"/>
    <mergeCell ref="B39:C39"/>
    <mergeCell ref="B27:B28"/>
    <mergeCell ref="B40:C40"/>
    <mergeCell ref="B68:B73"/>
    <mergeCell ref="B62:C62"/>
    <mergeCell ref="B53:B55"/>
    <mergeCell ref="B57:B59"/>
    <mergeCell ref="B49:B51"/>
    <mergeCell ref="B23:B24"/>
    <mergeCell ref="B31:C31"/>
    <mergeCell ref="B33:C33"/>
    <mergeCell ref="B35:C35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  <rowBreaks count="1" manualBreakCount="1">
    <brk id="47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F7" sqref="F7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281" t="s">
        <v>230</v>
      </c>
      <c r="B1" s="1281"/>
      <c r="C1" s="1281"/>
      <c r="D1" s="1281"/>
      <c r="E1" s="1281"/>
      <c r="F1" s="1281"/>
      <c r="G1" s="1281"/>
    </row>
    <row r="2" spans="1:7" ht="14.25">
      <c r="A2" s="613"/>
      <c r="B2" s="613"/>
      <c r="C2" s="613"/>
      <c r="D2" s="613"/>
      <c r="E2" s="613"/>
      <c r="F2" s="613"/>
      <c r="G2" s="997" t="s">
        <v>109</v>
      </c>
    </row>
    <row r="3" spans="1:7" ht="15.75" thickBot="1">
      <c r="A3" s="577"/>
      <c r="B3" s="577"/>
      <c r="C3" s="577"/>
      <c r="D3" s="577"/>
      <c r="E3" s="577"/>
      <c r="F3" s="577"/>
      <c r="G3" s="578"/>
    </row>
    <row r="4" spans="1:7" ht="12.75">
      <c r="A4" s="1282" t="s">
        <v>674</v>
      </c>
      <c r="B4" s="1285" t="s">
        <v>287</v>
      </c>
      <c r="C4" s="1288" t="s">
        <v>231</v>
      </c>
      <c r="D4" s="1289"/>
      <c r="E4" s="1289"/>
      <c r="F4" s="1289"/>
      <c r="G4" s="1292" t="s">
        <v>232</v>
      </c>
    </row>
    <row r="5" spans="1:7" ht="30.75" customHeight="1">
      <c r="A5" s="1283"/>
      <c r="B5" s="1286"/>
      <c r="C5" s="1290"/>
      <c r="D5" s="1291"/>
      <c r="E5" s="1291"/>
      <c r="F5" s="1291"/>
      <c r="G5" s="1293"/>
    </row>
    <row r="6" spans="1:7" ht="34.5" customHeight="1" thickBot="1">
      <c r="A6" s="1284"/>
      <c r="B6" s="1287"/>
      <c r="C6" s="579" t="s">
        <v>113</v>
      </c>
      <c r="D6" s="579" t="s">
        <v>269</v>
      </c>
      <c r="E6" s="579" t="s">
        <v>828</v>
      </c>
      <c r="F6" s="580" t="s">
        <v>829</v>
      </c>
      <c r="G6" s="1294"/>
    </row>
    <row r="7" spans="1:7" ht="12.75">
      <c r="A7" s="581">
        <v>1</v>
      </c>
      <c r="B7" s="582">
        <v>2</v>
      </c>
      <c r="C7" s="582">
        <v>3</v>
      </c>
      <c r="D7" s="582">
        <v>4</v>
      </c>
      <c r="E7" s="582">
        <v>5</v>
      </c>
      <c r="F7" s="583">
        <v>6</v>
      </c>
      <c r="G7" s="584">
        <v>7</v>
      </c>
    </row>
    <row r="8" spans="1:7" ht="15" customHeight="1">
      <c r="A8" s="585" t="s">
        <v>534</v>
      </c>
      <c r="B8" s="586" t="s">
        <v>530</v>
      </c>
      <c r="C8" s="587">
        <v>125800000</v>
      </c>
      <c r="D8" s="587">
        <f>C8*102%</f>
        <v>128316000</v>
      </c>
      <c r="E8" s="587">
        <f>D8*102%</f>
        <v>130882320</v>
      </c>
      <c r="F8" s="588">
        <f>E8*102%</f>
        <v>133499966.4</v>
      </c>
      <c r="G8" s="589">
        <f>+C8+D8+E8+F8</f>
        <v>518498286.4</v>
      </c>
    </row>
    <row r="9" spans="1:7" ht="12.75" customHeight="1">
      <c r="A9" s="585" t="s">
        <v>234</v>
      </c>
      <c r="B9" s="586" t="s">
        <v>539</v>
      </c>
      <c r="C9" s="587">
        <v>0</v>
      </c>
      <c r="D9" s="587">
        <v>0</v>
      </c>
      <c r="E9" s="587">
        <v>0</v>
      </c>
      <c r="F9" s="588">
        <v>0</v>
      </c>
      <c r="G9" s="589">
        <f aca="true" t="shared" si="0" ref="G9:G34">+C9+D9+E9+F9</f>
        <v>0</v>
      </c>
    </row>
    <row r="10" spans="1:7" ht="12.75" customHeight="1">
      <c r="A10" s="585" t="s">
        <v>235</v>
      </c>
      <c r="B10" s="586" t="s">
        <v>540</v>
      </c>
      <c r="C10" s="587">
        <v>800000</v>
      </c>
      <c r="D10" s="587">
        <f>C10*102%</f>
        <v>816000</v>
      </c>
      <c r="E10" s="587">
        <f>D10*102%</f>
        <v>832320</v>
      </c>
      <c r="F10" s="588">
        <f>E10*102%</f>
        <v>848966.4</v>
      </c>
      <c r="G10" s="589">
        <f t="shared" si="0"/>
        <v>3297286.4</v>
      </c>
    </row>
    <row r="11" spans="1:7" ht="36" customHeight="1">
      <c r="A11" s="585" t="s">
        <v>236</v>
      </c>
      <c r="B11" s="586" t="s">
        <v>158</v>
      </c>
      <c r="C11" s="587">
        <f>-D11</f>
        <v>0</v>
      </c>
      <c r="D11" s="587">
        <f>-E11</f>
        <v>0</v>
      </c>
      <c r="E11" s="587">
        <f>-F11</f>
        <v>0</v>
      </c>
      <c r="F11" s="587">
        <f>-G11</f>
        <v>0</v>
      </c>
      <c r="G11" s="589">
        <f t="shared" si="0"/>
        <v>0</v>
      </c>
    </row>
    <row r="12" spans="1:7" ht="15.75" customHeight="1">
      <c r="A12" s="585" t="s">
        <v>237</v>
      </c>
      <c r="B12" s="586" t="s">
        <v>238</v>
      </c>
      <c r="C12" s="587">
        <v>0</v>
      </c>
      <c r="D12" s="587">
        <v>0</v>
      </c>
      <c r="E12" s="587">
        <v>0</v>
      </c>
      <c r="F12" s="588">
        <v>0</v>
      </c>
      <c r="G12" s="589">
        <f t="shared" si="0"/>
        <v>0</v>
      </c>
    </row>
    <row r="13" spans="1:7" ht="24" customHeight="1">
      <c r="A13" s="585" t="s">
        <v>239</v>
      </c>
      <c r="B13" s="586" t="s">
        <v>240</v>
      </c>
      <c r="C13" s="587">
        <v>0</v>
      </c>
      <c r="D13" s="587">
        <v>0</v>
      </c>
      <c r="E13" s="587">
        <v>0</v>
      </c>
      <c r="F13" s="588">
        <v>0</v>
      </c>
      <c r="G13" s="589">
        <f t="shared" si="0"/>
        <v>0</v>
      </c>
    </row>
    <row r="14" spans="1:7" ht="15" customHeight="1" thickBot="1">
      <c r="A14" s="590" t="s">
        <v>673</v>
      </c>
      <c r="B14" s="591" t="s">
        <v>241</v>
      </c>
      <c r="C14" s="592">
        <v>0</v>
      </c>
      <c r="D14" s="592">
        <v>0</v>
      </c>
      <c r="E14" s="592">
        <v>0</v>
      </c>
      <c r="F14" s="593">
        <v>0</v>
      </c>
      <c r="G14" s="594">
        <f t="shared" si="0"/>
        <v>0</v>
      </c>
    </row>
    <row r="15" spans="1:7" ht="14.25" customHeight="1" thickBot="1">
      <c r="A15" s="595" t="s">
        <v>242</v>
      </c>
      <c r="B15" s="596" t="s">
        <v>243</v>
      </c>
      <c r="C15" s="597">
        <f>C8+C10</f>
        <v>126600000</v>
      </c>
      <c r="D15" s="597">
        <f>D8+D10</f>
        <v>129132000</v>
      </c>
      <c r="E15" s="597">
        <f>E8+E10</f>
        <v>131714640</v>
      </c>
      <c r="F15" s="597">
        <f>F8+F10</f>
        <v>134348932.8</v>
      </c>
      <c r="G15" s="599">
        <f>G8+G10</f>
        <v>521795572.79999995</v>
      </c>
    </row>
    <row r="16" spans="1:7" ht="15" customHeight="1" thickBot="1">
      <c r="A16" s="600" t="s">
        <v>244</v>
      </c>
      <c r="B16" s="601" t="s">
        <v>245</v>
      </c>
      <c r="C16" s="602">
        <f>+C15*0.5</f>
        <v>63300000</v>
      </c>
      <c r="D16" s="602">
        <f>+D15*0.5</f>
        <v>64566000</v>
      </c>
      <c r="E16" s="602">
        <f>+E15*0.5</f>
        <v>65857320</v>
      </c>
      <c r="F16" s="602">
        <f>+F15*0.5</f>
        <v>67174466.4</v>
      </c>
      <c r="G16" s="599">
        <f t="shared" si="0"/>
        <v>260897786.4</v>
      </c>
    </row>
    <row r="17" spans="1:7" ht="26.25" customHeight="1" thickBot="1">
      <c r="A17" s="595" t="s">
        <v>246</v>
      </c>
      <c r="B17" s="603">
        <v>10</v>
      </c>
      <c r="C17" s="597">
        <f>SUM(C18:C24)</f>
        <v>0</v>
      </c>
      <c r="D17" s="597">
        <f>SUM(D18:D24)</f>
        <v>0</v>
      </c>
      <c r="E17" s="597">
        <f>SUM(E18:E24)</f>
        <v>0</v>
      </c>
      <c r="F17" s="598">
        <f>SUM(F18:F24)</f>
        <v>0</v>
      </c>
      <c r="G17" s="599">
        <f t="shared" si="0"/>
        <v>0</v>
      </c>
    </row>
    <row r="18" spans="1:7" ht="18" customHeight="1">
      <c r="A18" s="604" t="s">
        <v>247</v>
      </c>
      <c r="B18" s="605">
        <v>11</v>
      </c>
      <c r="C18" s="606">
        <v>0</v>
      </c>
      <c r="D18" s="606">
        <v>0</v>
      </c>
      <c r="E18" s="606">
        <v>0</v>
      </c>
      <c r="F18" s="607">
        <v>0</v>
      </c>
      <c r="G18" s="608">
        <f t="shared" si="0"/>
        <v>0</v>
      </c>
    </row>
    <row r="19" spans="1:7" ht="15" customHeight="1">
      <c r="A19" s="585" t="s">
        <v>248</v>
      </c>
      <c r="B19" s="609">
        <v>12</v>
      </c>
      <c r="C19" s="587">
        <v>0</v>
      </c>
      <c r="D19" s="587">
        <v>0</v>
      </c>
      <c r="E19" s="587">
        <v>0</v>
      </c>
      <c r="F19" s="588">
        <v>0</v>
      </c>
      <c r="G19" s="589">
        <f t="shared" si="0"/>
        <v>0</v>
      </c>
    </row>
    <row r="20" spans="1:7" ht="14.25" customHeight="1">
      <c r="A20" s="585" t="s">
        <v>249</v>
      </c>
      <c r="B20" s="609">
        <v>13</v>
      </c>
      <c r="C20" s="587">
        <v>0</v>
      </c>
      <c r="D20" s="587">
        <v>0</v>
      </c>
      <c r="E20" s="587">
        <v>0</v>
      </c>
      <c r="F20" s="588">
        <v>0</v>
      </c>
      <c r="G20" s="589">
        <f t="shared" si="0"/>
        <v>0</v>
      </c>
    </row>
    <row r="21" spans="1:7" ht="14.25" customHeight="1">
      <c r="A21" s="585" t="s">
        <v>250</v>
      </c>
      <c r="B21" s="609">
        <v>14</v>
      </c>
      <c r="C21" s="587">
        <v>0</v>
      </c>
      <c r="D21" s="587">
        <v>0</v>
      </c>
      <c r="E21" s="587">
        <v>0</v>
      </c>
      <c r="F21" s="588">
        <v>0</v>
      </c>
      <c r="G21" s="589">
        <f t="shared" si="0"/>
        <v>0</v>
      </c>
    </row>
    <row r="22" spans="1:7" ht="15" customHeight="1">
      <c r="A22" s="585" t="s">
        <v>251</v>
      </c>
      <c r="B22" s="609">
        <v>15</v>
      </c>
      <c r="C22" s="587">
        <v>0</v>
      </c>
      <c r="D22" s="587">
        <v>0</v>
      </c>
      <c r="E22" s="587">
        <v>0</v>
      </c>
      <c r="F22" s="588">
        <v>0</v>
      </c>
      <c r="G22" s="589">
        <f t="shared" si="0"/>
        <v>0</v>
      </c>
    </row>
    <row r="23" spans="1:7" ht="15" customHeight="1">
      <c r="A23" s="585" t="s">
        <v>252</v>
      </c>
      <c r="B23" s="609">
        <v>16</v>
      </c>
      <c r="C23" s="587">
        <v>0</v>
      </c>
      <c r="D23" s="587">
        <v>0</v>
      </c>
      <c r="E23" s="587">
        <v>0</v>
      </c>
      <c r="F23" s="588">
        <v>0</v>
      </c>
      <c r="G23" s="589">
        <f t="shared" si="0"/>
        <v>0</v>
      </c>
    </row>
    <row r="24" spans="1:7" ht="15" customHeight="1" thickBot="1">
      <c r="A24" s="590" t="s">
        <v>253</v>
      </c>
      <c r="B24" s="610">
        <v>17</v>
      </c>
      <c r="C24" s="592">
        <v>0</v>
      </c>
      <c r="D24" s="592">
        <v>0</v>
      </c>
      <c r="E24" s="592">
        <v>0</v>
      </c>
      <c r="F24" s="593">
        <v>0</v>
      </c>
      <c r="G24" s="594">
        <f t="shared" si="0"/>
        <v>0</v>
      </c>
    </row>
    <row r="25" spans="1:7" ht="35.25" customHeight="1" thickBot="1">
      <c r="A25" s="595" t="s">
        <v>254</v>
      </c>
      <c r="B25" s="603">
        <v>18</v>
      </c>
      <c r="C25" s="597">
        <f>SUM(C26:C32)</f>
        <v>0</v>
      </c>
      <c r="D25" s="597">
        <f>SUM(D26:D32)</f>
        <v>0</v>
      </c>
      <c r="E25" s="597">
        <f>SUM(E26:E32)</f>
        <v>0</v>
      </c>
      <c r="F25" s="598">
        <f>SUM(F26:F32)</f>
        <v>0</v>
      </c>
      <c r="G25" s="599">
        <f t="shared" si="0"/>
        <v>0</v>
      </c>
    </row>
    <row r="26" spans="1:7" ht="16.5" customHeight="1">
      <c r="A26" s="604" t="s">
        <v>247</v>
      </c>
      <c r="B26" s="605">
        <v>19</v>
      </c>
      <c r="C26" s="606">
        <v>0</v>
      </c>
      <c r="D26" s="606">
        <v>0</v>
      </c>
      <c r="E26" s="606">
        <v>0</v>
      </c>
      <c r="F26" s="607">
        <v>0</v>
      </c>
      <c r="G26" s="608">
        <f t="shared" si="0"/>
        <v>0</v>
      </c>
    </row>
    <row r="27" spans="1:7" ht="15.75" customHeight="1">
      <c r="A27" s="585" t="s">
        <v>248</v>
      </c>
      <c r="B27" s="609">
        <v>20</v>
      </c>
      <c r="C27" s="587">
        <v>0</v>
      </c>
      <c r="D27" s="587">
        <v>0</v>
      </c>
      <c r="E27" s="587">
        <v>0</v>
      </c>
      <c r="F27" s="588">
        <v>0</v>
      </c>
      <c r="G27" s="589">
        <f t="shared" si="0"/>
        <v>0</v>
      </c>
    </row>
    <row r="28" spans="1:7" ht="15.75" customHeight="1">
      <c r="A28" s="585" t="s">
        <v>249</v>
      </c>
      <c r="B28" s="609">
        <v>21</v>
      </c>
      <c r="C28" s="587">
        <v>0</v>
      </c>
      <c r="D28" s="587">
        <v>0</v>
      </c>
      <c r="E28" s="587">
        <v>0</v>
      </c>
      <c r="F28" s="588">
        <v>0</v>
      </c>
      <c r="G28" s="589">
        <f t="shared" si="0"/>
        <v>0</v>
      </c>
    </row>
    <row r="29" spans="1:7" ht="12.75">
      <c r="A29" s="585" t="s">
        <v>250</v>
      </c>
      <c r="B29" s="609">
        <v>22</v>
      </c>
      <c r="C29" s="587">
        <v>0</v>
      </c>
      <c r="D29" s="587">
        <v>0</v>
      </c>
      <c r="E29" s="587">
        <v>0</v>
      </c>
      <c r="F29" s="588">
        <v>0</v>
      </c>
      <c r="G29" s="589">
        <f t="shared" si="0"/>
        <v>0</v>
      </c>
    </row>
    <row r="30" spans="1:7" ht="12.75">
      <c r="A30" s="585" t="s">
        <v>251</v>
      </c>
      <c r="B30" s="609">
        <v>23</v>
      </c>
      <c r="C30" s="587">
        <v>0</v>
      </c>
      <c r="D30" s="587">
        <v>0</v>
      </c>
      <c r="E30" s="587">
        <v>0</v>
      </c>
      <c r="F30" s="588">
        <v>0</v>
      </c>
      <c r="G30" s="589">
        <f t="shared" si="0"/>
        <v>0</v>
      </c>
    </row>
    <row r="31" spans="1:7" ht="12.75">
      <c r="A31" s="585" t="s">
        <v>252</v>
      </c>
      <c r="B31" s="609">
        <v>24</v>
      </c>
      <c r="C31" s="587">
        <v>0</v>
      </c>
      <c r="D31" s="587">
        <v>0</v>
      </c>
      <c r="E31" s="587">
        <v>0</v>
      </c>
      <c r="F31" s="588">
        <v>0</v>
      </c>
      <c r="G31" s="589">
        <f t="shared" si="0"/>
        <v>0</v>
      </c>
    </row>
    <row r="32" spans="1:7" ht="18" customHeight="1" thickBot="1">
      <c r="A32" s="590" t="s">
        <v>253</v>
      </c>
      <c r="B32" s="610">
        <v>25</v>
      </c>
      <c r="C32" s="592">
        <v>0</v>
      </c>
      <c r="D32" s="592">
        <v>0</v>
      </c>
      <c r="E32" s="592">
        <v>0</v>
      </c>
      <c r="F32" s="593">
        <v>0</v>
      </c>
      <c r="G32" s="594">
        <f t="shared" si="0"/>
        <v>0</v>
      </c>
    </row>
    <row r="33" spans="1:7" ht="17.25" customHeight="1" thickBot="1">
      <c r="A33" s="595" t="s">
        <v>255</v>
      </c>
      <c r="B33" s="603">
        <v>26</v>
      </c>
      <c r="C33" s="597">
        <f>+C17+C25</f>
        <v>0</v>
      </c>
      <c r="D33" s="597">
        <f>+D17+D25</f>
        <v>0</v>
      </c>
      <c r="E33" s="597">
        <f>+E17+E25</f>
        <v>0</v>
      </c>
      <c r="F33" s="598">
        <f>+F17+F25</f>
        <v>0</v>
      </c>
      <c r="G33" s="599">
        <f t="shared" si="0"/>
        <v>0</v>
      </c>
    </row>
    <row r="34" spans="1:7" ht="21" customHeight="1" thickBot="1">
      <c r="A34" s="600" t="s">
        <v>256</v>
      </c>
      <c r="B34" s="611">
        <v>27</v>
      </c>
      <c r="C34" s="602">
        <f>+C16-C33</f>
        <v>63300000</v>
      </c>
      <c r="D34" s="602">
        <f>+D16-D33</f>
        <v>64566000</v>
      </c>
      <c r="E34" s="602">
        <f>+E16-E33</f>
        <v>65857320</v>
      </c>
      <c r="F34" s="602">
        <f>+F16-F33</f>
        <v>67174466.4</v>
      </c>
      <c r="G34" s="612">
        <f t="shared" si="0"/>
        <v>260897786.4</v>
      </c>
    </row>
    <row r="35" spans="1:7" ht="15">
      <c r="A35" s="577"/>
      <c r="B35" s="577"/>
      <c r="C35" s="577"/>
      <c r="D35" s="577"/>
      <c r="E35" s="577"/>
      <c r="F35" s="577"/>
      <c r="G35" s="577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D146" sqref="D146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3" width="21.625" style="377" customWidth="1"/>
    <col min="4" max="4" width="19.50390625" style="399" bestFit="1" customWidth="1"/>
    <col min="5" max="5" width="20.00390625" style="399" customWidth="1"/>
    <col min="6" max="6" width="20.50390625" style="399" customWidth="1"/>
    <col min="7" max="16384" width="9.375" style="399" customWidth="1"/>
  </cols>
  <sheetData>
    <row r="1" spans="1:3" ht="15.75" customHeight="1">
      <c r="A1" s="1136" t="s">
        <v>493</v>
      </c>
      <c r="B1" s="1136"/>
      <c r="C1" s="1136"/>
    </row>
    <row r="2" spans="1:6" ht="15.75" customHeight="1" thickBot="1">
      <c r="A2" s="1135" t="s">
        <v>628</v>
      </c>
      <c r="B2" s="1135"/>
      <c r="C2" s="305"/>
      <c r="F2" s="305"/>
    </row>
    <row r="3" spans="1:6" ht="37.5" customHeight="1" thickBot="1">
      <c r="A3" s="21" t="s">
        <v>549</v>
      </c>
      <c r="B3" s="22" t="s">
        <v>495</v>
      </c>
      <c r="C3" s="37" t="s">
        <v>830</v>
      </c>
      <c r="D3" s="37" t="s">
        <v>402</v>
      </c>
      <c r="E3" s="37" t="s">
        <v>403</v>
      </c>
      <c r="F3" s="37" t="s">
        <v>831</v>
      </c>
    </row>
    <row r="4" spans="1:6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  <c r="F4" s="396">
        <v>6</v>
      </c>
    </row>
    <row r="5" spans="1:6" s="401" customFormat="1" ht="12" customHeight="1" thickBot="1">
      <c r="A5" s="18" t="s">
        <v>496</v>
      </c>
      <c r="B5" s="19" t="s">
        <v>737</v>
      </c>
      <c r="C5" s="296">
        <f>+C6+C7+C8+C9+C10+C11</f>
        <v>393077057</v>
      </c>
      <c r="D5" s="296">
        <f>C5*102%</f>
        <v>400938598.14</v>
      </c>
      <c r="E5" s="296">
        <f>C5*104%</f>
        <v>408800139.28000003</v>
      </c>
      <c r="F5" s="296">
        <f>C5*106%</f>
        <v>416661680.42</v>
      </c>
    </row>
    <row r="6" spans="1:6" s="401" customFormat="1" ht="12" customHeight="1">
      <c r="A6" s="13" t="s">
        <v>579</v>
      </c>
      <c r="B6" s="402" t="s">
        <v>738</v>
      </c>
      <c r="C6" s="985">
        <f>'5. tájékoztató '!I7+'5. tájékoztató '!I8+'5. tájékoztató '!I9+'5. tájékoztató '!I10+'5. tájékoztató '!I11+'5. tájékoztató '!I13+'5. tájékoztató '!I14+'5. tájékoztató '!I15+'5. tájékoztató '!I16</f>
        <v>126761325</v>
      </c>
      <c r="D6" s="960">
        <f aca="true" t="shared" si="0" ref="D6:D69">C6*102%</f>
        <v>129296551.5</v>
      </c>
      <c r="E6" s="959">
        <f aca="true" t="shared" si="1" ref="E6:E69">C6*104%</f>
        <v>131831778</v>
      </c>
      <c r="F6" s="959">
        <f aca="true" t="shared" si="2" ref="F6:F69">C6*106%</f>
        <v>134367004.5</v>
      </c>
    </row>
    <row r="7" spans="1:6" s="401" customFormat="1" ht="12" customHeight="1">
      <c r="A7" s="12" t="s">
        <v>580</v>
      </c>
      <c r="B7" s="403" t="s">
        <v>739</v>
      </c>
      <c r="C7" s="982">
        <f>'5. tájékoztató '!I29</f>
        <v>123139166</v>
      </c>
      <c r="D7" s="961">
        <f t="shared" si="0"/>
        <v>125601949.32000001</v>
      </c>
      <c r="E7" s="962">
        <f t="shared" si="1"/>
        <v>128064732.64</v>
      </c>
      <c r="F7" s="962">
        <f t="shared" si="2"/>
        <v>130527515.96000001</v>
      </c>
    </row>
    <row r="8" spans="1:6" s="401" customFormat="1" ht="12" customHeight="1">
      <c r="A8" s="12" t="s">
        <v>581</v>
      </c>
      <c r="B8" s="403" t="s">
        <v>740</v>
      </c>
      <c r="C8" s="982">
        <f>'5. tájékoztató '!I44</f>
        <v>136398531</v>
      </c>
      <c r="D8" s="961">
        <f t="shared" si="0"/>
        <v>139126501.62</v>
      </c>
      <c r="E8" s="962">
        <f t="shared" si="1"/>
        <v>141854472.24</v>
      </c>
      <c r="F8" s="962">
        <f t="shared" si="2"/>
        <v>144582442.86</v>
      </c>
    </row>
    <row r="9" spans="1:6" s="401" customFormat="1" ht="12" customHeight="1">
      <c r="A9" s="12" t="s">
        <v>582</v>
      </c>
      <c r="B9" s="403" t="s">
        <v>741</v>
      </c>
      <c r="C9" s="982">
        <f>'5. tájékoztató '!I46</f>
        <v>6271140</v>
      </c>
      <c r="D9" s="961">
        <f t="shared" si="0"/>
        <v>6396562.8</v>
      </c>
      <c r="E9" s="962">
        <f t="shared" si="1"/>
        <v>6521985.600000001</v>
      </c>
      <c r="F9" s="962">
        <f t="shared" si="2"/>
        <v>6647408.4</v>
      </c>
    </row>
    <row r="10" spans="1:6" s="401" customFormat="1" ht="12" customHeight="1">
      <c r="A10" s="12" t="s">
        <v>624</v>
      </c>
      <c r="B10" s="403" t="s">
        <v>742</v>
      </c>
      <c r="C10" s="982">
        <v>506895</v>
      </c>
      <c r="D10" s="961">
        <f t="shared" si="0"/>
        <v>517032.9</v>
      </c>
      <c r="E10" s="962">
        <f t="shared" si="1"/>
        <v>527170.8</v>
      </c>
      <c r="F10" s="962">
        <f t="shared" si="2"/>
        <v>537308.7000000001</v>
      </c>
    </row>
    <row r="11" spans="1:6" s="401" customFormat="1" ht="12" customHeight="1" thickBot="1">
      <c r="A11" s="14" t="s">
        <v>583</v>
      </c>
      <c r="B11" s="404" t="s">
        <v>743</v>
      </c>
      <c r="C11" s="982"/>
      <c r="D11" s="963">
        <f t="shared" si="0"/>
        <v>0</v>
      </c>
      <c r="E11" s="964">
        <f t="shared" si="1"/>
        <v>0</v>
      </c>
      <c r="F11" s="964">
        <f t="shared" si="2"/>
        <v>0</v>
      </c>
    </row>
    <row r="12" spans="1:6" s="401" customFormat="1" ht="12" customHeight="1" thickBot="1">
      <c r="A12" s="18" t="s">
        <v>497</v>
      </c>
      <c r="B12" s="291" t="s">
        <v>744</v>
      </c>
      <c r="C12" s="302">
        <f>+C13+C14+C15+C16+C17</f>
        <v>10280000</v>
      </c>
      <c r="D12" s="296">
        <f t="shared" si="0"/>
        <v>10485600</v>
      </c>
      <c r="E12" s="296">
        <f t="shared" si="1"/>
        <v>10691200</v>
      </c>
      <c r="F12" s="296">
        <f t="shared" si="2"/>
        <v>10896800</v>
      </c>
    </row>
    <row r="13" spans="1:6" s="401" customFormat="1" ht="12" customHeight="1">
      <c r="A13" s="13" t="s">
        <v>585</v>
      </c>
      <c r="B13" s="402" t="s">
        <v>745</v>
      </c>
      <c r="C13" s="985"/>
      <c r="D13" s="960">
        <f t="shared" si="0"/>
        <v>0</v>
      </c>
      <c r="E13" s="959">
        <f t="shared" si="1"/>
        <v>0</v>
      </c>
      <c r="F13" s="959">
        <f t="shared" si="2"/>
        <v>0</v>
      </c>
    </row>
    <row r="14" spans="1:6" s="401" customFormat="1" ht="12" customHeight="1">
      <c r="A14" s="12" t="s">
        <v>586</v>
      </c>
      <c r="B14" s="403" t="s">
        <v>746</v>
      </c>
      <c r="C14" s="982"/>
      <c r="D14" s="961">
        <f t="shared" si="0"/>
        <v>0</v>
      </c>
      <c r="E14" s="962">
        <f t="shared" si="1"/>
        <v>0</v>
      </c>
      <c r="F14" s="962">
        <f t="shared" si="2"/>
        <v>0</v>
      </c>
    </row>
    <row r="15" spans="1:6" s="401" customFormat="1" ht="12" customHeight="1">
      <c r="A15" s="12" t="s">
        <v>587</v>
      </c>
      <c r="B15" s="403" t="s">
        <v>222</v>
      </c>
      <c r="C15" s="982">
        <v>10280000</v>
      </c>
      <c r="D15" s="961">
        <f t="shared" si="0"/>
        <v>10485600</v>
      </c>
      <c r="E15" s="962">
        <f t="shared" si="1"/>
        <v>10691200</v>
      </c>
      <c r="F15" s="962">
        <f t="shared" si="2"/>
        <v>10896800</v>
      </c>
    </row>
    <row r="16" spans="1:6" s="401" customFormat="1" ht="12" customHeight="1">
      <c r="A16" s="12" t="s">
        <v>588</v>
      </c>
      <c r="B16" s="403" t="s">
        <v>302</v>
      </c>
      <c r="C16" s="298"/>
      <c r="D16" s="961">
        <f t="shared" si="0"/>
        <v>0</v>
      </c>
      <c r="E16" s="962">
        <f t="shared" si="1"/>
        <v>0</v>
      </c>
      <c r="F16" s="962">
        <f t="shared" si="2"/>
        <v>0</v>
      </c>
    </row>
    <row r="17" spans="1:6" s="401" customFormat="1" ht="12" customHeight="1">
      <c r="A17" s="12" t="s">
        <v>589</v>
      </c>
      <c r="B17" s="403" t="s">
        <v>303</v>
      </c>
      <c r="C17" s="298"/>
      <c r="D17" s="961">
        <f t="shared" si="0"/>
        <v>0</v>
      </c>
      <c r="E17" s="962">
        <f t="shared" si="1"/>
        <v>0</v>
      </c>
      <c r="F17" s="962">
        <f t="shared" si="2"/>
        <v>0</v>
      </c>
    </row>
    <row r="18" spans="1:6" s="401" customFormat="1" ht="12" customHeight="1" thickBot="1">
      <c r="A18" s="14" t="s">
        <v>598</v>
      </c>
      <c r="B18" s="404" t="s">
        <v>748</v>
      </c>
      <c r="C18" s="300"/>
      <c r="D18" s="963">
        <f t="shared" si="0"/>
        <v>0</v>
      </c>
      <c r="E18" s="964">
        <f t="shared" si="1"/>
        <v>0</v>
      </c>
      <c r="F18" s="964">
        <f t="shared" si="2"/>
        <v>0</v>
      </c>
    </row>
    <row r="19" spans="1:6" s="401" customFormat="1" ht="12" customHeight="1" thickBot="1">
      <c r="A19" s="18" t="s">
        <v>498</v>
      </c>
      <c r="B19" s="19" t="s">
        <v>749</v>
      </c>
      <c r="C19" s="296">
        <f>+C20+C21+C22+C23+C24</f>
        <v>157449027</v>
      </c>
      <c r="D19" s="296">
        <f t="shared" si="0"/>
        <v>160598007.54</v>
      </c>
      <c r="E19" s="296">
        <f t="shared" si="1"/>
        <v>163746988.08</v>
      </c>
      <c r="F19" s="296">
        <f t="shared" si="2"/>
        <v>166895968.62</v>
      </c>
    </row>
    <row r="20" spans="1:6" s="401" customFormat="1" ht="12" customHeight="1">
      <c r="A20" s="13" t="s">
        <v>568</v>
      </c>
      <c r="B20" s="402" t="s">
        <v>476</v>
      </c>
      <c r="C20" s="299"/>
      <c r="D20" s="960">
        <f t="shared" si="0"/>
        <v>0</v>
      </c>
      <c r="E20" s="959">
        <f t="shared" si="1"/>
        <v>0</v>
      </c>
      <c r="F20" s="959">
        <f t="shared" si="2"/>
        <v>0</v>
      </c>
    </row>
    <row r="21" spans="1:6" s="401" customFormat="1" ht="12" customHeight="1">
      <c r="A21" s="12" t="s">
        <v>569</v>
      </c>
      <c r="B21" s="403" t="s">
        <v>751</v>
      </c>
      <c r="C21" s="298"/>
      <c r="D21" s="961">
        <f t="shared" si="0"/>
        <v>0</v>
      </c>
      <c r="E21" s="962">
        <f t="shared" si="1"/>
        <v>0</v>
      </c>
      <c r="F21" s="962">
        <f t="shared" si="2"/>
        <v>0</v>
      </c>
    </row>
    <row r="22" spans="1:6" s="401" customFormat="1" ht="12" customHeight="1">
      <c r="A22" s="12" t="s">
        <v>570</v>
      </c>
      <c r="B22" s="403" t="s">
        <v>151</v>
      </c>
      <c r="C22" s="298"/>
      <c r="D22" s="961">
        <f t="shared" si="0"/>
        <v>0</v>
      </c>
      <c r="E22" s="962">
        <f t="shared" si="1"/>
        <v>0</v>
      </c>
      <c r="F22" s="962">
        <f t="shared" si="2"/>
        <v>0</v>
      </c>
    </row>
    <row r="23" spans="1:6" s="401" customFormat="1" ht="12" customHeight="1">
      <c r="A23" s="12" t="s">
        <v>571</v>
      </c>
      <c r="B23" s="403" t="s">
        <v>856</v>
      </c>
      <c r="C23" s="982">
        <v>133390721</v>
      </c>
      <c r="D23" s="961">
        <f t="shared" si="0"/>
        <v>136058535.42000002</v>
      </c>
      <c r="E23" s="962">
        <f t="shared" si="1"/>
        <v>138726349.84</v>
      </c>
      <c r="F23" s="962">
        <f t="shared" si="2"/>
        <v>141394164.26000002</v>
      </c>
    </row>
    <row r="24" spans="1:6" s="401" customFormat="1" ht="12" customHeight="1">
      <c r="A24" s="12" t="s">
        <v>647</v>
      </c>
      <c r="B24" s="403" t="s">
        <v>855</v>
      </c>
      <c r="C24" s="982">
        <v>24058306</v>
      </c>
      <c r="D24" s="961">
        <f t="shared" si="0"/>
        <v>24539472.12</v>
      </c>
      <c r="E24" s="962">
        <f t="shared" si="1"/>
        <v>25020638.240000002</v>
      </c>
      <c r="F24" s="962">
        <f t="shared" si="2"/>
        <v>25501804.360000003</v>
      </c>
    </row>
    <row r="25" spans="1:6" s="401" customFormat="1" ht="12" customHeight="1" thickBot="1">
      <c r="A25" s="14" t="s">
        <v>648</v>
      </c>
      <c r="B25" s="404" t="s">
        <v>753</v>
      </c>
      <c r="C25" s="300"/>
      <c r="D25" s="963">
        <f t="shared" si="0"/>
        <v>0</v>
      </c>
      <c r="E25" s="964">
        <f t="shared" si="1"/>
        <v>0</v>
      </c>
      <c r="F25" s="964">
        <f t="shared" si="2"/>
        <v>0</v>
      </c>
    </row>
    <row r="26" spans="1:6" s="401" customFormat="1" ht="12" customHeight="1" thickBot="1">
      <c r="A26" s="18" t="s">
        <v>649</v>
      </c>
      <c r="B26" s="19" t="s">
        <v>754</v>
      </c>
      <c r="C26" s="302">
        <f>+C27+C30+C31+C33+C32</f>
        <v>145800000</v>
      </c>
      <c r="D26" s="296">
        <f t="shared" si="0"/>
        <v>148716000</v>
      </c>
      <c r="E26" s="296">
        <f t="shared" si="1"/>
        <v>151632000</v>
      </c>
      <c r="F26" s="296">
        <f t="shared" si="2"/>
        <v>154548000</v>
      </c>
    </row>
    <row r="27" spans="1:6" s="401" customFormat="1" ht="12" customHeight="1">
      <c r="A27" s="13" t="s">
        <v>755</v>
      </c>
      <c r="B27" s="402" t="s">
        <v>761</v>
      </c>
      <c r="C27" s="988">
        <v>125800000</v>
      </c>
      <c r="D27" s="960">
        <f t="shared" si="0"/>
        <v>128316000</v>
      </c>
      <c r="E27" s="959">
        <f t="shared" si="1"/>
        <v>130832000</v>
      </c>
      <c r="F27" s="959">
        <f t="shared" si="2"/>
        <v>133348000</v>
      </c>
    </row>
    <row r="28" spans="1:6" s="401" customFormat="1" ht="12" customHeight="1">
      <c r="A28" s="12" t="s">
        <v>756</v>
      </c>
      <c r="B28" s="633" t="s">
        <v>307</v>
      </c>
      <c r="C28" s="982">
        <v>5800000</v>
      </c>
      <c r="D28" s="961">
        <f t="shared" si="0"/>
        <v>5916000</v>
      </c>
      <c r="E28" s="962">
        <f t="shared" si="1"/>
        <v>6032000</v>
      </c>
      <c r="F28" s="962">
        <f t="shared" si="2"/>
        <v>6148000</v>
      </c>
    </row>
    <row r="29" spans="1:6" s="401" customFormat="1" ht="12" customHeight="1">
      <c r="A29" s="12" t="s">
        <v>757</v>
      </c>
      <c r="B29" s="633" t="s">
        <v>308</v>
      </c>
      <c r="C29" s="982">
        <v>120000000</v>
      </c>
      <c r="D29" s="961">
        <f t="shared" si="0"/>
        <v>122400000</v>
      </c>
      <c r="E29" s="962">
        <f t="shared" si="1"/>
        <v>124800000</v>
      </c>
      <c r="F29" s="962">
        <f t="shared" si="2"/>
        <v>127200000</v>
      </c>
    </row>
    <row r="30" spans="1:6" s="401" customFormat="1" ht="12" customHeight="1">
      <c r="A30" s="12" t="s">
        <v>758</v>
      </c>
      <c r="B30" s="403" t="s">
        <v>764</v>
      </c>
      <c r="C30" s="982">
        <v>18000000</v>
      </c>
      <c r="D30" s="961">
        <f t="shared" si="0"/>
        <v>18360000</v>
      </c>
      <c r="E30" s="962">
        <f t="shared" si="1"/>
        <v>18720000</v>
      </c>
      <c r="F30" s="962">
        <f t="shared" si="2"/>
        <v>19080000</v>
      </c>
    </row>
    <row r="31" spans="1:6" s="401" customFormat="1" ht="12" customHeight="1">
      <c r="A31" s="12" t="s">
        <v>759</v>
      </c>
      <c r="B31" s="403" t="s">
        <v>273</v>
      </c>
      <c r="C31" s="982">
        <v>300000</v>
      </c>
      <c r="D31" s="961">
        <f t="shared" si="0"/>
        <v>306000</v>
      </c>
      <c r="E31" s="962">
        <f t="shared" si="1"/>
        <v>312000</v>
      </c>
      <c r="F31" s="962">
        <f t="shared" si="2"/>
        <v>318000</v>
      </c>
    </row>
    <row r="32" spans="1:6" s="401" customFormat="1" ht="12" customHeight="1">
      <c r="A32" s="14" t="s">
        <v>760</v>
      </c>
      <c r="B32" s="404" t="s">
        <v>276</v>
      </c>
      <c r="C32" s="983">
        <v>900000</v>
      </c>
      <c r="D32" s="961">
        <f t="shared" si="0"/>
        <v>918000</v>
      </c>
      <c r="E32" s="962">
        <f t="shared" si="1"/>
        <v>936000</v>
      </c>
      <c r="F32" s="962">
        <f t="shared" si="2"/>
        <v>954000</v>
      </c>
    </row>
    <row r="33" spans="1:6" s="401" customFormat="1" ht="12" customHeight="1" thickBot="1">
      <c r="A33" s="14" t="s">
        <v>274</v>
      </c>
      <c r="B33" s="404" t="s">
        <v>275</v>
      </c>
      <c r="C33" s="983">
        <v>800000</v>
      </c>
      <c r="D33" s="963">
        <f t="shared" si="0"/>
        <v>816000</v>
      </c>
      <c r="E33" s="964">
        <f t="shared" si="1"/>
        <v>832000</v>
      </c>
      <c r="F33" s="964">
        <f t="shared" si="2"/>
        <v>848000</v>
      </c>
    </row>
    <row r="34" spans="1:6" s="401" customFormat="1" ht="12" customHeight="1" thickBot="1">
      <c r="A34" s="18" t="s">
        <v>500</v>
      </c>
      <c r="B34" s="19" t="s">
        <v>767</v>
      </c>
      <c r="C34" s="296">
        <f>SUM(C35:C44)</f>
        <v>116111900</v>
      </c>
      <c r="D34" s="296">
        <f t="shared" si="0"/>
        <v>118434138</v>
      </c>
      <c r="E34" s="296">
        <f t="shared" si="1"/>
        <v>120756376</v>
      </c>
      <c r="F34" s="296">
        <f t="shared" si="2"/>
        <v>123078614</v>
      </c>
    </row>
    <row r="35" spans="1:6" s="401" customFormat="1" ht="12" customHeight="1">
      <c r="A35" s="13" t="s">
        <v>572</v>
      </c>
      <c r="B35" s="402" t="s">
        <v>770</v>
      </c>
      <c r="C35" s="299"/>
      <c r="D35" s="960">
        <f t="shared" si="0"/>
        <v>0</v>
      </c>
      <c r="E35" s="959">
        <f t="shared" si="1"/>
        <v>0</v>
      </c>
      <c r="F35" s="959">
        <f t="shared" si="2"/>
        <v>0</v>
      </c>
    </row>
    <row r="36" spans="1:6" s="401" customFormat="1" ht="12" customHeight="1">
      <c r="A36" s="12" t="s">
        <v>573</v>
      </c>
      <c r="B36" s="403" t="s">
        <v>771</v>
      </c>
      <c r="C36" s="982">
        <v>10800000</v>
      </c>
      <c r="D36" s="961">
        <f t="shared" si="0"/>
        <v>11016000</v>
      </c>
      <c r="E36" s="962">
        <f t="shared" si="1"/>
        <v>11232000</v>
      </c>
      <c r="F36" s="962">
        <f t="shared" si="2"/>
        <v>11448000</v>
      </c>
    </row>
    <row r="37" spans="1:6" s="401" customFormat="1" ht="12" customHeight="1">
      <c r="A37" s="12" t="s">
        <v>574</v>
      </c>
      <c r="B37" s="403" t="s">
        <v>772</v>
      </c>
      <c r="C37" s="982">
        <v>300000</v>
      </c>
      <c r="D37" s="961">
        <f t="shared" si="0"/>
        <v>306000</v>
      </c>
      <c r="E37" s="962">
        <f t="shared" si="1"/>
        <v>312000</v>
      </c>
      <c r="F37" s="962">
        <f t="shared" si="2"/>
        <v>318000</v>
      </c>
    </row>
    <row r="38" spans="1:6" s="401" customFormat="1" ht="12" customHeight="1">
      <c r="A38" s="12" t="s">
        <v>651</v>
      </c>
      <c r="B38" s="403" t="s">
        <v>773</v>
      </c>
      <c r="C38" s="982">
        <v>3200000</v>
      </c>
      <c r="D38" s="961">
        <f t="shared" si="0"/>
        <v>3264000</v>
      </c>
      <c r="E38" s="962">
        <f t="shared" si="1"/>
        <v>3328000</v>
      </c>
      <c r="F38" s="962">
        <f t="shared" si="2"/>
        <v>3392000</v>
      </c>
    </row>
    <row r="39" spans="1:6" s="401" customFormat="1" ht="12" customHeight="1">
      <c r="A39" s="12" t="s">
        <v>652</v>
      </c>
      <c r="B39" s="403" t="s">
        <v>774</v>
      </c>
      <c r="C39" s="982">
        <v>81231900</v>
      </c>
      <c r="D39" s="961">
        <f t="shared" si="0"/>
        <v>82856538</v>
      </c>
      <c r="E39" s="962">
        <f t="shared" si="1"/>
        <v>84481176</v>
      </c>
      <c r="F39" s="962">
        <f t="shared" si="2"/>
        <v>86105814</v>
      </c>
    </row>
    <row r="40" spans="1:6" s="401" customFormat="1" ht="12" customHeight="1">
      <c r="A40" s="12" t="s">
        <v>653</v>
      </c>
      <c r="B40" s="403" t="s">
        <v>775</v>
      </c>
      <c r="C40" s="982">
        <v>3280000</v>
      </c>
      <c r="D40" s="961">
        <f t="shared" si="0"/>
        <v>3345600</v>
      </c>
      <c r="E40" s="962">
        <f t="shared" si="1"/>
        <v>3411200</v>
      </c>
      <c r="F40" s="962">
        <f t="shared" si="2"/>
        <v>3476800</v>
      </c>
    </row>
    <row r="41" spans="1:6" s="401" customFormat="1" ht="12" customHeight="1">
      <c r="A41" s="12" t="s">
        <v>654</v>
      </c>
      <c r="B41" s="403" t="s">
        <v>776</v>
      </c>
      <c r="C41" s="982">
        <v>9300000</v>
      </c>
      <c r="D41" s="961">
        <f t="shared" si="0"/>
        <v>9486000</v>
      </c>
      <c r="E41" s="962">
        <f t="shared" si="1"/>
        <v>9672000</v>
      </c>
      <c r="F41" s="962">
        <f t="shared" si="2"/>
        <v>9858000</v>
      </c>
    </row>
    <row r="42" spans="1:6" s="401" customFormat="1" ht="12" customHeight="1">
      <c r="A42" s="12" t="s">
        <v>655</v>
      </c>
      <c r="B42" s="403" t="s">
        <v>777</v>
      </c>
      <c r="C42" s="982">
        <v>1000000</v>
      </c>
      <c r="D42" s="961">
        <f t="shared" si="0"/>
        <v>1020000</v>
      </c>
      <c r="E42" s="962">
        <f t="shared" si="1"/>
        <v>1040000</v>
      </c>
      <c r="F42" s="962">
        <f t="shared" si="2"/>
        <v>1060000</v>
      </c>
    </row>
    <row r="43" spans="1:6" s="401" customFormat="1" ht="12" customHeight="1">
      <c r="A43" s="12" t="s">
        <v>768</v>
      </c>
      <c r="B43" s="403" t="s">
        <v>778</v>
      </c>
      <c r="C43" s="982"/>
      <c r="D43" s="961">
        <f t="shared" si="0"/>
        <v>0</v>
      </c>
      <c r="E43" s="962">
        <f t="shared" si="1"/>
        <v>0</v>
      </c>
      <c r="F43" s="962">
        <f t="shared" si="2"/>
        <v>0</v>
      </c>
    </row>
    <row r="44" spans="1:6" s="401" customFormat="1" ht="12" customHeight="1" thickBot="1">
      <c r="A44" s="14" t="s">
        <v>769</v>
      </c>
      <c r="B44" s="404" t="s">
        <v>779</v>
      </c>
      <c r="C44" s="983">
        <v>7000000</v>
      </c>
      <c r="D44" s="963">
        <f t="shared" si="0"/>
        <v>7140000</v>
      </c>
      <c r="E44" s="964">
        <f t="shared" si="1"/>
        <v>7280000</v>
      </c>
      <c r="F44" s="964">
        <f t="shared" si="2"/>
        <v>7420000</v>
      </c>
    </row>
    <row r="45" spans="1:6" s="401" customFormat="1" ht="12" customHeight="1" thickBot="1">
      <c r="A45" s="18" t="s">
        <v>501</v>
      </c>
      <c r="B45" s="19" t="s">
        <v>780</v>
      </c>
      <c r="C45" s="296">
        <f>SUM(C46:C50)</f>
        <v>0</v>
      </c>
      <c r="D45" s="296">
        <f t="shared" si="0"/>
        <v>0</v>
      </c>
      <c r="E45" s="296">
        <f t="shared" si="1"/>
        <v>0</v>
      </c>
      <c r="F45" s="296">
        <f t="shared" si="2"/>
        <v>0</v>
      </c>
    </row>
    <row r="46" spans="1:6" s="401" customFormat="1" ht="12" customHeight="1">
      <c r="A46" s="13" t="s">
        <v>575</v>
      </c>
      <c r="B46" s="402" t="s">
        <v>784</v>
      </c>
      <c r="C46" s="446"/>
      <c r="D46" s="960">
        <f t="shared" si="0"/>
        <v>0</v>
      </c>
      <c r="E46" s="959">
        <f t="shared" si="1"/>
        <v>0</v>
      </c>
      <c r="F46" s="959">
        <f t="shared" si="2"/>
        <v>0</v>
      </c>
    </row>
    <row r="47" spans="1:6" s="401" customFormat="1" ht="12" customHeight="1">
      <c r="A47" s="12" t="s">
        <v>576</v>
      </c>
      <c r="B47" s="403" t="s">
        <v>785</v>
      </c>
      <c r="C47" s="301"/>
      <c r="D47" s="961">
        <f t="shared" si="0"/>
        <v>0</v>
      </c>
      <c r="E47" s="962">
        <f t="shared" si="1"/>
        <v>0</v>
      </c>
      <c r="F47" s="962">
        <f t="shared" si="2"/>
        <v>0</v>
      </c>
    </row>
    <row r="48" spans="1:6" s="401" customFormat="1" ht="12" customHeight="1">
      <c r="A48" s="12" t="s">
        <v>781</v>
      </c>
      <c r="B48" s="403" t="s">
        <v>786</v>
      </c>
      <c r="C48" s="301"/>
      <c r="D48" s="961">
        <f t="shared" si="0"/>
        <v>0</v>
      </c>
      <c r="E48" s="962">
        <f t="shared" si="1"/>
        <v>0</v>
      </c>
      <c r="F48" s="962">
        <f t="shared" si="2"/>
        <v>0</v>
      </c>
    </row>
    <row r="49" spans="1:6" s="401" customFormat="1" ht="12" customHeight="1">
      <c r="A49" s="12" t="s">
        <v>782</v>
      </c>
      <c r="B49" s="403" t="s">
        <v>787</v>
      </c>
      <c r="C49" s="301"/>
      <c r="D49" s="961">
        <f t="shared" si="0"/>
        <v>0</v>
      </c>
      <c r="E49" s="962">
        <f t="shared" si="1"/>
        <v>0</v>
      </c>
      <c r="F49" s="962">
        <f t="shared" si="2"/>
        <v>0</v>
      </c>
    </row>
    <row r="50" spans="1:6" s="401" customFormat="1" ht="12" customHeight="1">
      <c r="A50" s="12" t="s">
        <v>783</v>
      </c>
      <c r="B50" s="403" t="s">
        <v>788</v>
      </c>
      <c r="C50" s="301"/>
      <c r="D50" s="961">
        <f t="shared" si="0"/>
        <v>0</v>
      </c>
      <c r="E50" s="962">
        <f t="shared" si="1"/>
        <v>0</v>
      </c>
      <c r="F50" s="962">
        <f t="shared" si="2"/>
        <v>0</v>
      </c>
    </row>
    <row r="51" spans="1:6" s="401" customFormat="1" ht="12" customHeight="1" thickBot="1">
      <c r="A51" s="989" t="s">
        <v>477</v>
      </c>
      <c r="B51" s="995" t="s">
        <v>166</v>
      </c>
      <c r="C51" s="996"/>
      <c r="D51" s="963">
        <f t="shared" si="0"/>
        <v>0</v>
      </c>
      <c r="E51" s="964">
        <f t="shared" si="1"/>
        <v>0</v>
      </c>
      <c r="F51" s="964">
        <f t="shared" si="2"/>
        <v>0</v>
      </c>
    </row>
    <row r="52" spans="1:6" s="401" customFormat="1" ht="12" customHeight="1" thickBot="1">
      <c r="A52" s="18" t="s">
        <v>656</v>
      </c>
      <c r="B52" s="19" t="s">
        <v>789</v>
      </c>
      <c r="C52" s="296">
        <f>SUM(C53:C55)</f>
        <v>0</v>
      </c>
      <c r="D52" s="296">
        <f t="shared" si="0"/>
        <v>0</v>
      </c>
      <c r="E52" s="296">
        <f t="shared" si="1"/>
        <v>0</v>
      </c>
      <c r="F52" s="296">
        <f t="shared" si="2"/>
        <v>0</v>
      </c>
    </row>
    <row r="53" spans="1:6" s="401" customFormat="1" ht="12" customHeight="1">
      <c r="A53" s="13" t="s">
        <v>577</v>
      </c>
      <c r="B53" s="402" t="s">
        <v>790</v>
      </c>
      <c r="C53" s="299"/>
      <c r="D53" s="960">
        <f t="shared" si="0"/>
        <v>0</v>
      </c>
      <c r="E53" s="959">
        <f t="shared" si="1"/>
        <v>0</v>
      </c>
      <c r="F53" s="959">
        <f t="shared" si="2"/>
        <v>0</v>
      </c>
    </row>
    <row r="54" spans="1:6" s="401" customFormat="1" ht="12" customHeight="1">
      <c r="A54" s="12" t="s">
        <v>578</v>
      </c>
      <c r="B54" s="403" t="s">
        <v>294</v>
      </c>
      <c r="C54" s="298"/>
      <c r="D54" s="961">
        <f t="shared" si="0"/>
        <v>0</v>
      </c>
      <c r="E54" s="962">
        <f t="shared" si="1"/>
        <v>0</v>
      </c>
      <c r="F54" s="962">
        <f t="shared" si="2"/>
        <v>0</v>
      </c>
    </row>
    <row r="55" spans="1:6" s="401" customFormat="1" ht="12" customHeight="1">
      <c r="A55" s="12" t="s">
        <v>793</v>
      </c>
      <c r="B55" s="403" t="s">
        <v>296</v>
      </c>
      <c r="C55" s="298"/>
      <c r="D55" s="961">
        <f t="shared" si="0"/>
        <v>0</v>
      </c>
      <c r="E55" s="962">
        <f t="shared" si="1"/>
        <v>0</v>
      </c>
      <c r="F55" s="962">
        <f t="shared" si="2"/>
        <v>0</v>
      </c>
    </row>
    <row r="56" spans="1:6" s="401" customFormat="1" ht="12" customHeight="1" thickBot="1">
      <c r="A56" s="14" t="s">
        <v>794</v>
      </c>
      <c r="B56" s="404" t="s">
        <v>792</v>
      </c>
      <c r="C56" s="300"/>
      <c r="D56" s="963">
        <f t="shared" si="0"/>
        <v>0</v>
      </c>
      <c r="E56" s="964">
        <f t="shared" si="1"/>
        <v>0</v>
      </c>
      <c r="F56" s="964">
        <f t="shared" si="2"/>
        <v>0</v>
      </c>
    </row>
    <row r="57" spans="1:6" s="401" customFormat="1" ht="12" customHeight="1" thickBot="1">
      <c r="A57" s="18" t="s">
        <v>503</v>
      </c>
      <c r="B57" s="291" t="s">
        <v>795</v>
      </c>
      <c r="C57" s="296">
        <f>SUM(C58:C60)</f>
        <v>0</v>
      </c>
      <c r="D57" s="296">
        <f t="shared" si="0"/>
        <v>0</v>
      </c>
      <c r="E57" s="296">
        <f t="shared" si="1"/>
        <v>0</v>
      </c>
      <c r="F57" s="296">
        <f t="shared" si="2"/>
        <v>0</v>
      </c>
    </row>
    <row r="58" spans="1:6" s="401" customFormat="1" ht="12" customHeight="1">
      <c r="A58" s="13" t="s">
        <v>657</v>
      </c>
      <c r="B58" s="402" t="s">
        <v>797</v>
      </c>
      <c r="C58" s="301"/>
      <c r="D58" s="960">
        <f t="shared" si="0"/>
        <v>0</v>
      </c>
      <c r="E58" s="959">
        <f t="shared" si="1"/>
        <v>0</v>
      </c>
      <c r="F58" s="959">
        <f t="shared" si="2"/>
        <v>0</v>
      </c>
    </row>
    <row r="59" spans="1:6" s="401" customFormat="1" ht="12" customHeight="1">
      <c r="A59" s="12" t="s">
        <v>658</v>
      </c>
      <c r="B59" s="403" t="s">
        <v>154</v>
      </c>
      <c r="C59" s="301"/>
      <c r="D59" s="961">
        <f t="shared" si="0"/>
        <v>0</v>
      </c>
      <c r="E59" s="962">
        <f t="shared" si="1"/>
        <v>0</v>
      </c>
      <c r="F59" s="962">
        <f t="shared" si="2"/>
        <v>0</v>
      </c>
    </row>
    <row r="60" spans="1:6" s="401" customFormat="1" ht="12" customHeight="1">
      <c r="A60" s="12" t="s">
        <v>709</v>
      </c>
      <c r="B60" s="403" t="s">
        <v>311</v>
      </c>
      <c r="C60" s="301"/>
      <c r="D60" s="961">
        <f t="shared" si="0"/>
        <v>0</v>
      </c>
      <c r="E60" s="962">
        <f t="shared" si="1"/>
        <v>0</v>
      </c>
      <c r="F60" s="962">
        <f t="shared" si="2"/>
        <v>0</v>
      </c>
    </row>
    <row r="61" spans="1:6" s="401" customFormat="1" ht="12" customHeight="1" thickBot="1">
      <c r="A61" s="14" t="s">
        <v>796</v>
      </c>
      <c r="B61" s="404" t="s">
        <v>799</v>
      </c>
      <c r="C61" s="301"/>
      <c r="D61" s="963">
        <f t="shared" si="0"/>
        <v>0</v>
      </c>
      <c r="E61" s="964">
        <f t="shared" si="1"/>
        <v>0</v>
      </c>
      <c r="F61" s="964">
        <f t="shared" si="2"/>
        <v>0</v>
      </c>
    </row>
    <row r="62" spans="1:6" s="401" customFormat="1" ht="12" customHeight="1" thickBot="1">
      <c r="A62" s="18" t="s">
        <v>504</v>
      </c>
      <c r="B62" s="19" t="s">
        <v>800</v>
      </c>
      <c r="C62" s="302">
        <f>+C5+C12+C19+C26+C34+C45+C52+C57</f>
        <v>822717984</v>
      </c>
      <c r="D62" s="296">
        <f t="shared" si="0"/>
        <v>839172343.6800001</v>
      </c>
      <c r="E62" s="296">
        <f t="shared" si="1"/>
        <v>855626703.36</v>
      </c>
      <c r="F62" s="296">
        <f t="shared" si="2"/>
        <v>872081063.0400001</v>
      </c>
    </row>
    <row r="63" spans="1:6" s="401" customFormat="1" ht="12" customHeight="1" thickBot="1">
      <c r="A63" s="405" t="s">
        <v>801</v>
      </c>
      <c r="B63" s="291" t="s">
        <v>802</v>
      </c>
      <c r="C63" s="296">
        <f>SUM(C64:C66)</f>
        <v>0</v>
      </c>
      <c r="D63" s="296">
        <f t="shared" si="0"/>
        <v>0</v>
      </c>
      <c r="E63" s="296">
        <f t="shared" si="1"/>
        <v>0</v>
      </c>
      <c r="F63" s="296">
        <f t="shared" si="2"/>
        <v>0</v>
      </c>
    </row>
    <row r="64" spans="1:6" s="401" customFormat="1" ht="12" customHeight="1">
      <c r="A64" s="13" t="s">
        <v>12</v>
      </c>
      <c r="B64" s="402" t="s">
        <v>803</v>
      </c>
      <c r="C64" s="301"/>
      <c r="D64" s="960">
        <f t="shared" si="0"/>
        <v>0</v>
      </c>
      <c r="E64" s="959">
        <f t="shared" si="1"/>
        <v>0</v>
      </c>
      <c r="F64" s="959">
        <f t="shared" si="2"/>
        <v>0</v>
      </c>
    </row>
    <row r="65" spans="1:6" s="401" customFormat="1" ht="12" customHeight="1">
      <c r="A65" s="12" t="s">
        <v>21</v>
      </c>
      <c r="B65" s="403" t="s">
        <v>804</v>
      </c>
      <c r="C65" s="301"/>
      <c r="D65" s="961">
        <f t="shared" si="0"/>
        <v>0</v>
      </c>
      <c r="E65" s="962">
        <f t="shared" si="1"/>
        <v>0</v>
      </c>
      <c r="F65" s="962">
        <f t="shared" si="2"/>
        <v>0</v>
      </c>
    </row>
    <row r="66" spans="1:6" s="401" customFormat="1" ht="12" customHeight="1" thickBot="1">
      <c r="A66" s="14" t="s">
        <v>22</v>
      </c>
      <c r="B66" s="406" t="s">
        <v>805</v>
      </c>
      <c r="C66" s="301"/>
      <c r="D66" s="963">
        <f t="shared" si="0"/>
        <v>0</v>
      </c>
      <c r="E66" s="964">
        <f t="shared" si="1"/>
        <v>0</v>
      </c>
      <c r="F66" s="964">
        <f t="shared" si="2"/>
        <v>0</v>
      </c>
    </row>
    <row r="67" spans="1:6" s="401" customFormat="1" ht="12" customHeight="1" thickBot="1">
      <c r="A67" s="405" t="s">
        <v>806</v>
      </c>
      <c r="B67" s="291" t="s">
        <v>807</v>
      </c>
      <c r="C67" s="296">
        <f>SUM(C68:C71)</f>
        <v>295000000</v>
      </c>
      <c r="D67" s="296">
        <f t="shared" si="0"/>
        <v>300900000</v>
      </c>
      <c r="E67" s="296">
        <f t="shared" si="1"/>
        <v>306800000</v>
      </c>
      <c r="F67" s="296">
        <f t="shared" si="2"/>
        <v>312700000</v>
      </c>
    </row>
    <row r="68" spans="1:6" s="401" customFormat="1" ht="12" customHeight="1">
      <c r="A68" s="13" t="s">
        <v>625</v>
      </c>
      <c r="B68" s="402" t="s">
        <v>808</v>
      </c>
      <c r="C68" s="301">
        <v>295000000</v>
      </c>
      <c r="D68" s="960">
        <f t="shared" si="0"/>
        <v>300900000</v>
      </c>
      <c r="E68" s="959">
        <f t="shared" si="1"/>
        <v>306800000</v>
      </c>
      <c r="F68" s="959">
        <f t="shared" si="2"/>
        <v>312700000</v>
      </c>
    </row>
    <row r="69" spans="1:6" s="401" customFormat="1" ht="12" customHeight="1">
      <c r="A69" s="12" t="s">
        <v>626</v>
      </c>
      <c r="B69" s="403" t="s">
        <v>809</v>
      </c>
      <c r="C69" s="301"/>
      <c r="D69" s="961">
        <f t="shared" si="0"/>
        <v>0</v>
      </c>
      <c r="E69" s="962">
        <f t="shared" si="1"/>
        <v>0</v>
      </c>
      <c r="F69" s="962">
        <f t="shared" si="2"/>
        <v>0</v>
      </c>
    </row>
    <row r="70" spans="1:6" s="401" customFormat="1" ht="12" customHeight="1">
      <c r="A70" s="12" t="s">
        <v>13</v>
      </c>
      <c r="B70" s="403" t="s">
        <v>810</v>
      </c>
      <c r="C70" s="301"/>
      <c r="D70" s="961">
        <f aca="true" t="shared" si="3" ref="D70:D86">C70*102%</f>
        <v>0</v>
      </c>
      <c r="E70" s="962">
        <f aca="true" t="shared" si="4" ref="E70:E86">C70*104%</f>
        <v>0</v>
      </c>
      <c r="F70" s="962">
        <f aca="true" t="shared" si="5" ref="F70:F86">C70*106%</f>
        <v>0</v>
      </c>
    </row>
    <row r="71" spans="1:6" s="401" customFormat="1" ht="12" customHeight="1" thickBot="1">
      <c r="A71" s="16" t="s">
        <v>14</v>
      </c>
      <c r="B71" s="992" t="s">
        <v>811</v>
      </c>
      <c r="C71" s="993"/>
      <c r="D71" s="963">
        <f t="shared" si="3"/>
        <v>0</v>
      </c>
      <c r="E71" s="964">
        <f t="shared" si="4"/>
        <v>0</v>
      </c>
      <c r="F71" s="964">
        <f t="shared" si="5"/>
        <v>0</v>
      </c>
    </row>
    <row r="72" spans="1:6" s="401" customFormat="1" ht="12" customHeight="1" thickBot="1">
      <c r="A72" s="405" t="s">
        <v>812</v>
      </c>
      <c r="B72" s="291" t="s">
        <v>813</v>
      </c>
      <c r="C72" s="296">
        <f>C73</f>
        <v>199880000</v>
      </c>
      <c r="D72" s="296">
        <f t="shared" si="3"/>
        <v>203877600</v>
      </c>
      <c r="E72" s="296">
        <f t="shared" si="4"/>
        <v>207875200</v>
      </c>
      <c r="F72" s="296">
        <f t="shared" si="5"/>
        <v>211872800</v>
      </c>
    </row>
    <row r="73" spans="1:6" s="401" customFormat="1" ht="12" customHeight="1">
      <c r="A73" s="13" t="s">
        <v>15</v>
      </c>
      <c r="B73" s="402" t="s">
        <v>814</v>
      </c>
      <c r="C73" s="982">
        <v>199880000</v>
      </c>
      <c r="D73" s="960">
        <f t="shared" si="3"/>
        <v>203877600</v>
      </c>
      <c r="E73" s="959">
        <f t="shared" si="4"/>
        <v>207875200</v>
      </c>
      <c r="F73" s="959">
        <f t="shared" si="5"/>
        <v>211872800</v>
      </c>
    </row>
    <row r="74" spans="1:6" s="401" customFormat="1" ht="12" customHeight="1" thickBot="1">
      <c r="A74" s="14" t="s">
        <v>16</v>
      </c>
      <c r="B74" s="404" t="s">
        <v>815</v>
      </c>
      <c r="C74" s="301"/>
      <c r="D74" s="963">
        <f t="shared" si="3"/>
        <v>0</v>
      </c>
      <c r="E74" s="964">
        <f t="shared" si="4"/>
        <v>0</v>
      </c>
      <c r="F74" s="964">
        <f t="shared" si="5"/>
        <v>0</v>
      </c>
    </row>
    <row r="75" spans="1:6" s="401" customFormat="1" ht="12" customHeight="1" thickBot="1">
      <c r="A75" s="405" t="s">
        <v>816</v>
      </c>
      <c r="B75" s="291" t="s">
        <v>817</v>
      </c>
      <c r="C75" s="296">
        <f>SUM(C76:C78)</f>
        <v>0</v>
      </c>
      <c r="D75" s="296">
        <f t="shared" si="3"/>
        <v>0</v>
      </c>
      <c r="E75" s="296">
        <f t="shared" si="4"/>
        <v>0</v>
      </c>
      <c r="F75" s="296">
        <f t="shared" si="5"/>
        <v>0</v>
      </c>
    </row>
    <row r="76" spans="1:6" s="401" customFormat="1" ht="12" customHeight="1">
      <c r="A76" s="13" t="s">
        <v>17</v>
      </c>
      <c r="B76" s="402" t="s">
        <v>818</v>
      </c>
      <c r="C76" s="301"/>
      <c r="D76" s="971">
        <f t="shared" si="3"/>
        <v>0</v>
      </c>
      <c r="E76" s="960">
        <f t="shared" si="4"/>
        <v>0</v>
      </c>
      <c r="F76" s="974">
        <f t="shared" si="5"/>
        <v>0</v>
      </c>
    </row>
    <row r="77" spans="1:6" s="401" customFormat="1" ht="12" customHeight="1">
      <c r="A77" s="12" t="s">
        <v>18</v>
      </c>
      <c r="B77" s="403" t="s">
        <v>819</v>
      </c>
      <c r="C77" s="301"/>
      <c r="D77" s="972">
        <f t="shared" si="3"/>
        <v>0</v>
      </c>
      <c r="E77" s="961">
        <f t="shared" si="4"/>
        <v>0</v>
      </c>
      <c r="F77" s="975">
        <f t="shared" si="5"/>
        <v>0</v>
      </c>
    </row>
    <row r="78" spans="1:6" s="401" customFormat="1" ht="12" customHeight="1" thickBot="1">
      <c r="A78" s="14" t="s">
        <v>19</v>
      </c>
      <c r="B78" s="404" t="s">
        <v>820</v>
      </c>
      <c r="C78" s="301"/>
      <c r="D78" s="973">
        <f t="shared" si="3"/>
        <v>0</v>
      </c>
      <c r="E78" s="963">
        <f t="shared" si="4"/>
        <v>0</v>
      </c>
      <c r="F78" s="976">
        <f t="shared" si="5"/>
        <v>0</v>
      </c>
    </row>
    <row r="79" spans="1:6" s="401" customFormat="1" ht="12" customHeight="1" thickBot="1">
      <c r="A79" s="405" t="s">
        <v>821</v>
      </c>
      <c r="B79" s="291" t="s">
        <v>20</v>
      </c>
      <c r="C79" s="296">
        <f>SUM(C80:C83)</f>
        <v>0</v>
      </c>
      <c r="D79" s="296">
        <f t="shared" si="3"/>
        <v>0</v>
      </c>
      <c r="E79" s="296">
        <f t="shared" si="4"/>
        <v>0</v>
      </c>
      <c r="F79" s="296">
        <f t="shared" si="5"/>
        <v>0</v>
      </c>
    </row>
    <row r="80" spans="1:6" s="401" customFormat="1" ht="12" customHeight="1">
      <c r="A80" s="407" t="s">
        <v>822</v>
      </c>
      <c r="B80" s="402" t="s">
        <v>0</v>
      </c>
      <c r="C80" s="977"/>
      <c r="D80" s="960">
        <f t="shared" si="3"/>
        <v>0</v>
      </c>
      <c r="E80" s="960">
        <f t="shared" si="4"/>
        <v>0</v>
      </c>
      <c r="F80" s="974">
        <f t="shared" si="5"/>
        <v>0</v>
      </c>
    </row>
    <row r="81" spans="1:6" s="401" customFormat="1" ht="12" customHeight="1">
      <c r="A81" s="408" t="s">
        <v>1</v>
      </c>
      <c r="B81" s="403" t="s">
        <v>2</v>
      </c>
      <c r="C81" s="977"/>
      <c r="D81" s="961">
        <f t="shared" si="3"/>
        <v>0</v>
      </c>
      <c r="E81" s="961">
        <f t="shared" si="4"/>
        <v>0</v>
      </c>
      <c r="F81" s="975">
        <f t="shared" si="5"/>
        <v>0</v>
      </c>
    </row>
    <row r="82" spans="1:6" s="401" customFormat="1" ht="12" customHeight="1">
      <c r="A82" s="408" t="s">
        <v>3</v>
      </c>
      <c r="B82" s="403" t="s">
        <v>4</v>
      </c>
      <c r="C82" s="977"/>
      <c r="D82" s="961">
        <f t="shared" si="3"/>
        <v>0</v>
      </c>
      <c r="E82" s="961">
        <f t="shared" si="4"/>
        <v>0</v>
      </c>
      <c r="F82" s="975">
        <f t="shared" si="5"/>
        <v>0</v>
      </c>
    </row>
    <row r="83" spans="1:6" s="401" customFormat="1" ht="12" customHeight="1" thickBot="1">
      <c r="A83" s="409" t="s">
        <v>5</v>
      </c>
      <c r="B83" s="404" t="s">
        <v>6</v>
      </c>
      <c r="C83" s="977"/>
      <c r="D83" s="963">
        <f t="shared" si="3"/>
        <v>0</v>
      </c>
      <c r="E83" s="963">
        <f t="shared" si="4"/>
        <v>0</v>
      </c>
      <c r="F83" s="976">
        <f t="shared" si="5"/>
        <v>0</v>
      </c>
    </row>
    <row r="84" spans="1:6" s="401" customFormat="1" ht="13.5" customHeight="1" thickBot="1">
      <c r="A84" s="405" t="s">
        <v>7</v>
      </c>
      <c r="B84" s="291" t="s">
        <v>8</v>
      </c>
      <c r="C84" s="447"/>
      <c r="D84" s="296">
        <f t="shared" si="3"/>
        <v>0</v>
      </c>
      <c r="E84" s="296">
        <f t="shared" si="4"/>
        <v>0</v>
      </c>
      <c r="F84" s="296">
        <f t="shared" si="5"/>
        <v>0</v>
      </c>
    </row>
    <row r="85" spans="1:6" s="401" customFormat="1" ht="15.75" customHeight="1" thickBot="1">
      <c r="A85" s="405" t="s">
        <v>9</v>
      </c>
      <c r="B85" s="410" t="s">
        <v>10</v>
      </c>
      <c r="C85" s="302">
        <f>+C63+C67+C72+C75+C79+C84</f>
        <v>494880000</v>
      </c>
      <c r="D85" s="296">
        <f t="shared" si="3"/>
        <v>504777600</v>
      </c>
      <c r="E85" s="296">
        <f t="shared" si="4"/>
        <v>514675200</v>
      </c>
      <c r="F85" s="296">
        <f t="shared" si="5"/>
        <v>524572800</v>
      </c>
    </row>
    <row r="86" spans="1:6" s="401" customFormat="1" ht="16.5" customHeight="1" thickBot="1">
      <c r="A86" s="411" t="s">
        <v>23</v>
      </c>
      <c r="B86" s="412" t="s">
        <v>11</v>
      </c>
      <c r="C86" s="302">
        <f>+C62+C85</f>
        <v>1317597984</v>
      </c>
      <c r="D86" s="296">
        <f t="shared" si="3"/>
        <v>1343949943.68</v>
      </c>
      <c r="E86" s="296">
        <f t="shared" si="4"/>
        <v>1370301903.3600001</v>
      </c>
      <c r="F86" s="296">
        <f t="shared" si="5"/>
        <v>1396653863.04</v>
      </c>
    </row>
    <row r="87" spans="1:6" s="401" customFormat="1" ht="16.5" customHeight="1">
      <c r="A87" s="729"/>
      <c r="B87" s="729"/>
      <c r="C87" s="730"/>
      <c r="D87" s="730"/>
      <c r="E87" s="730"/>
      <c r="F87" s="730"/>
    </row>
    <row r="88" spans="1:3" ht="16.5" customHeight="1">
      <c r="A88" s="1136" t="s">
        <v>524</v>
      </c>
      <c r="B88" s="1136"/>
      <c r="C88" s="1136"/>
    </row>
    <row r="89" spans="1:6" s="413" customFormat="1" ht="16.5" customHeight="1" thickBot="1">
      <c r="A89" s="1137" t="s">
        <v>629</v>
      </c>
      <c r="B89" s="1137"/>
      <c r="C89" s="137"/>
      <c r="D89" s="137"/>
      <c r="E89" s="137"/>
      <c r="F89" s="137"/>
    </row>
    <row r="90" spans="1:6" ht="37.5" customHeight="1" thickBot="1">
      <c r="A90" s="21" t="s">
        <v>549</v>
      </c>
      <c r="B90" s="22" t="s">
        <v>525</v>
      </c>
      <c r="C90" s="37" t="s">
        <v>830</v>
      </c>
      <c r="D90" s="37" t="s">
        <v>402</v>
      </c>
      <c r="E90" s="37" t="s">
        <v>403</v>
      </c>
      <c r="F90" s="37" t="s">
        <v>831</v>
      </c>
    </row>
    <row r="91" spans="1:6" s="400" customFormat="1" ht="12" customHeight="1" thickBot="1">
      <c r="A91" s="30">
        <v>1</v>
      </c>
      <c r="B91" s="31">
        <v>2</v>
      </c>
      <c r="C91" s="32">
        <v>3</v>
      </c>
      <c r="D91" s="32">
        <v>4</v>
      </c>
      <c r="E91" s="32">
        <v>5</v>
      </c>
      <c r="F91" s="32">
        <v>6</v>
      </c>
    </row>
    <row r="92" spans="1:6" ht="12" customHeight="1" thickBot="1">
      <c r="A92" s="20" t="s">
        <v>496</v>
      </c>
      <c r="B92" s="29" t="s">
        <v>26</v>
      </c>
      <c r="C92" s="295">
        <f>C93+C94+C95+C96+C97</f>
        <v>626926195</v>
      </c>
      <c r="D92" s="295">
        <f>C92*102%</f>
        <v>639464718.9</v>
      </c>
      <c r="E92" s="295">
        <f>C92*104%</f>
        <v>652003242.8000001</v>
      </c>
      <c r="F92" s="295">
        <f>C92*106%</f>
        <v>664541766.7</v>
      </c>
    </row>
    <row r="93" spans="1:6" ht="12" customHeight="1">
      <c r="A93" s="15" t="s">
        <v>579</v>
      </c>
      <c r="B93" s="8" t="s">
        <v>526</v>
      </c>
      <c r="C93" s="981">
        <v>207127000</v>
      </c>
      <c r="D93" s="960">
        <f aca="true" t="shared" si="6" ref="D93:D148">C93*102%</f>
        <v>211269540</v>
      </c>
      <c r="E93" s="959">
        <f aca="true" t="shared" si="7" ref="E93:E146">C93*104%</f>
        <v>215412080</v>
      </c>
      <c r="F93" s="959">
        <f aca="true" t="shared" si="8" ref="F93:F146">C93*106%</f>
        <v>219554620</v>
      </c>
    </row>
    <row r="94" spans="1:6" ht="12" customHeight="1">
      <c r="A94" s="12" t="s">
        <v>580</v>
      </c>
      <c r="B94" s="6" t="s">
        <v>659</v>
      </c>
      <c r="C94" s="982">
        <v>49032554</v>
      </c>
      <c r="D94" s="961">
        <f t="shared" si="6"/>
        <v>50013205.08</v>
      </c>
      <c r="E94" s="962">
        <f t="shared" si="7"/>
        <v>50993856.160000004</v>
      </c>
      <c r="F94" s="962">
        <f t="shared" si="8"/>
        <v>51974507.24</v>
      </c>
    </row>
    <row r="95" spans="1:6" ht="12" customHeight="1">
      <c r="A95" s="12" t="s">
        <v>581</v>
      </c>
      <c r="B95" s="6" t="s">
        <v>616</v>
      </c>
      <c r="C95" s="983">
        <v>217013000</v>
      </c>
      <c r="D95" s="961">
        <f t="shared" si="6"/>
        <v>221353260</v>
      </c>
      <c r="E95" s="962">
        <f t="shared" si="7"/>
        <v>225693520</v>
      </c>
      <c r="F95" s="962">
        <f t="shared" si="8"/>
        <v>230033780</v>
      </c>
    </row>
    <row r="96" spans="1:6" ht="12" customHeight="1">
      <c r="A96" s="12" t="s">
        <v>582</v>
      </c>
      <c r="B96" s="9" t="s">
        <v>660</v>
      </c>
      <c r="C96" s="983">
        <v>9611000</v>
      </c>
      <c r="D96" s="961">
        <f t="shared" si="6"/>
        <v>9803220</v>
      </c>
      <c r="E96" s="962">
        <f t="shared" si="7"/>
        <v>9995440</v>
      </c>
      <c r="F96" s="962">
        <f t="shared" si="8"/>
        <v>10187660</v>
      </c>
    </row>
    <row r="97" spans="1:6" ht="12" customHeight="1">
      <c r="A97" s="12" t="s">
        <v>593</v>
      </c>
      <c r="B97" s="17" t="s">
        <v>661</v>
      </c>
      <c r="C97" s="983">
        <v>144142641</v>
      </c>
      <c r="D97" s="961">
        <f t="shared" si="6"/>
        <v>147025493.82</v>
      </c>
      <c r="E97" s="962">
        <f t="shared" si="7"/>
        <v>149908346.64000002</v>
      </c>
      <c r="F97" s="962">
        <f t="shared" si="8"/>
        <v>152791199.46</v>
      </c>
    </row>
    <row r="98" spans="1:6" ht="12" customHeight="1">
      <c r="A98" s="12" t="s">
        <v>583</v>
      </c>
      <c r="B98" s="6" t="s">
        <v>27</v>
      </c>
      <c r="C98" s="983"/>
      <c r="D98" s="961">
        <f t="shared" si="6"/>
        <v>0</v>
      </c>
      <c r="E98" s="962">
        <f t="shared" si="7"/>
        <v>0</v>
      </c>
      <c r="F98" s="962">
        <f t="shared" si="8"/>
        <v>0</v>
      </c>
    </row>
    <row r="99" spans="1:6" ht="12" customHeight="1">
      <c r="A99" s="12" t="s">
        <v>584</v>
      </c>
      <c r="B99" s="139" t="s">
        <v>28</v>
      </c>
      <c r="C99" s="983"/>
      <c r="D99" s="961">
        <f t="shared" si="6"/>
        <v>0</v>
      </c>
      <c r="E99" s="962">
        <f t="shared" si="7"/>
        <v>0</v>
      </c>
      <c r="F99" s="962">
        <f t="shared" si="8"/>
        <v>0</v>
      </c>
    </row>
    <row r="100" spans="1:6" ht="12" customHeight="1">
      <c r="A100" s="12" t="s">
        <v>594</v>
      </c>
      <c r="B100" s="140" t="s">
        <v>29</v>
      </c>
      <c r="C100" s="983"/>
      <c r="D100" s="961">
        <f t="shared" si="6"/>
        <v>0</v>
      </c>
      <c r="E100" s="962">
        <f t="shared" si="7"/>
        <v>0</v>
      </c>
      <c r="F100" s="962">
        <f t="shared" si="8"/>
        <v>0</v>
      </c>
    </row>
    <row r="101" spans="1:6" ht="12" customHeight="1">
      <c r="A101" s="12" t="s">
        <v>595</v>
      </c>
      <c r="B101" s="140" t="s">
        <v>30</v>
      </c>
      <c r="C101" s="983"/>
      <c r="D101" s="961">
        <f t="shared" si="6"/>
        <v>0</v>
      </c>
      <c r="E101" s="962">
        <f t="shared" si="7"/>
        <v>0</v>
      </c>
      <c r="F101" s="962">
        <f t="shared" si="8"/>
        <v>0</v>
      </c>
    </row>
    <row r="102" spans="1:6" ht="12" customHeight="1">
      <c r="A102" s="12" t="s">
        <v>596</v>
      </c>
      <c r="B102" s="139" t="s">
        <v>223</v>
      </c>
      <c r="C102" s="983">
        <v>138942641</v>
      </c>
      <c r="D102" s="961">
        <f t="shared" si="6"/>
        <v>141721493.82</v>
      </c>
      <c r="E102" s="962">
        <f t="shared" si="7"/>
        <v>144500346.64000002</v>
      </c>
      <c r="F102" s="962">
        <f t="shared" si="8"/>
        <v>147279199.46</v>
      </c>
    </row>
    <row r="103" spans="1:6" ht="12" customHeight="1">
      <c r="A103" s="12" t="s">
        <v>597</v>
      </c>
      <c r="B103" s="139" t="s">
        <v>309</v>
      </c>
      <c r="C103" s="983">
        <v>2000000</v>
      </c>
      <c r="D103" s="961">
        <f t="shared" si="6"/>
        <v>2040000</v>
      </c>
      <c r="E103" s="962">
        <f t="shared" si="7"/>
        <v>2080000</v>
      </c>
      <c r="F103" s="962">
        <f t="shared" si="8"/>
        <v>2120000</v>
      </c>
    </row>
    <row r="104" spans="1:6" ht="12" customHeight="1">
      <c r="A104" s="12" t="s">
        <v>599</v>
      </c>
      <c r="B104" s="140" t="s">
        <v>33</v>
      </c>
      <c r="C104" s="983"/>
      <c r="D104" s="961">
        <f t="shared" si="6"/>
        <v>0</v>
      </c>
      <c r="E104" s="962">
        <f t="shared" si="7"/>
        <v>0</v>
      </c>
      <c r="F104" s="962">
        <f t="shared" si="8"/>
        <v>0</v>
      </c>
    </row>
    <row r="105" spans="1:6" ht="12" customHeight="1">
      <c r="A105" s="11" t="s">
        <v>662</v>
      </c>
      <c r="B105" s="141" t="s">
        <v>34</v>
      </c>
      <c r="C105" s="983"/>
      <c r="D105" s="961">
        <f t="shared" si="6"/>
        <v>0</v>
      </c>
      <c r="E105" s="962">
        <f t="shared" si="7"/>
        <v>0</v>
      </c>
      <c r="F105" s="962">
        <f t="shared" si="8"/>
        <v>0</v>
      </c>
    </row>
    <row r="106" spans="1:6" ht="12" customHeight="1">
      <c r="A106" s="12" t="s">
        <v>24</v>
      </c>
      <c r="B106" s="140" t="s">
        <v>299</v>
      </c>
      <c r="C106" s="983"/>
      <c r="D106" s="961">
        <f t="shared" si="6"/>
        <v>0</v>
      </c>
      <c r="E106" s="962">
        <f t="shared" si="7"/>
        <v>0</v>
      </c>
      <c r="F106" s="962">
        <f t="shared" si="8"/>
        <v>0</v>
      </c>
    </row>
    <row r="107" spans="1:6" ht="12" customHeight="1" thickBot="1">
      <c r="A107" s="16" t="s">
        <v>25</v>
      </c>
      <c r="B107" s="667" t="s">
        <v>36</v>
      </c>
      <c r="C107" s="984">
        <v>3200000</v>
      </c>
      <c r="D107" s="963">
        <f t="shared" si="6"/>
        <v>3264000</v>
      </c>
      <c r="E107" s="964">
        <f t="shared" si="7"/>
        <v>3328000</v>
      </c>
      <c r="F107" s="964">
        <f t="shared" si="8"/>
        <v>3392000</v>
      </c>
    </row>
    <row r="108" spans="1:6" ht="12" customHeight="1" thickBot="1">
      <c r="A108" s="18" t="s">
        <v>497</v>
      </c>
      <c r="B108" s="28" t="s">
        <v>37</v>
      </c>
      <c r="C108" s="302">
        <f>+C109+C111+C113</f>
        <v>321411285</v>
      </c>
      <c r="D108" s="295">
        <f t="shared" si="6"/>
        <v>327839510.7</v>
      </c>
      <c r="E108" s="295">
        <f t="shared" si="7"/>
        <v>334267736.40000004</v>
      </c>
      <c r="F108" s="295">
        <f t="shared" si="8"/>
        <v>340695962.1</v>
      </c>
    </row>
    <row r="109" spans="1:6" ht="12" customHeight="1">
      <c r="A109" s="13" t="s">
        <v>585</v>
      </c>
      <c r="B109" s="6" t="s">
        <v>310</v>
      </c>
      <c r="C109" s="985">
        <v>140411285</v>
      </c>
      <c r="D109" s="960">
        <f t="shared" si="6"/>
        <v>143219510.7</v>
      </c>
      <c r="E109" s="960">
        <f t="shared" si="7"/>
        <v>146027736.4</v>
      </c>
      <c r="F109" s="960">
        <f t="shared" si="8"/>
        <v>148835962.1</v>
      </c>
    </row>
    <row r="110" spans="1:6" ht="12" customHeight="1">
      <c r="A110" s="13" t="s">
        <v>586</v>
      </c>
      <c r="B110" s="10" t="s">
        <v>41</v>
      </c>
      <c r="C110" s="985"/>
      <c r="D110" s="961">
        <f t="shared" si="6"/>
        <v>0</v>
      </c>
      <c r="E110" s="961">
        <f t="shared" si="7"/>
        <v>0</v>
      </c>
      <c r="F110" s="961">
        <f t="shared" si="8"/>
        <v>0</v>
      </c>
    </row>
    <row r="111" spans="1:6" ht="12" customHeight="1">
      <c r="A111" s="13" t="s">
        <v>587</v>
      </c>
      <c r="B111" s="10" t="s">
        <v>663</v>
      </c>
      <c r="C111" s="982">
        <v>181000000</v>
      </c>
      <c r="D111" s="961">
        <f t="shared" si="6"/>
        <v>184620000</v>
      </c>
      <c r="E111" s="961">
        <f t="shared" si="7"/>
        <v>188240000</v>
      </c>
      <c r="F111" s="961">
        <f t="shared" si="8"/>
        <v>191860000</v>
      </c>
    </row>
    <row r="112" spans="1:6" ht="12" customHeight="1">
      <c r="A112" s="13" t="s">
        <v>588</v>
      </c>
      <c r="B112" s="10" t="s">
        <v>42</v>
      </c>
      <c r="C112" s="986"/>
      <c r="D112" s="961">
        <f t="shared" si="6"/>
        <v>0</v>
      </c>
      <c r="E112" s="961">
        <f t="shared" si="7"/>
        <v>0</v>
      </c>
      <c r="F112" s="961">
        <f t="shared" si="8"/>
        <v>0</v>
      </c>
    </row>
    <row r="113" spans="1:6" ht="12" customHeight="1">
      <c r="A113" s="13" t="s">
        <v>589</v>
      </c>
      <c r="B113" s="293" t="s">
        <v>710</v>
      </c>
      <c r="C113" s="986"/>
      <c r="D113" s="961">
        <f t="shared" si="6"/>
        <v>0</v>
      </c>
      <c r="E113" s="961">
        <f t="shared" si="7"/>
        <v>0</v>
      </c>
      <c r="F113" s="961">
        <f t="shared" si="8"/>
        <v>0</v>
      </c>
    </row>
    <row r="114" spans="1:6" ht="12" customHeight="1">
      <c r="A114" s="13" t="s">
        <v>598</v>
      </c>
      <c r="B114" s="292" t="s">
        <v>155</v>
      </c>
      <c r="C114" s="986"/>
      <c r="D114" s="961">
        <f t="shared" si="6"/>
        <v>0</v>
      </c>
      <c r="E114" s="961">
        <f t="shared" si="7"/>
        <v>0</v>
      </c>
      <c r="F114" s="961">
        <f t="shared" si="8"/>
        <v>0</v>
      </c>
    </row>
    <row r="115" spans="1:6" ht="12" customHeight="1">
      <c r="A115" s="13" t="s">
        <v>600</v>
      </c>
      <c r="B115" s="398" t="s">
        <v>47</v>
      </c>
      <c r="C115" s="986"/>
      <c r="D115" s="961">
        <f t="shared" si="6"/>
        <v>0</v>
      </c>
      <c r="E115" s="961">
        <f t="shared" si="7"/>
        <v>0</v>
      </c>
      <c r="F115" s="961">
        <f t="shared" si="8"/>
        <v>0</v>
      </c>
    </row>
    <row r="116" spans="1:6" ht="15.75">
      <c r="A116" s="13" t="s">
        <v>664</v>
      </c>
      <c r="B116" s="140" t="s">
        <v>341</v>
      </c>
      <c r="C116" s="986"/>
      <c r="D116" s="961">
        <f t="shared" si="6"/>
        <v>0</v>
      </c>
      <c r="E116" s="961">
        <f t="shared" si="7"/>
        <v>0</v>
      </c>
      <c r="F116" s="961">
        <f t="shared" si="8"/>
        <v>0</v>
      </c>
    </row>
    <row r="117" spans="1:6" ht="12" customHeight="1">
      <c r="A117" s="13" t="s">
        <v>665</v>
      </c>
      <c r="B117" s="140" t="s">
        <v>306</v>
      </c>
      <c r="C117" s="986"/>
      <c r="D117" s="961">
        <f t="shared" si="6"/>
        <v>0</v>
      </c>
      <c r="E117" s="961">
        <f t="shared" si="7"/>
        <v>0</v>
      </c>
      <c r="F117" s="961">
        <f t="shared" si="8"/>
        <v>0</v>
      </c>
    </row>
    <row r="118" spans="1:6" ht="12" customHeight="1">
      <c r="A118" s="13" t="s">
        <v>666</v>
      </c>
      <c r="B118" s="140" t="s">
        <v>45</v>
      </c>
      <c r="C118" s="986"/>
      <c r="D118" s="961">
        <f t="shared" si="6"/>
        <v>0</v>
      </c>
      <c r="E118" s="961">
        <f t="shared" si="7"/>
        <v>0</v>
      </c>
      <c r="F118" s="961">
        <f t="shared" si="8"/>
        <v>0</v>
      </c>
    </row>
    <row r="119" spans="1:6" ht="12" customHeight="1">
      <c r="A119" s="13" t="s">
        <v>38</v>
      </c>
      <c r="B119" s="140" t="s">
        <v>33</v>
      </c>
      <c r="C119" s="986"/>
      <c r="D119" s="961">
        <f t="shared" si="6"/>
        <v>0</v>
      </c>
      <c r="E119" s="961">
        <f t="shared" si="7"/>
        <v>0</v>
      </c>
      <c r="F119" s="961">
        <f t="shared" si="8"/>
        <v>0</v>
      </c>
    </row>
    <row r="120" spans="1:6" ht="12" customHeight="1">
      <c r="A120" s="13" t="s">
        <v>39</v>
      </c>
      <c r="B120" s="140" t="s">
        <v>44</v>
      </c>
      <c r="C120" s="986"/>
      <c r="D120" s="961">
        <f t="shared" si="6"/>
        <v>0</v>
      </c>
      <c r="E120" s="961">
        <f t="shared" si="7"/>
        <v>0</v>
      </c>
      <c r="F120" s="961">
        <f t="shared" si="8"/>
        <v>0</v>
      </c>
    </row>
    <row r="121" spans="1:6" ht="16.5" thickBot="1">
      <c r="A121" s="11" t="s">
        <v>40</v>
      </c>
      <c r="B121" s="140" t="s">
        <v>224</v>
      </c>
      <c r="C121" s="987"/>
      <c r="D121" s="963">
        <f t="shared" si="6"/>
        <v>0</v>
      </c>
      <c r="E121" s="963">
        <f t="shared" si="7"/>
        <v>0</v>
      </c>
      <c r="F121" s="963">
        <f t="shared" si="8"/>
        <v>0</v>
      </c>
    </row>
    <row r="122" spans="1:6" ht="12" customHeight="1" thickBot="1">
      <c r="A122" s="18" t="s">
        <v>498</v>
      </c>
      <c r="B122" s="122" t="s">
        <v>48</v>
      </c>
      <c r="C122" s="302">
        <f>+C123+C124</f>
        <v>369260504</v>
      </c>
      <c r="D122" s="295">
        <f t="shared" si="6"/>
        <v>376645714.08</v>
      </c>
      <c r="E122" s="295">
        <f t="shared" si="7"/>
        <v>384030924.16</v>
      </c>
      <c r="F122" s="295">
        <f t="shared" si="8"/>
        <v>391416134.24</v>
      </c>
    </row>
    <row r="123" spans="1:6" ht="12" customHeight="1">
      <c r="A123" s="13" t="s">
        <v>568</v>
      </c>
      <c r="B123" s="7" t="s">
        <v>537</v>
      </c>
      <c r="C123" s="981">
        <v>38342762</v>
      </c>
      <c r="D123" s="959">
        <f t="shared" si="6"/>
        <v>39109617.24</v>
      </c>
      <c r="E123" s="959">
        <f t="shared" si="7"/>
        <v>39876472.480000004</v>
      </c>
      <c r="F123" s="959">
        <f t="shared" si="8"/>
        <v>40643327.72</v>
      </c>
    </row>
    <row r="124" spans="1:6" ht="12" customHeight="1" thickBot="1">
      <c r="A124" s="14" t="s">
        <v>569</v>
      </c>
      <c r="B124" s="10" t="s">
        <v>538</v>
      </c>
      <c r="C124" s="984">
        <v>330917742</v>
      </c>
      <c r="D124" s="964">
        <f t="shared" si="6"/>
        <v>337536096.84000003</v>
      </c>
      <c r="E124" s="964">
        <f t="shared" si="7"/>
        <v>344154451.68</v>
      </c>
      <c r="F124" s="964">
        <f t="shared" si="8"/>
        <v>350772806.52000004</v>
      </c>
    </row>
    <row r="125" spans="1:6" ht="12" customHeight="1" thickBot="1">
      <c r="A125" s="18" t="s">
        <v>499</v>
      </c>
      <c r="B125" s="122" t="s">
        <v>49</v>
      </c>
      <c r="C125" s="296">
        <f>+C92+C108+C122</f>
        <v>1317597984</v>
      </c>
      <c r="D125" s="295">
        <f t="shared" si="6"/>
        <v>1343949943.68</v>
      </c>
      <c r="E125" s="295">
        <f t="shared" si="7"/>
        <v>1370301903.3600001</v>
      </c>
      <c r="F125" s="295">
        <f t="shared" si="8"/>
        <v>1396653863.04</v>
      </c>
    </row>
    <row r="126" spans="1:6" ht="12" customHeight="1" thickBot="1">
      <c r="A126" s="18" t="s">
        <v>500</v>
      </c>
      <c r="B126" s="122" t="s">
        <v>50</v>
      </c>
      <c r="C126" s="296">
        <f>+C127+C128+C129</f>
        <v>0</v>
      </c>
      <c r="D126" s="295">
        <f t="shared" si="6"/>
        <v>0</v>
      </c>
      <c r="E126" s="295">
        <f t="shared" si="7"/>
        <v>0</v>
      </c>
      <c r="F126" s="295">
        <f t="shared" si="8"/>
        <v>0</v>
      </c>
    </row>
    <row r="127" spans="1:6" ht="12" customHeight="1">
      <c r="A127" s="13" t="s">
        <v>572</v>
      </c>
      <c r="B127" s="7" t="s">
        <v>51</v>
      </c>
      <c r="C127" s="269"/>
      <c r="D127" s="960">
        <f t="shared" si="6"/>
        <v>0</v>
      </c>
      <c r="E127" s="959">
        <f t="shared" si="7"/>
        <v>0</v>
      </c>
      <c r="F127" s="959">
        <f t="shared" si="8"/>
        <v>0</v>
      </c>
    </row>
    <row r="128" spans="1:6" ht="12" customHeight="1">
      <c r="A128" s="13" t="s">
        <v>573</v>
      </c>
      <c r="B128" s="7" t="s">
        <v>52</v>
      </c>
      <c r="C128" s="269"/>
      <c r="D128" s="961">
        <f t="shared" si="6"/>
        <v>0</v>
      </c>
      <c r="E128" s="962">
        <f t="shared" si="7"/>
        <v>0</v>
      </c>
      <c r="F128" s="962">
        <f t="shared" si="8"/>
        <v>0</v>
      </c>
    </row>
    <row r="129" spans="1:6" ht="12" customHeight="1" thickBot="1">
      <c r="A129" s="11" t="s">
        <v>574</v>
      </c>
      <c r="B129" s="5" t="s">
        <v>53</v>
      </c>
      <c r="C129" s="269"/>
      <c r="D129" s="963">
        <f t="shared" si="6"/>
        <v>0</v>
      </c>
      <c r="E129" s="964">
        <f t="shared" si="7"/>
        <v>0</v>
      </c>
      <c r="F129" s="964">
        <f t="shared" si="8"/>
        <v>0</v>
      </c>
    </row>
    <row r="130" spans="1:6" ht="12" customHeight="1" thickBot="1">
      <c r="A130" s="18" t="s">
        <v>501</v>
      </c>
      <c r="B130" s="122" t="s">
        <v>114</v>
      </c>
      <c r="C130" s="296">
        <f>+C131+C132+C133+C134</f>
        <v>0</v>
      </c>
      <c r="D130" s="295">
        <f t="shared" si="6"/>
        <v>0</v>
      </c>
      <c r="E130" s="295">
        <f t="shared" si="7"/>
        <v>0</v>
      </c>
      <c r="F130" s="295">
        <f t="shared" si="8"/>
        <v>0</v>
      </c>
    </row>
    <row r="131" spans="1:6" ht="12" customHeight="1">
      <c r="A131" s="13" t="s">
        <v>575</v>
      </c>
      <c r="B131" s="7" t="s">
        <v>54</v>
      </c>
      <c r="C131" s="269"/>
      <c r="D131" s="960">
        <f t="shared" si="6"/>
        <v>0</v>
      </c>
      <c r="E131" s="959">
        <f t="shared" si="7"/>
        <v>0</v>
      </c>
      <c r="F131" s="959">
        <f t="shared" si="8"/>
        <v>0</v>
      </c>
    </row>
    <row r="132" spans="1:6" ht="12" customHeight="1">
      <c r="A132" s="13" t="s">
        <v>576</v>
      </c>
      <c r="B132" s="7" t="s">
        <v>55</v>
      </c>
      <c r="C132" s="269"/>
      <c r="D132" s="961">
        <f t="shared" si="6"/>
        <v>0</v>
      </c>
      <c r="E132" s="962">
        <f t="shared" si="7"/>
        <v>0</v>
      </c>
      <c r="F132" s="962">
        <f t="shared" si="8"/>
        <v>0</v>
      </c>
    </row>
    <row r="133" spans="1:6" ht="12" customHeight="1">
      <c r="A133" s="12" t="s">
        <v>781</v>
      </c>
      <c r="B133" s="6" t="s">
        <v>56</v>
      </c>
      <c r="C133" s="269"/>
      <c r="D133" s="961">
        <f t="shared" si="6"/>
        <v>0</v>
      </c>
      <c r="E133" s="962">
        <f t="shared" si="7"/>
        <v>0</v>
      </c>
      <c r="F133" s="962">
        <f t="shared" si="8"/>
        <v>0</v>
      </c>
    </row>
    <row r="134" spans="1:6" ht="12" customHeight="1" thickBot="1">
      <c r="A134" s="989" t="s">
        <v>782</v>
      </c>
      <c r="B134" s="990" t="s">
        <v>57</v>
      </c>
      <c r="C134" s="991"/>
      <c r="D134" s="963">
        <f t="shared" si="6"/>
        <v>0</v>
      </c>
      <c r="E134" s="964">
        <f t="shared" si="7"/>
        <v>0</v>
      </c>
      <c r="F134" s="964">
        <f t="shared" si="8"/>
        <v>0</v>
      </c>
    </row>
    <row r="135" spans="1:6" ht="12" customHeight="1" thickBot="1">
      <c r="A135" s="18" t="s">
        <v>502</v>
      </c>
      <c r="B135" s="122" t="s">
        <v>58</v>
      </c>
      <c r="C135" s="302">
        <f>+C136+C137+C138+C139</f>
        <v>0</v>
      </c>
      <c r="D135" s="295">
        <f t="shared" si="6"/>
        <v>0</v>
      </c>
      <c r="E135" s="295">
        <f t="shared" si="7"/>
        <v>0</v>
      </c>
      <c r="F135" s="295">
        <f t="shared" si="8"/>
        <v>0</v>
      </c>
    </row>
    <row r="136" spans="1:6" ht="12" customHeight="1">
      <c r="A136" s="13" t="s">
        <v>577</v>
      </c>
      <c r="B136" s="7" t="s">
        <v>59</v>
      </c>
      <c r="C136" s="269"/>
      <c r="D136" s="960">
        <f t="shared" si="6"/>
        <v>0</v>
      </c>
      <c r="E136" s="960">
        <f t="shared" si="7"/>
        <v>0</v>
      </c>
      <c r="F136" s="960">
        <f t="shared" si="8"/>
        <v>0</v>
      </c>
    </row>
    <row r="137" spans="1:6" ht="12" customHeight="1">
      <c r="A137" s="13" t="s">
        <v>578</v>
      </c>
      <c r="B137" s="7" t="s">
        <v>69</v>
      </c>
      <c r="C137" s="269"/>
      <c r="D137" s="961">
        <f t="shared" si="6"/>
        <v>0</v>
      </c>
      <c r="E137" s="961">
        <f t="shared" si="7"/>
        <v>0</v>
      </c>
      <c r="F137" s="961">
        <f t="shared" si="8"/>
        <v>0</v>
      </c>
    </row>
    <row r="138" spans="1:6" ht="12" customHeight="1">
      <c r="A138" s="13" t="s">
        <v>793</v>
      </c>
      <c r="B138" s="7" t="s">
        <v>60</v>
      </c>
      <c r="C138" s="269"/>
      <c r="D138" s="961">
        <f t="shared" si="6"/>
        <v>0</v>
      </c>
      <c r="E138" s="961">
        <f t="shared" si="7"/>
        <v>0</v>
      </c>
      <c r="F138" s="961">
        <f t="shared" si="8"/>
        <v>0</v>
      </c>
    </row>
    <row r="139" spans="1:6" ht="12" customHeight="1" thickBot="1">
      <c r="A139" s="11" t="s">
        <v>794</v>
      </c>
      <c r="B139" s="5" t="s">
        <v>61</v>
      </c>
      <c r="C139" s="269"/>
      <c r="D139" s="963">
        <f t="shared" si="6"/>
        <v>0</v>
      </c>
      <c r="E139" s="963">
        <f t="shared" si="7"/>
        <v>0</v>
      </c>
      <c r="F139" s="963">
        <f t="shared" si="8"/>
        <v>0</v>
      </c>
    </row>
    <row r="140" spans="1:6" ht="12" customHeight="1" thickBot="1">
      <c r="A140" s="18" t="s">
        <v>503</v>
      </c>
      <c r="B140" s="122" t="s">
        <v>62</v>
      </c>
      <c r="C140" s="304">
        <f>+C141+C142+C143+C144</f>
        <v>0</v>
      </c>
      <c r="D140" s="295">
        <f t="shared" si="6"/>
        <v>0</v>
      </c>
      <c r="E140" s="295">
        <f t="shared" si="7"/>
        <v>0</v>
      </c>
      <c r="F140" s="295">
        <f t="shared" si="8"/>
        <v>0</v>
      </c>
    </row>
    <row r="141" spans="1:6" ht="12" customHeight="1">
      <c r="A141" s="13" t="s">
        <v>657</v>
      </c>
      <c r="B141" s="7" t="s">
        <v>63</v>
      </c>
      <c r="C141" s="269"/>
      <c r="D141" s="965">
        <f t="shared" si="6"/>
        <v>0</v>
      </c>
      <c r="E141" s="966">
        <f t="shared" si="7"/>
        <v>0</v>
      </c>
      <c r="F141" s="959">
        <f t="shared" si="8"/>
        <v>0</v>
      </c>
    </row>
    <row r="142" spans="1:6" ht="12" customHeight="1">
      <c r="A142" s="13" t="s">
        <v>658</v>
      </c>
      <c r="B142" s="7" t="s">
        <v>64</v>
      </c>
      <c r="C142" s="269"/>
      <c r="D142" s="967">
        <f t="shared" si="6"/>
        <v>0</v>
      </c>
      <c r="E142" s="968">
        <f t="shared" si="7"/>
        <v>0</v>
      </c>
      <c r="F142" s="962">
        <f t="shared" si="8"/>
        <v>0</v>
      </c>
    </row>
    <row r="143" spans="1:6" ht="12" customHeight="1">
      <c r="A143" s="13" t="s">
        <v>709</v>
      </c>
      <c r="B143" s="7" t="s">
        <v>65</v>
      </c>
      <c r="C143" s="269"/>
      <c r="D143" s="967">
        <f t="shared" si="6"/>
        <v>0</v>
      </c>
      <c r="E143" s="968">
        <f t="shared" si="7"/>
        <v>0</v>
      </c>
      <c r="F143" s="962">
        <f t="shared" si="8"/>
        <v>0</v>
      </c>
    </row>
    <row r="144" spans="1:6" ht="12" customHeight="1" thickBot="1">
      <c r="A144" s="13" t="s">
        <v>796</v>
      </c>
      <c r="B144" s="7" t="s">
        <v>66</v>
      </c>
      <c r="C144" s="269"/>
      <c r="D144" s="969">
        <f t="shared" si="6"/>
        <v>0</v>
      </c>
      <c r="E144" s="970">
        <f t="shared" si="7"/>
        <v>0</v>
      </c>
      <c r="F144" s="964">
        <f t="shared" si="8"/>
        <v>0</v>
      </c>
    </row>
    <row r="145" spans="1:9" ht="15" customHeight="1" thickBot="1">
      <c r="A145" s="18" t="s">
        <v>504</v>
      </c>
      <c r="B145" s="122" t="s">
        <v>67</v>
      </c>
      <c r="C145" s="414">
        <f>+C126+C130+C135+C140</f>
        <v>0</v>
      </c>
      <c r="D145" s="295">
        <f t="shared" si="6"/>
        <v>0</v>
      </c>
      <c r="E145" s="295">
        <f t="shared" si="7"/>
        <v>0</v>
      </c>
      <c r="F145" s="295">
        <f t="shared" si="8"/>
        <v>0</v>
      </c>
      <c r="G145" s="416"/>
      <c r="H145" s="416"/>
      <c r="I145" s="416"/>
    </row>
    <row r="146" spans="1:6" s="401" customFormat="1" ht="12.75" customHeight="1" thickBot="1">
      <c r="A146" s="294" t="s">
        <v>505</v>
      </c>
      <c r="B146" s="375" t="s">
        <v>68</v>
      </c>
      <c r="C146" s="414">
        <f>+C125+C145</f>
        <v>1317597984</v>
      </c>
      <c r="D146" s="295">
        <f t="shared" si="6"/>
        <v>1343949943.68</v>
      </c>
      <c r="E146" s="295">
        <f t="shared" si="7"/>
        <v>1370301903.3600001</v>
      </c>
      <c r="F146" s="295">
        <f t="shared" si="8"/>
        <v>1396653863.04</v>
      </c>
    </row>
    <row r="147" spans="4:6" ht="7.5" customHeight="1">
      <c r="D147" s="978">
        <f t="shared" si="6"/>
        <v>0</v>
      </c>
      <c r="E147" s="979"/>
      <c r="F147" s="979"/>
    </row>
    <row r="148" spans="1:6" ht="15.75">
      <c r="A148" s="1138" t="s">
        <v>70</v>
      </c>
      <c r="B148" s="1138"/>
      <c r="C148" s="1138"/>
      <c r="D148" s="980">
        <f t="shared" si="6"/>
        <v>0</v>
      </c>
      <c r="E148" s="417"/>
      <c r="F148" s="417"/>
    </row>
    <row r="149" spans="1:6" ht="15" customHeight="1" thickBot="1">
      <c r="A149" s="1135" t="s">
        <v>630</v>
      </c>
      <c r="B149" s="1135"/>
      <c r="C149" s="305"/>
      <c r="D149" s="305"/>
      <c r="E149" s="305"/>
      <c r="F149" s="305"/>
    </row>
    <row r="150" spans="1:6" ht="13.5" customHeight="1" thickBot="1">
      <c r="A150" s="18">
        <v>1</v>
      </c>
      <c r="B150" s="28" t="s">
        <v>71</v>
      </c>
      <c r="C150" s="296">
        <f>+C62-C125</f>
        <v>-494880000</v>
      </c>
      <c r="D150" s="296">
        <f>+D62-D125</f>
        <v>-504777600</v>
      </c>
      <c r="E150" s="296">
        <f>+E62-E125</f>
        <v>-514675200.0000001</v>
      </c>
      <c r="F150" s="296">
        <f>+F62-F125</f>
        <v>-524572799.9999999</v>
      </c>
    </row>
    <row r="151" spans="1:6" ht="18" customHeight="1" thickBot="1">
      <c r="A151" s="18" t="s">
        <v>497</v>
      </c>
      <c r="B151" s="28" t="s">
        <v>72</v>
      </c>
      <c r="C151" s="296">
        <f>+C85-C145</f>
        <v>494880000</v>
      </c>
      <c r="D151" s="296">
        <f>+D85-D145</f>
        <v>504777600</v>
      </c>
      <c r="E151" s="296">
        <f>+E85-E145</f>
        <v>514675200</v>
      </c>
      <c r="F151" s="296">
        <f>+F85-F145</f>
        <v>524572800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zoomScaleNormal="120" zoomScaleSheetLayoutView="100" workbookViewId="0" topLeftCell="C4">
      <selection activeCell="B132" sqref="B132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5" width="21.625" style="377" customWidth="1"/>
    <col min="6" max="16384" width="9.375" style="399" customWidth="1"/>
  </cols>
  <sheetData>
    <row r="1" spans="1:5" ht="15.75" customHeight="1">
      <c r="A1" s="1136" t="s">
        <v>493</v>
      </c>
      <c r="B1" s="1136"/>
      <c r="C1" s="1136"/>
      <c r="D1" s="399"/>
      <c r="E1" s="399"/>
    </row>
    <row r="2" spans="1:5" ht="15.75" customHeight="1" thickBot="1">
      <c r="A2" s="1135" t="s">
        <v>628</v>
      </c>
      <c r="B2" s="1135"/>
      <c r="C2" s="305"/>
      <c r="D2" s="305"/>
      <c r="E2" s="305"/>
    </row>
    <row r="3" spans="1:5" ht="37.5" customHeight="1" thickBot="1">
      <c r="A3" s="21" t="s">
        <v>549</v>
      </c>
      <c r="B3" s="22" t="s">
        <v>495</v>
      </c>
      <c r="C3" s="37" t="s">
        <v>401</v>
      </c>
      <c r="D3" s="37" t="s">
        <v>864</v>
      </c>
      <c r="E3" s="37" t="s">
        <v>891</v>
      </c>
    </row>
    <row r="4" spans="1:5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</row>
    <row r="5" spans="1:5" s="401" customFormat="1" ht="12" customHeight="1" thickBot="1">
      <c r="A5" s="18" t="s">
        <v>496</v>
      </c>
      <c r="B5" s="19" t="s">
        <v>737</v>
      </c>
      <c r="C5" s="296">
        <f>+C6+C7+C8+C9+C10+C11</f>
        <v>0</v>
      </c>
      <c r="D5" s="296">
        <f>+D6+D7+D8+D9+D10+D11</f>
        <v>0</v>
      </c>
      <c r="E5" s="296">
        <f>+E6+E7+E8+E9+E10+E11</f>
        <v>0</v>
      </c>
    </row>
    <row r="6" spans="1:5" s="401" customFormat="1" ht="12" customHeight="1">
      <c r="A6" s="13" t="s">
        <v>579</v>
      </c>
      <c r="B6" s="402" t="s">
        <v>738</v>
      </c>
      <c r="C6" s="299"/>
      <c r="D6" s="299"/>
      <c r="E6" s="299"/>
    </row>
    <row r="7" spans="1:5" s="401" customFormat="1" ht="12" customHeight="1">
      <c r="A7" s="12" t="s">
        <v>580</v>
      </c>
      <c r="B7" s="403" t="s">
        <v>739</v>
      </c>
      <c r="C7" s="298"/>
      <c r="D7" s="298"/>
      <c r="E7" s="298"/>
    </row>
    <row r="8" spans="1:5" s="401" customFormat="1" ht="12" customHeight="1">
      <c r="A8" s="12" t="s">
        <v>581</v>
      </c>
      <c r="B8" s="403" t="s">
        <v>740</v>
      </c>
      <c r="C8" s="298"/>
      <c r="D8" s="298"/>
      <c r="E8" s="298"/>
    </row>
    <row r="9" spans="1:5" s="401" customFormat="1" ht="12" customHeight="1">
      <c r="A9" s="12" t="s">
        <v>582</v>
      </c>
      <c r="B9" s="403" t="s">
        <v>741</v>
      </c>
      <c r="C9" s="298"/>
      <c r="D9" s="298"/>
      <c r="E9" s="298"/>
    </row>
    <row r="10" spans="1:5" s="401" customFormat="1" ht="12" customHeight="1">
      <c r="A10" s="12" t="s">
        <v>624</v>
      </c>
      <c r="B10" s="403" t="s">
        <v>742</v>
      </c>
      <c r="C10" s="298"/>
      <c r="D10" s="298"/>
      <c r="E10" s="298"/>
    </row>
    <row r="11" spans="1:5" s="401" customFormat="1" ht="12" customHeight="1" thickBot="1">
      <c r="A11" s="14" t="s">
        <v>583</v>
      </c>
      <c r="B11" s="404" t="s">
        <v>743</v>
      </c>
      <c r="C11" s="298"/>
      <c r="D11" s="298"/>
      <c r="E11" s="298"/>
    </row>
    <row r="12" spans="1:5" s="401" customFormat="1" ht="12" customHeight="1" thickBot="1">
      <c r="A12" s="18" t="s">
        <v>497</v>
      </c>
      <c r="B12" s="291" t="s">
        <v>744</v>
      </c>
      <c r="C12" s="296">
        <f>+C13+C14+C15+C16+C17</f>
        <v>0</v>
      </c>
      <c r="D12" s="296">
        <f>+D13+D14+D15+D16+D17</f>
        <v>0</v>
      </c>
      <c r="E12" s="296">
        <f>+E13+E14+E15+E16+E17</f>
        <v>0</v>
      </c>
    </row>
    <row r="13" spans="1:5" s="401" customFormat="1" ht="12" customHeight="1">
      <c r="A13" s="13" t="s">
        <v>585</v>
      </c>
      <c r="B13" s="402" t="s">
        <v>745</v>
      </c>
      <c r="C13" s="299"/>
      <c r="D13" s="299"/>
      <c r="E13" s="299"/>
    </row>
    <row r="14" spans="1:5" s="401" customFormat="1" ht="12" customHeight="1">
      <c r="A14" s="12" t="s">
        <v>586</v>
      </c>
      <c r="B14" s="403" t="s">
        <v>746</v>
      </c>
      <c r="C14" s="298"/>
      <c r="D14" s="298"/>
      <c r="E14" s="298"/>
    </row>
    <row r="15" spans="1:5" s="401" customFormat="1" ht="12" customHeight="1">
      <c r="A15" s="12" t="s">
        <v>587</v>
      </c>
      <c r="B15" s="403" t="s">
        <v>149</v>
      </c>
      <c r="C15" s="298"/>
      <c r="D15" s="298"/>
      <c r="E15" s="298"/>
    </row>
    <row r="16" spans="1:5" s="401" customFormat="1" ht="12" customHeight="1">
      <c r="A16" s="12" t="s">
        <v>588</v>
      </c>
      <c r="B16" s="403" t="s">
        <v>150</v>
      </c>
      <c r="C16" s="298"/>
      <c r="D16" s="298"/>
      <c r="E16" s="298"/>
    </row>
    <row r="17" spans="1:5" s="401" customFormat="1" ht="12" customHeight="1">
      <c r="A17" s="12" t="s">
        <v>589</v>
      </c>
      <c r="B17" s="403" t="s">
        <v>747</v>
      </c>
      <c r="C17" s="298"/>
      <c r="D17" s="298"/>
      <c r="E17" s="298"/>
    </row>
    <row r="18" spans="1:5" s="401" customFormat="1" ht="12" customHeight="1" thickBot="1">
      <c r="A18" s="14" t="s">
        <v>598</v>
      </c>
      <c r="B18" s="404" t="s">
        <v>748</v>
      </c>
      <c r="C18" s="300"/>
      <c r="D18" s="300"/>
      <c r="E18" s="300"/>
    </row>
    <row r="19" spans="1:5" s="401" customFormat="1" ht="12" customHeight="1" thickBot="1">
      <c r="A19" s="18" t="s">
        <v>498</v>
      </c>
      <c r="B19" s="19" t="s">
        <v>749</v>
      </c>
      <c r="C19" s="296">
        <f>+C20+C21+C22+C23+C24</f>
        <v>0</v>
      </c>
      <c r="D19" s="296">
        <f>+D20+D21+D22+D23+D24</f>
        <v>0</v>
      </c>
      <c r="E19" s="296">
        <f>+E20+E21+E22+E23+E24</f>
        <v>0</v>
      </c>
    </row>
    <row r="20" spans="1:5" s="401" customFormat="1" ht="12" customHeight="1">
      <c r="A20" s="13" t="s">
        <v>568</v>
      </c>
      <c r="B20" s="402" t="s">
        <v>750</v>
      </c>
      <c r="C20" s="299"/>
      <c r="D20" s="299"/>
      <c r="E20" s="299"/>
    </row>
    <row r="21" spans="1:5" s="401" customFormat="1" ht="12" customHeight="1">
      <c r="A21" s="12" t="s">
        <v>569</v>
      </c>
      <c r="B21" s="403" t="s">
        <v>751</v>
      </c>
      <c r="C21" s="298"/>
      <c r="D21" s="298"/>
      <c r="E21" s="298"/>
    </row>
    <row r="22" spans="1:5" s="401" customFormat="1" ht="12" customHeight="1">
      <c r="A22" s="12" t="s">
        <v>570</v>
      </c>
      <c r="B22" s="403" t="s">
        <v>151</v>
      </c>
      <c r="C22" s="298"/>
      <c r="D22" s="298"/>
      <c r="E22" s="298"/>
    </row>
    <row r="23" spans="1:5" s="401" customFormat="1" ht="12" customHeight="1">
      <c r="A23" s="12" t="s">
        <v>571</v>
      </c>
      <c r="B23" s="403" t="s">
        <v>152</v>
      </c>
      <c r="C23" s="298"/>
      <c r="D23" s="298"/>
      <c r="E23" s="298"/>
    </row>
    <row r="24" spans="1:5" s="401" customFormat="1" ht="12" customHeight="1">
      <c r="A24" s="12" t="s">
        <v>647</v>
      </c>
      <c r="B24" s="403" t="s">
        <v>752</v>
      </c>
      <c r="C24" s="298"/>
      <c r="D24" s="298"/>
      <c r="E24" s="298"/>
    </row>
    <row r="25" spans="1:5" s="401" customFormat="1" ht="12" customHeight="1" thickBot="1">
      <c r="A25" s="14" t="s">
        <v>648</v>
      </c>
      <c r="B25" s="404" t="s">
        <v>753</v>
      </c>
      <c r="C25" s="300"/>
      <c r="D25" s="300"/>
      <c r="E25" s="300"/>
    </row>
    <row r="26" spans="1:5" s="401" customFormat="1" ht="12" customHeight="1" thickBot="1">
      <c r="A26" s="18" t="s">
        <v>649</v>
      </c>
      <c r="B26" s="19" t="s">
        <v>754</v>
      </c>
      <c r="C26" s="302">
        <f>+C27+C30+C31+C32</f>
        <v>0</v>
      </c>
      <c r="D26" s="302">
        <f>+D27+D30+D31+D32</f>
        <v>0</v>
      </c>
      <c r="E26" s="302">
        <f>+E27+E30+E31+E32</f>
        <v>0</v>
      </c>
    </row>
    <row r="27" spans="1:5" s="401" customFormat="1" ht="12" customHeight="1">
      <c r="A27" s="13" t="s">
        <v>755</v>
      </c>
      <c r="B27" s="402" t="s">
        <v>761</v>
      </c>
      <c r="C27" s="397">
        <f>+C28+C29</f>
        <v>0</v>
      </c>
      <c r="D27" s="397">
        <f>+D28+D29</f>
        <v>0</v>
      </c>
      <c r="E27" s="397">
        <f>+E28+E29</f>
        <v>0</v>
      </c>
    </row>
    <row r="28" spans="1:5" s="401" customFormat="1" ht="12" customHeight="1">
      <c r="A28" s="12" t="s">
        <v>756</v>
      </c>
      <c r="B28" s="403" t="s">
        <v>762</v>
      </c>
      <c r="C28" s="298"/>
      <c r="D28" s="298"/>
      <c r="E28" s="298"/>
    </row>
    <row r="29" spans="1:5" s="401" customFormat="1" ht="12" customHeight="1">
      <c r="A29" s="12" t="s">
        <v>757</v>
      </c>
      <c r="B29" s="403" t="s">
        <v>763</v>
      </c>
      <c r="C29" s="298"/>
      <c r="D29" s="298"/>
      <c r="E29" s="298"/>
    </row>
    <row r="30" spans="1:5" s="401" customFormat="1" ht="12" customHeight="1">
      <c r="A30" s="12" t="s">
        <v>758</v>
      </c>
      <c r="B30" s="403" t="s">
        <v>764</v>
      </c>
      <c r="C30" s="298"/>
      <c r="D30" s="298"/>
      <c r="E30" s="298"/>
    </row>
    <row r="31" spans="1:5" s="401" customFormat="1" ht="12" customHeight="1">
      <c r="A31" s="12" t="s">
        <v>759</v>
      </c>
      <c r="B31" s="403" t="s">
        <v>765</v>
      </c>
      <c r="C31" s="298"/>
      <c r="D31" s="298"/>
      <c r="E31" s="298"/>
    </row>
    <row r="32" spans="1:5" s="401" customFormat="1" ht="12" customHeight="1" thickBot="1">
      <c r="A32" s="14" t="s">
        <v>760</v>
      </c>
      <c r="B32" s="404" t="s">
        <v>766</v>
      </c>
      <c r="C32" s="300"/>
      <c r="D32" s="300"/>
      <c r="E32" s="300"/>
    </row>
    <row r="33" spans="1:5" s="401" customFormat="1" ht="12" customHeight="1" thickBot="1">
      <c r="A33" s="18" t="s">
        <v>500</v>
      </c>
      <c r="B33" s="19" t="s">
        <v>767</v>
      </c>
      <c r="C33" s="296">
        <f>SUM(C34:C43)</f>
        <v>3450000</v>
      </c>
      <c r="D33" s="296">
        <f>SUM(D34:D43)</f>
        <v>3450000</v>
      </c>
      <c r="E33" s="296">
        <f>SUM(E34:E43)</f>
        <v>3450000</v>
      </c>
    </row>
    <row r="34" spans="1:5" s="401" customFormat="1" ht="12" customHeight="1">
      <c r="A34" s="13" t="s">
        <v>572</v>
      </c>
      <c r="B34" s="402" t="s">
        <v>770</v>
      </c>
      <c r="C34" s="299"/>
      <c r="D34" s="299"/>
      <c r="E34" s="299"/>
    </row>
    <row r="35" spans="1:5" s="401" customFormat="1" ht="12" customHeight="1">
      <c r="A35" s="12" t="s">
        <v>573</v>
      </c>
      <c r="B35" s="403" t="s">
        <v>771</v>
      </c>
      <c r="C35" s="298">
        <v>3450000</v>
      </c>
      <c r="D35" s="298">
        <v>3450000</v>
      </c>
      <c r="E35" s="298">
        <v>3450000</v>
      </c>
    </row>
    <row r="36" spans="1:5" s="401" customFormat="1" ht="12" customHeight="1">
      <c r="A36" s="12" t="s">
        <v>574</v>
      </c>
      <c r="B36" s="403" t="s">
        <v>772</v>
      </c>
      <c r="C36" s="298"/>
      <c r="D36" s="298"/>
      <c r="E36" s="298"/>
    </row>
    <row r="37" spans="1:5" s="401" customFormat="1" ht="12" customHeight="1">
      <c r="A37" s="12" t="s">
        <v>651</v>
      </c>
      <c r="B37" s="403" t="s">
        <v>773</v>
      </c>
      <c r="C37" s="298"/>
      <c r="D37" s="298"/>
      <c r="E37" s="298"/>
    </row>
    <row r="38" spans="1:5" s="401" customFormat="1" ht="12" customHeight="1">
      <c r="A38" s="12" t="s">
        <v>652</v>
      </c>
      <c r="B38" s="403" t="s">
        <v>774</v>
      </c>
      <c r="C38" s="298"/>
      <c r="D38" s="298"/>
      <c r="E38" s="298"/>
    </row>
    <row r="39" spans="1:5" s="401" customFormat="1" ht="12" customHeight="1">
      <c r="A39" s="12" t="s">
        <v>653</v>
      </c>
      <c r="B39" s="403" t="s">
        <v>775</v>
      </c>
      <c r="C39" s="298"/>
      <c r="D39" s="298"/>
      <c r="E39" s="298"/>
    </row>
    <row r="40" spans="1:5" s="401" customFormat="1" ht="12" customHeight="1">
      <c r="A40" s="12" t="s">
        <v>654</v>
      </c>
      <c r="B40" s="403" t="s">
        <v>776</v>
      </c>
      <c r="C40" s="298"/>
      <c r="D40" s="298"/>
      <c r="E40" s="298"/>
    </row>
    <row r="41" spans="1:5" s="401" customFormat="1" ht="12" customHeight="1">
      <c r="A41" s="12" t="s">
        <v>655</v>
      </c>
      <c r="B41" s="403" t="s">
        <v>777</v>
      </c>
      <c r="C41" s="298"/>
      <c r="D41" s="298"/>
      <c r="E41" s="298"/>
    </row>
    <row r="42" spans="1:5" s="401" customFormat="1" ht="12" customHeight="1">
      <c r="A42" s="12" t="s">
        <v>768</v>
      </c>
      <c r="B42" s="403" t="s">
        <v>778</v>
      </c>
      <c r="C42" s="301"/>
      <c r="D42" s="301"/>
      <c r="E42" s="301"/>
    </row>
    <row r="43" spans="1:5" s="401" customFormat="1" ht="12" customHeight="1" thickBot="1">
      <c r="A43" s="14" t="s">
        <v>769</v>
      </c>
      <c r="B43" s="404" t="s">
        <v>779</v>
      </c>
      <c r="C43" s="391"/>
      <c r="D43" s="391"/>
      <c r="E43" s="391"/>
    </row>
    <row r="44" spans="1:5" s="401" customFormat="1" ht="12" customHeight="1" thickBot="1">
      <c r="A44" s="18" t="s">
        <v>501</v>
      </c>
      <c r="B44" s="19" t="s">
        <v>780</v>
      </c>
      <c r="C44" s="296">
        <f>SUM(C45:C49)</f>
        <v>0</v>
      </c>
      <c r="D44" s="296">
        <f>SUM(D45:D49)</f>
        <v>0</v>
      </c>
      <c r="E44" s="296">
        <f>SUM(E45:E49)</f>
        <v>0</v>
      </c>
    </row>
    <row r="45" spans="1:5" s="401" customFormat="1" ht="12" customHeight="1">
      <c r="A45" s="13" t="s">
        <v>575</v>
      </c>
      <c r="B45" s="402" t="s">
        <v>784</v>
      </c>
      <c r="C45" s="446"/>
      <c r="D45" s="446"/>
      <c r="E45" s="446"/>
    </row>
    <row r="46" spans="1:5" s="401" customFormat="1" ht="12" customHeight="1">
      <c r="A46" s="12" t="s">
        <v>576</v>
      </c>
      <c r="B46" s="403" t="s">
        <v>785</v>
      </c>
      <c r="C46" s="301"/>
      <c r="D46" s="301"/>
      <c r="E46" s="301"/>
    </row>
    <row r="47" spans="1:5" s="401" customFormat="1" ht="12" customHeight="1">
      <c r="A47" s="12" t="s">
        <v>781</v>
      </c>
      <c r="B47" s="403" t="s">
        <v>786</v>
      </c>
      <c r="C47" s="301"/>
      <c r="D47" s="301"/>
      <c r="E47" s="301"/>
    </row>
    <row r="48" spans="1:5" s="401" customFormat="1" ht="12" customHeight="1">
      <c r="A48" s="12" t="s">
        <v>782</v>
      </c>
      <c r="B48" s="403" t="s">
        <v>787</v>
      </c>
      <c r="C48" s="301"/>
      <c r="D48" s="301"/>
      <c r="E48" s="301"/>
    </row>
    <row r="49" spans="1:5" s="401" customFormat="1" ht="12" customHeight="1" thickBot="1">
      <c r="A49" s="14" t="s">
        <v>783</v>
      </c>
      <c r="B49" s="404" t="s">
        <v>788</v>
      </c>
      <c r="C49" s="391"/>
      <c r="D49" s="391"/>
      <c r="E49" s="391"/>
    </row>
    <row r="50" spans="1:5" s="401" customFormat="1" ht="12" customHeight="1" thickBot="1">
      <c r="A50" s="18" t="s">
        <v>656</v>
      </c>
      <c r="B50" s="19" t="s">
        <v>789</v>
      </c>
      <c r="C50" s="296">
        <f>SUM(C51:C53)</f>
        <v>0</v>
      </c>
      <c r="D50" s="296">
        <f>SUM(D51:D53)</f>
        <v>0</v>
      </c>
      <c r="E50" s="296">
        <f>SUM(E51:E53)</f>
        <v>0</v>
      </c>
    </row>
    <row r="51" spans="1:5" s="401" customFormat="1" ht="12" customHeight="1">
      <c r="A51" s="13" t="s">
        <v>577</v>
      </c>
      <c r="B51" s="402" t="s">
        <v>790</v>
      </c>
      <c r="C51" s="299"/>
      <c r="D51" s="299"/>
      <c r="E51" s="299"/>
    </row>
    <row r="52" spans="1:5" s="401" customFormat="1" ht="12" customHeight="1">
      <c r="A52" s="12" t="s">
        <v>578</v>
      </c>
      <c r="B52" s="403" t="s">
        <v>153</v>
      </c>
      <c r="C52" s="298"/>
      <c r="D52" s="298"/>
      <c r="E52" s="298"/>
    </row>
    <row r="53" spans="1:5" s="401" customFormat="1" ht="12" customHeight="1">
      <c r="A53" s="12" t="s">
        <v>793</v>
      </c>
      <c r="B53" s="403" t="s">
        <v>791</v>
      </c>
      <c r="C53" s="298"/>
      <c r="D53" s="298"/>
      <c r="E53" s="298"/>
    </row>
    <row r="54" spans="1:5" s="401" customFormat="1" ht="12" customHeight="1" thickBot="1">
      <c r="A54" s="14" t="s">
        <v>794</v>
      </c>
      <c r="B54" s="404" t="s">
        <v>792</v>
      </c>
      <c r="C54" s="300"/>
      <c r="D54" s="300"/>
      <c r="E54" s="300"/>
    </row>
    <row r="55" spans="1:5" s="401" customFormat="1" ht="12" customHeight="1" thickBot="1">
      <c r="A55" s="18" t="s">
        <v>503</v>
      </c>
      <c r="B55" s="291" t="s">
        <v>795</v>
      </c>
      <c r="C55" s="296">
        <f>SUM(C56:C58)</f>
        <v>0</v>
      </c>
      <c r="D55" s="296">
        <f>SUM(D56:D58)</f>
        <v>0</v>
      </c>
      <c r="E55" s="296">
        <f>SUM(E56:E58)</f>
        <v>0</v>
      </c>
    </row>
    <row r="56" spans="1:5" s="401" customFormat="1" ht="12" customHeight="1">
      <c r="A56" s="13" t="s">
        <v>657</v>
      </c>
      <c r="B56" s="402" t="s">
        <v>797</v>
      </c>
      <c r="C56" s="301"/>
      <c r="D56" s="301"/>
      <c r="E56" s="301"/>
    </row>
    <row r="57" spans="1:5" s="401" customFormat="1" ht="12" customHeight="1">
      <c r="A57" s="12" t="s">
        <v>658</v>
      </c>
      <c r="B57" s="403" t="s">
        <v>154</v>
      </c>
      <c r="C57" s="301"/>
      <c r="D57" s="301"/>
      <c r="E57" s="301"/>
    </row>
    <row r="58" spans="1:5" s="401" customFormat="1" ht="12" customHeight="1">
      <c r="A58" s="12" t="s">
        <v>709</v>
      </c>
      <c r="B58" s="403" t="s">
        <v>798</v>
      </c>
      <c r="C58" s="301"/>
      <c r="D58" s="301"/>
      <c r="E58" s="301"/>
    </row>
    <row r="59" spans="1:5" s="401" customFormat="1" ht="12" customHeight="1" thickBot="1">
      <c r="A59" s="14" t="s">
        <v>796</v>
      </c>
      <c r="B59" s="404" t="s">
        <v>799</v>
      </c>
      <c r="C59" s="301"/>
      <c r="D59" s="301"/>
      <c r="E59" s="301"/>
    </row>
    <row r="60" spans="1:5" s="401" customFormat="1" ht="12" customHeight="1" thickBot="1">
      <c r="A60" s="18" t="s">
        <v>504</v>
      </c>
      <c r="B60" s="19" t="s">
        <v>800</v>
      </c>
      <c r="C60" s="302">
        <f>+C5+C12+C19+C26+C33+C44+C50+C55</f>
        <v>3450000</v>
      </c>
      <c r="D60" s="302">
        <f>+D5+D12+D19+D26+D33+D44+D50+D55</f>
        <v>3450000</v>
      </c>
      <c r="E60" s="302">
        <f>+E5+E12+E19+E26+E33+E44+E50+E55</f>
        <v>3450000</v>
      </c>
    </row>
    <row r="61" spans="1:5" s="401" customFormat="1" ht="12" customHeight="1" thickBot="1">
      <c r="A61" s="405" t="s">
        <v>801</v>
      </c>
      <c r="B61" s="291" t="s">
        <v>802</v>
      </c>
      <c r="C61" s="296">
        <f>SUM(C62:C64)</f>
        <v>0</v>
      </c>
      <c r="D61" s="296">
        <f>SUM(D62:D64)</f>
        <v>0</v>
      </c>
      <c r="E61" s="296">
        <f>SUM(E62:E64)</f>
        <v>0</v>
      </c>
    </row>
    <row r="62" spans="1:5" s="401" customFormat="1" ht="12" customHeight="1">
      <c r="A62" s="13" t="s">
        <v>12</v>
      </c>
      <c r="B62" s="402" t="s">
        <v>803</v>
      </c>
      <c r="C62" s="301"/>
      <c r="D62" s="301"/>
      <c r="E62" s="301"/>
    </row>
    <row r="63" spans="1:5" s="401" customFormat="1" ht="12" customHeight="1">
      <c r="A63" s="12" t="s">
        <v>21</v>
      </c>
      <c r="B63" s="403" t="s">
        <v>804</v>
      </c>
      <c r="C63" s="301"/>
      <c r="D63" s="301"/>
      <c r="E63" s="301"/>
    </row>
    <row r="64" spans="1:5" s="401" customFormat="1" ht="12" customHeight="1" thickBot="1">
      <c r="A64" s="14" t="s">
        <v>22</v>
      </c>
      <c r="B64" s="406" t="s">
        <v>805</v>
      </c>
      <c r="C64" s="301"/>
      <c r="D64" s="301"/>
      <c r="E64" s="301"/>
    </row>
    <row r="65" spans="1:5" s="401" customFormat="1" ht="12" customHeight="1" thickBot="1">
      <c r="A65" s="405" t="s">
        <v>806</v>
      </c>
      <c r="B65" s="291" t="s">
        <v>807</v>
      </c>
      <c r="C65" s="296">
        <f>SUM(C66:C69)</f>
        <v>0</v>
      </c>
      <c r="D65" s="296">
        <f>SUM(D66:D69)</f>
        <v>0</v>
      </c>
      <c r="E65" s="296">
        <f>SUM(E66:E69)</f>
        <v>0</v>
      </c>
    </row>
    <row r="66" spans="1:5" s="401" customFormat="1" ht="12" customHeight="1">
      <c r="A66" s="13" t="s">
        <v>625</v>
      </c>
      <c r="B66" s="402" t="s">
        <v>808</v>
      </c>
      <c r="C66" s="301"/>
      <c r="D66" s="301"/>
      <c r="E66" s="301"/>
    </row>
    <row r="67" spans="1:5" s="401" customFormat="1" ht="12" customHeight="1">
      <c r="A67" s="12" t="s">
        <v>626</v>
      </c>
      <c r="B67" s="403" t="s">
        <v>809</v>
      </c>
      <c r="C67" s="301"/>
      <c r="D67" s="301"/>
      <c r="E67" s="301"/>
    </row>
    <row r="68" spans="1:5" s="401" customFormat="1" ht="12" customHeight="1">
      <c r="A68" s="12" t="s">
        <v>13</v>
      </c>
      <c r="B68" s="403" t="s">
        <v>810</v>
      </c>
      <c r="C68" s="301"/>
      <c r="D68" s="301"/>
      <c r="E68" s="301"/>
    </row>
    <row r="69" spans="1:5" s="401" customFormat="1" ht="12" customHeight="1" thickBot="1">
      <c r="A69" s="14" t="s">
        <v>14</v>
      </c>
      <c r="B69" s="404" t="s">
        <v>811</v>
      </c>
      <c r="C69" s="301"/>
      <c r="D69" s="301"/>
      <c r="E69" s="301"/>
    </row>
    <row r="70" spans="1:5" s="401" customFormat="1" ht="12" customHeight="1" thickBot="1">
      <c r="A70" s="405" t="s">
        <v>812</v>
      </c>
      <c r="B70" s="291" t="s">
        <v>813</v>
      </c>
      <c r="C70" s="296">
        <f>SUM(C71:C72)</f>
        <v>0</v>
      </c>
      <c r="D70" s="296">
        <f>SUM(D71:D72)</f>
        <v>0</v>
      </c>
      <c r="E70" s="296">
        <f>SUM(E71:E72)</f>
        <v>0</v>
      </c>
    </row>
    <row r="71" spans="1:5" s="401" customFormat="1" ht="12" customHeight="1">
      <c r="A71" s="13" t="s">
        <v>15</v>
      </c>
      <c r="B71" s="402" t="s">
        <v>814</v>
      </c>
      <c r="C71" s="301"/>
      <c r="D71" s="301"/>
      <c r="E71" s="301"/>
    </row>
    <row r="72" spans="1:5" s="401" customFormat="1" ht="12" customHeight="1" thickBot="1">
      <c r="A72" s="14" t="s">
        <v>16</v>
      </c>
      <c r="B72" s="404" t="s">
        <v>815</v>
      </c>
      <c r="C72" s="301"/>
      <c r="D72" s="301"/>
      <c r="E72" s="301"/>
    </row>
    <row r="73" spans="1:5" s="401" customFormat="1" ht="12" customHeight="1" thickBot="1">
      <c r="A73" s="405" t="s">
        <v>816</v>
      </c>
      <c r="B73" s="291" t="s">
        <v>817</v>
      </c>
      <c r="C73" s="296">
        <f>SUM(C74:C76)</f>
        <v>0</v>
      </c>
      <c r="D73" s="296">
        <f>SUM(D74:D76)</f>
        <v>0</v>
      </c>
      <c r="E73" s="296">
        <f>SUM(E74:E76)</f>
        <v>0</v>
      </c>
    </row>
    <row r="74" spans="1:5" s="401" customFormat="1" ht="12" customHeight="1">
      <c r="A74" s="13" t="s">
        <v>17</v>
      </c>
      <c r="B74" s="402" t="s">
        <v>818</v>
      </c>
      <c r="C74" s="301"/>
      <c r="D74" s="301"/>
      <c r="E74" s="301"/>
    </row>
    <row r="75" spans="1:5" s="401" customFormat="1" ht="12" customHeight="1">
      <c r="A75" s="12" t="s">
        <v>18</v>
      </c>
      <c r="B75" s="403" t="s">
        <v>819</v>
      </c>
      <c r="C75" s="301"/>
      <c r="D75" s="301"/>
      <c r="E75" s="301"/>
    </row>
    <row r="76" spans="1:5" s="401" customFormat="1" ht="12" customHeight="1" thickBot="1">
      <c r="A76" s="14" t="s">
        <v>19</v>
      </c>
      <c r="B76" s="404" t="s">
        <v>820</v>
      </c>
      <c r="C76" s="301"/>
      <c r="D76" s="301"/>
      <c r="E76" s="301"/>
    </row>
    <row r="77" spans="1:5" s="401" customFormat="1" ht="12" customHeight="1" thickBot="1">
      <c r="A77" s="405" t="s">
        <v>821</v>
      </c>
      <c r="B77" s="291" t="s">
        <v>20</v>
      </c>
      <c r="C77" s="296">
        <f>SUM(C78:C81)</f>
        <v>0</v>
      </c>
      <c r="D77" s="296">
        <f>SUM(D78:D81)</f>
        <v>0</v>
      </c>
      <c r="E77" s="296">
        <f>SUM(E78:E81)</f>
        <v>0</v>
      </c>
    </row>
    <row r="78" spans="1:5" s="401" customFormat="1" ht="12" customHeight="1">
      <c r="A78" s="407" t="s">
        <v>822</v>
      </c>
      <c r="B78" s="402" t="s">
        <v>0</v>
      </c>
      <c r="C78" s="301"/>
      <c r="D78" s="301"/>
      <c r="E78" s="301"/>
    </row>
    <row r="79" spans="1:5" s="401" customFormat="1" ht="12" customHeight="1">
      <c r="A79" s="408" t="s">
        <v>1</v>
      </c>
      <c r="B79" s="403" t="s">
        <v>2</v>
      </c>
      <c r="C79" s="301"/>
      <c r="D79" s="301"/>
      <c r="E79" s="301"/>
    </row>
    <row r="80" spans="1:5" s="401" customFormat="1" ht="12" customHeight="1">
      <c r="A80" s="408" t="s">
        <v>3</v>
      </c>
      <c r="B80" s="403" t="s">
        <v>4</v>
      </c>
      <c r="C80" s="301"/>
      <c r="D80" s="301"/>
      <c r="E80" s="301"/>
    </row>
    <row r="81" spans="1:5" s="401" customFormat="1" ht="12" customHeight="1" thickBot="1">
      <c r="A81" s="409" t="s">
        <v>5</v>
      </c>
      <c r="B81" s="404" t="s">
        <v>6</v>
      </c>
      <c r="C81" s="301"/>
      <c r="D81" s="301"/>
      <c r="E81" s="301"/>
    </row>
    <row r="82" spans="1:5" s="401" customFormat="1" ht="13.5" customHeight="1" thickBot="1">
      <c r="A82" s="405" t="s">
        <v>7</v>
      </c>
      <c r="B82" s="291" t="s">
        <v>8</v>
      </c>
      <c r="C82" s="447"/>
      <c r="D82" s="447"/>
      <c r="E82" s="447"/>
    </row>
    <row r="83" spans="1:5" s="401" customFormat="1" ht="15.75" customHeight="1" thickBot="1">
      <c r="A83" s="405" t="s">
        <v>9</v>
      </c>
      <c r="B83" s="410" t="s">
        <v>10</v>
      </c>
      <c r="C83" s="302">
        <f>+C61+C65+C70+C73+C77+C82</f>
        <v>0</v>
      </c>
      <c r="D83" s="302">
        <f>+D61+D65+D70+D73+D77+D82</f>
        <v>0</v>
      </c>
      <c r="E83" s="302">
        <f>+E61+E65+E70+E73+E77+E82</f>
        <v>0</v>
      </c>
    </row>
    <row r="84" spans="1:5" s="401" customFormat="1" ht="16.5" customHeight="1" thickBot="1">
      <c r="A84" s="411" t="s">
        <v>23</v>
      </c>
      <c r="B84" s="412" t="s">
        <v>11</v>
      </c>
      <c r="C84" s="302">
        <f>+C60+C83</f>
        <v>3450000</v>
      </c>
      <c r="D84" s="302">
        <f>+D60+D83</f>
        <v>3450000</v>
      </c>
      <c r="E84" s="302">
        <f>+E60+E83</f>
        <v>3450000</v>
      </c>
    </row>
    <row r="85" spans="1:5" ht="16.5" customHeight="1">
      <c r="A85" s="1136" t="s">
        <v>524</v>
      </c>
      <c r="B85" s="1136"/>
      <c r="C85" s="1136"/>
      <c r="D85" s="399"/>
      <c r="E85" s="399"/>
    </row>
    <row r="86" spans="1:5" s="413" customFormat="1" ht="16.5" customHeight="1" thickBot="1">
      <c r="A86" s="1137" t="s">
        <v>629</v>
      </c>
      <c r="B86" s="1137"/>
      <c r="C86" s="137"/>
      <c r="D86" s="137"/>
      <c r="E86" s="137"/>
    </row>
    <row r="87" spans="1:5" ht="37.5" customHeight="1" thickBot="1">
      <c r="A87" s="21" t="s">
        <v>549</v>
      </c>
      <c r="B87" s="22" t="s">
        <v>525</v>
      </c>
      <c r="C87" s="37" t="s">
        <v>401</v>
      </c>
      <c r="D87" s="37" t="s">
        <v>864</v>
      </c>
      <c r="E87" s="37" t="s">
        <v>864</v>
      </c>
    </row>
    <row r="88" spans="1:5" s="400" customFormat="1" ht="12" customHeight="1" thickBot="1">
      <c r="A88" s="30">
        <v>1</v>
      </c>
      <c r="B88" s="31">
        <v>2</v>
      </c>
      <c r="C88" s="32">
        <v>3</v>
      </c>
      <c r="D88" s="32">
        <v>3</v>
      </c>
      <c r="E88" s="32">
        <v>3</v>
      </c>
    </row>
    <row r="89" spans="1:5" ht="12" customHeight="1" thickBot="1">
      <c r="A89" s="20" t="s">
        <v>496</v>
      </c>
      <c r="B89" s="29" t="s">
        <v>26</v>
      </c>
      <c r="C89" s="295">
        <f>SUM(C90:C94)</f>
        <v>3450000</v>
      </c>
      <c r="D89" s="295">
        <f>SUM(D90:D94)</f>
        <v>3450000</v>
      </c>
      <c r="E89" s="295">
        <f>SUM(E90:E94)</f>
        <v>3450000</v>
      </c>
    </row>
    <row r="90" spans="1:5" ht="12" customHeight="1">
      <c r="A90" s="15" t="s">
        <v>579</v>
      </c>
      <c r="B90" s="8" t="s">
        <v>526</v>
      </c>
      <c r="C90" s="297"/>
      <c r="D90" s="297"/>
      <c r="E90" s="297"/>
    </row>
    <row r="91" spans="1:5" ht="12" customHeight="1">
      <c r="A91" s="12" t="s">
        <v>580</v>
      </c>
      <c r="B91" s="6" t="s">
        <v>659</v>
      </c>
      <c r="C91" s="298"/>
      <c r="D91" s="298"/>
      <c r="E91" s="298"/>
    </row>
    <row r="92" spans="1:5" ht="12" customHeight="1">
      <c r="A92" s="12" t="s">
        <v>581</v>
      </c>
      <c r="B92" s="6" t="s">
        <v>616</v>
      </c>
      <c r="C92" s="300"/>
      <c r="D92" s="300"/>
      <c r="E92" s="300"/>
    </row>
    <row r="93" spans="1:5" ht="12" customHeight="1">
      <c r="A93" s="12" t="s">
        <v>582</v>
      </c>
      <c r="B93" s="9" t="s">
        <v>660</v>
      </c>
      <c r="C93" s="300"/>
      <c r="D93" s="300"/>
      <c r="E93" s="300"/>
    </row>
    <row r="94" spans="1:5" ht="12" customHeight="1">
      <c r="A94" s="12" t="s">
        <v>593</v>
      </c>
      <c r="B94" s="17" t="s">
        <v>661</v>
      </c>
      <c r="C94" s="300">
        <v>3450000</v>
      </c>
      <c r="D94" s="300">
        <v>3450000</v>
      </c>
      <c r="E94" s="300">
        <v>3450000</v>
      </c>
    </row>
    <row r="95" spans="1:5" ht="12" customHeight="1">
      <c r="A95" s="12" t="s">
        <v>583</v>
      </c>
      <c r="B95" s="6" t="s">
        <v>27</v>
      </c>
      <c r="C95" s="300"/>
      <c r="D95" s="300"/>
      <c r="E95" s="300"/>
    </row>
    <row r="96" spans="1:5" ht="12" customHeight="1">
      <c r="A96" s="12" t="s">
        <v>584</v>
      </c>
      <c r="B96" s="139" t="s">
        <v>28</v>
      </c>
      <c r="C96" s="300"/>
      <c r="D96" s="300"/>
      <c r="E96" s="300"/>
    </row>
    <row r="97" spans="1:5" ht="12" customHeight="1">
      <c r="A97" s="12" t="s">
        <v>594</v>
      </c>
      <c r="B97" s="140" t="s">
        <v>29</v>
      </c>
      <c r="C97" s="300"/>
      <c r="D97" s="300"/>
      <c r="E97" s="300"/>
    </row>
    <row r="98" spans="1:5" ht="12" customHeight="1">
      <c r="A98" s="12" t="s">
        <v>595</v>
      </c>
      <c r="B98" s="140" t="s">
        <v>30</v>
      </c>
      <c r="C98" s="300"/>
      <c r="D98" s="300"/>
      <c r="E98" s="300"/>
    </row>
    <row r="99" spans="1:5" ht="12" customHeight="1">
      <c r="A99" s="12" t="s">
        <v>596</v>
      </c>
      <c r="B99" s="139" t="s">
        <v>31</v>
      </c>
      <c r="C99" s="300">
        <v>2000000</v>
      </c>
      <c r="D99" s="300">
        <v>2000000</v>
      </c>
      <c r="E99" s="300">
        <v>2000000</v>
      </c>
    </row>
    <row r="100" spans="1:5" ht="12" customHeight="1">
      <c r="A100" s="12" t="s">
        <v>597</v>
      </c>
      <c r="B100" s="139" t="s">
        <v>32</v>
      </c>
      <c r="C100" s="300"/>
      <c r="D100" s="300"/>
      <c r="E100" s="300"/>
    </row>
    <row r="101" spans="1:5" ht="12" customHeight="1">
      <c r="A101" s="12" t="s">
        <v>599</v>
      </c>
      <c r="B101" s="140" t="s">
        <v>33</v>
      </c>
      <c r="C101" s="300"/>
      <c r="D101" s="300"/>
      <c r="E101" s="300"/>
    </row>
    <row r="102" spans="1:5" ht="12" customHeight="1">
      <c r="A102" s="11" t="s">
        <v>662</v>
      </c>
      <c r="B102" s="141" t="s">
        <v>34</v>
      </c>
      <c r="C102" s="300"/>
      <c r="D102" s="300"/>
      <c r="E102" s="300"/>
    </row>
    <row r="103" spans="1:5" ht="12" customHeight="1">
      <c r="A103" s="12" t="s">
        <v>24</v>
      </c>
      <c r="B103" s="141" t="s">
        <v>35</v>
      </c>
      <c r="C103" s="300"/>
      <c r="D103" s="300"/>
      <c r="E103" s="300"/>
    </row>
    <row r="104" spans="1:5" ht="12" customHeight="1" thickBot="1">
      <c r="A104" s="16" t="s">
        <v>25</v>
      </c>
      <c r="B104" s="142" t="s">
        <v>36</v>
      </c>
      <c r="C104" s="303">
        <v>1450000</v>
      </c>
      <c r="D104" s="303">
        <v>1450000</v>
      </c>
      <c r="E104" s="303">
        <v>1450000</v>
      </c>
    </row>
    <row r="105" spans="1:5" ht="12" customHeight="1" thickBot="1">
      <c r="A105" s="18" t="s">
        <v>497</v>
      </c>
      <c r="B105" s="28" t="s">
        <v>37</v>
      </c>
      <c r="C105" s="296">
        <f>+C106+C108+C110</f>
        <v>0</v>
      </c>
      <c r="D105" s="296">
        <f>+D106+D108+D110</f>
        <v>0</v>
      </c>
      <c r="E105" s="296">
        <f>+E106+E108+E110</f>
        <v>0</v>
      </c>
    </row>
    <row r="106" spans="1:5" ht="12" customHeight="1">
      <c r="A106" s="13" t="s">
        <v>585</v>
      </c>
      <c r="B106" s="6" t="s">
        <v>708</v>
      </c>
      <c r="C106" s="299"/>
      <c r="D106" s="299"/>
      <c r="E106" s="299"/>
    </row>
    <row r="107" spans="1:5" ht="12" customHeight="1">
      <c r="A107" s="13" t="s">
        <v>586</v>
      </c>
      <c r="B107" s="10" t="s">
        <v>41</v>
      </c>
      <c r="C107" s="299"/>
      <c r="D107" s="299"/>
      <c r="E107" s="299"/>
    </row>
    <row r="108" spans="1:5" ht="12" customHeight="1">
      <c r="A108" s="13" t="s">
        <v>587</v>
      </c>
      <c r="B108" s="10" t="s">
        <v>663</v>
      </c>
      <c r="C108" s="298"/>
      <c r="D108" s="298"/>
      <c r="E108" s="298"/>
    </row>
    <row r="109" spans="1:5" ht="12" customHeight="1">
      <c r="A109" s="13" t="s">
        <v>588</v>
      </c>
      <c r="B109" s="10" t="s">
        <v>42</v>
      </c>
      <c r="C109" s="269"/>
      <c r="D109" s="269"/>
      <c r="E109" s="269"/>
    </row>
    <row r="110" spans="1:5" ht="12" customHeight="1">
      <c r="A110" s="13" t="s">
        <v>589</v>
      </c>
      <c r="B110" s="293" t="s">
        <v>710</v>
      </c>
      <c r="C110" s="269"/>
      <c r="D110" s="269"/>
      <c r="E110" s="269"/>
    </row>
    <row r="111" spans="1:5" ht="12" customHeight="1">
      <c r="A111" s="13" t="s">
        <v>598</v>
      </c>
      <c r="B111" s="292" t="s">
        <v>155</v>
      </c>
      <c r="C111" s="269"/>
      <c r="D111" s="269"/>
      <c r="E111" s="269"/>
    </row>
    <row r="112" spans="1:5" ht="12" customHeight="1">
      <c r="A112" s="13" t="s">
        <v>600</v>
      </c>
      <c r="B112" s="398" t="s">
        <v>47</v>
      </c>
      <c r="C112" s="269"/>
      <c r="D112" s="269"/>
      <c r="E112" s="269"/>
    </row>
    <row r="113" spans="1:5" ht="15.75">
      <c r="A113" s="13" t="s">
        <v>664</v>
      </c>
      <c r="B113" s="140" t="s">
        <v>30</v>
      </c>
      <c r="C113" s="269"/>
      <c r="D113" s="269"/>
      <c r="E113" s="269"/>
    </row>
    <row r="114" spans="1:5" ht="12" customHeight="1">
      <c r="A114" s="13" t="s">
        <v>665</v>
      </c>
      <c r="B114" s="140" t="s">
        <v>46</v>
      </c>
      <c r="C114" s="269"/>
      <c r="D114" s="269"/>
      <c r="E114" s="269"/>
    </row>
    <row r="115" spans="1:5" ht="12" customHeight="1">
      <c r="A115" s="13" t="s">
        <v>666</v>
      </c>
      <c r="B115" s="140" t="s">
        <v>45</v>
      </c>
      <c r="C115" s="269"/>
      <c r="D115" s="269"/>
      <c r="E115" s="269"/>
    </row>
    <row r="116" spans="1:5" ht="12" customHeight="1">
      <c r="A116" s="13" t="s">
        <v>38</v>
      </c>
      <c r="B116" s="140" t="s">
        <v>33</v>
      </c>
      <c r="C116" s="269"/>
      <c r="D116" s="269"/>
      <c r="E116" s="269"/>
    </row>
    <row r="117" spans="1:5" ht="12" customHeight="1">
      <c r="A117" s="13" t="s">
        <v>39</v>
      </c>
      <c r="B117" s="140" t="s">
        <v>44</v>
      </c>
      <c r="C117" s="269"/>
      <c r="D117" s="269"/>
      <c r="E117" s="269"/>
    </row>
    <row r="118" spans="1:5" ht="16.5" thickBot="1">
      <c r="A118" s="11" t="s">
        <v>40</v>
      </c>
      <c r="B118" s="140" t="s">
        <v>43</v>
      </c>
      <c r="C118" s="270"/>
      <c r="D118" s="270"/>
      <c r="E118" s="270"/>
    </row>
    <row r="119" spans="1:5" ht="12" customHeight="1" thickBot="1">
      <c r="A119" s="18" t="s">
        <v>498</v>
      </c>
      <c r="B119" s="122" t="s">
        <v>48</v>
      </c>
      <c r="C119" s="296">
        <f>+C120+C121</f>
        <v>0</v>
      </c>
      <c r="D119" s="296">
        <f>+D120+D121</f>
        <v>0</v>
      </c>
      <c r="E119" s="296">
        <f>+E120+E121</f>
        <v>0</v>
      </c>
    </row>
    <row r="120" spans="1:5" ht="12" customHeight="1">
      <c r="A120" s="13" t="s">
        <v>568</v>
      </c>
      <c r="B120" s="7" t="s">
        <v>537</v>
      </c>
      <c r="C120" s="299"/>
      <c r="D120" s="299"/>
      <c r="E120" s="299"/>
    </row>
    <row r="121" spans="1:5" ht="12" customHeight="1" thickBot="1">
      <c r="A121" s="14" t="s">
        <v>569</v>
      </c>
      <c r="B121" s="10" t="s">
        <v>538</v>
      </c>
      <c r="C121" s="300"/>
      <c r="D121" s="300"/>
      <c r="E121" s="300"/>
    </row>
    <row r="122" spans="1:5" ht="12" customHeight="1" thickBot="1">
      <c r="A122" s="18" t="s">
        <v>499</v>
      </c>
      <c r="B122" s="122" t="s">
        <v>49</v>
      </c>
      <c r="C122" s="296">
        <f>+C89+C105+C119</f>
        <v>3450000</v>
      </c>
      <c r="D122" s="296">
        <f>+D89+D105+D119</f>
        <v>3450000</v>
      </c>
      <c r="E122" s="296">
        <f>+E89+E105+E119</f>
        <v>3450000</v>
      </c>
    </row>
    <row r="123" spans="1:5" ht="12" customHeight="1" thickBot="1">
      <c r="A123" s="18" t="s">
        <v>500</v>
      </c>
      <c r="B123" s="122" t="s">
        <v>50</v>
      </c>
      <c r="C123" s="296">
        <f>+C124+C125+C126</f>
        <v>0</v>
      </c>
      <c r="D123" s="296">
        <f>+D124+D125+D126</f>
        <v>0</v>
      </c>
      <c r="E123" s="296">
        <f>+E124+E125+E126</f>
        <v>0</v>
      </c>
    </row>
    <row r="124" spans="1:5" ht="12" customHeight="1">
      <c r="A124" s="13" t="s">
        <v>572</v>
      </c>
      <c r="B124" s="7" t="s">
        <v>51</v>
      </c>
      <c r="C124" s="269"/>
      <c r="D124" s="269"/>
      <c r="E124" s="269"/>
    </row>
    <row r="125" spans="1:5" ht="12" customHeight="1">
      <c r="A125" s="13" t="s">
        <v>573</v>
      </c>
      <c r="B125" s="7" t="s">
        <v>52</v>
      </c>
      <c r="C125" s="269"/>
      <c r="D125" s="269"/>
      <c r="E125" s="269"/>
    </row>
    <row r="126" spans="1:5" ht="12" customHeight="1" thickBot="1">
      <c r="A126" s="11" t="s">
        <v>574</v>
      </c>
      <c r="B126" s="5" t="s">
        <v>53</v>
      </c>
      <c r="C126" s="269"/>
      <c r="D126" s="269"/>
      <c r="E126" s="269"/>
    </row>
    <row r="127" spans="1:5" ht="12" customHeight="1" thickBot="1">
      <c r="A127" s="18" t="s">
        <v>501</v>
      </c>
      <c r="B127" s="122" t="s">
        <v>114</v>
      </c>
      <c r="C127" s="296">
        <f>+C128+C129+C130+C131</f>
        <v>0</v>
      </c>
      <c r="D127" s="296">
        <f>+D128+D129+D130+D131</f>
        <v>0</v>
      </c>
      <c r="E127" s="296">
        <f>+E128+E129+E130+E131</f>
        <v>0</v>
      </c>
    </row>
    <row r="128" spans="1:5" ht="12" customHeight="1">
      <c r="A128" s="13" t="s">
        <v>575</v>
      </c>
      <c r="B128" s="7" t="s">
        <v>54</v>
      </c>
      <c r="C128" s="269"/>
      <c r="D128" s="269"/>
      <c r="E128" s="269"/>
    </row>
    <row r="129" spans="1:5" ht="12" customHeight="1">
      <c r="A129" s="13" t="s">
        <v>576</v>
      </c>
      <c r="B129" s="7" t="s">
        <v>55</v>
      </c>
      <c r="C129" s="269"/>
      <c r="D129" s="269"/>
      <c r="E129" s="269"/>
    </row>
    <row r="130" spans="1:5" ht="12" customHeight="1">
      <c r="A130" s="13" t="s">
        <v>781</v>
      </c>
      <c r="B130" s="7" t="s">
        <v>56</v>
      </c>
      <c r="C130" s="269"/>
      <c r="D130" s="269"/>
      <c r="E130" s="269"/>
    </row>
    <row r="131" spans="1:5" ht="12" customHeight="1" thickBot="1">
      <c r="A131" s="11" t="s">
        <v>782</v>
      </c>
      <c r="B131" s="5" t="s">
        <v>57</v>
      </c>
      <c r="C131" s="269"/>
      <c r="D131" s="269"/>
      <c r="E131" s="269"/>
    </row>
    <row r="132" spans="1:5" ht="12" customHeight="1" thickBot="1">
      <c r="A132" s="18" t="s">
        <v>502</v>
      </c>
      <c r="B132" s="122" t="s">
        <v>58</v>
      </c>
      <c r="C132" s="302">
        <f>+C133+C134+C135+C136</f>
        <v>0</v>
      </c>
      <c r="D132" s="302">
        <f>+D133+D134+D135+D136</f>
        <v>0</v>
      </c>
      <c r="E132" s="302">
        <f>+E133+E134+E135+E136</f>
        <v>0</v>
      </c>
    </row>
    <row r="133" spans="1:5" ht="12" customHeight="1">
      <c r="A133" s="13" t="s">
        <v>577</v>
      </c>
      <c r="B133" s="7" t="s">
        <v>59</v>
      </c>
      <c r="C133" s="269"/>
      <c r="D133" s="269"/>
      <c r="E133" s="269"/>
    </row>
    <row r="134" spans="1:5" ht="12" customHeight="1">
      <c r="A134" s="13" t="s">
        <v>578</v>
      </c>
      <c r="B134" s="7" t="s">
        <v>69</v>
      </c>
      <c r="C134" s="269"/>
      <c r="D134" s="269"/>
      <c r="E134" s="269"/>
    </row>
    <row r="135" spans="1:5" ht="12" customHeight="1">
      <c r="A135" s="13" t="s">
        <v>793</v>
      </c>
      <c r="B135" s="7" t="s">
        <v>60</v>
      </c>
      <c r="C135" s="269"/>
      <c r="D135" s="269"/>
      <c r="E135" s="269"/>
    </row>
    <row r="136" spans="1:5" ht="12" customHeight="1" thickBot="1">
      <c r="A136" s="11" t="s">
        <v>794</v>
      </c>
      <c r="B136" s="5" t="s">
        <v>61</v>
      </c>
      <c r="C136" s="269"/>
      <c r="D136" s="269"/>
      <c r="E136" s="269"/>
    </row>
    <row r="137" spans="1:5" ht="12" customHeight="1" thickBot="1">
      <c r="A137" s="18" t="s">
        <v>503</v>
      </c>
      <c r="B137" s="122" t="s">
        <v>62</v>
      </c>
      <c r="C137" s="304">
        <f>+C138+C139+C140+C141</f>
        <v>0</v>
      </c>
      <c r="D137" s="304">
        <f>+D138+D139+D140+D141</f>
        <v>0</v>
      </c>
      <c r="E137" s="304">
        <f>+E138+E139+E140+E141</f>
        <v>0</v>
      </c>
    </row>
    <row r="138" spans="1:5" ht="12" customHeight="1">
      <c r="A138" s="13" t="s">
        <v>657</v>
      </c>
      <c r="B138" s="7" t="s">
        <v>63</v>
      </c>
      <c r="C138" s="269"/>
      <c r="D138" s="269"/>
      <c r="E138" s="269"/>
    </row>
    <row r="139" spans="1:5" ht="12" customHeight="1">
      <c r="A139" s="13" t="s">
        <v>658</v>
      </c>
      <c r="B139" s="7" t="s">
        <v>64</v>
      </c>
      <c r="C139" s="269"/>
      <c r="D139" s="269"/>
      <c r="E139" s="269"/>
    </row>
    <row r="140" spans="1:5" ht="12" customHeight="1">
      <c r="A140" s="13" t="s">
        <v>709</v>
      </c>
      <c r="B140" s="7" t="s">
        <v>65</v>
      </c>
      <c r="C140" s="269"/>
      <c r="D140" s="269"/>
      <c r="E140" s="269"/>
    </row>
    <row r="141" spans="1:5" ht="12" customHeight="1" thickBot="1">
      <c r="A141" s="13" t="s">
        <v>796</v>
      </c>
      <c r="B141" s="7" t="s">
        <v>66</v>
      </c>
      <c r="C141" s="269"/>
      <c r="D141" s="269"/>
      <c r="E141" s="269"/>
    </row>
    <row r="142" spans="1:9" ht="15" customHeight="1" thickBot="1">
      <c r="A142" s="18" t="s">
        <v>504</v>
      </c>
      <c r="B142" s="122" t="s">
        <v>67</v>
      </c>
      <c r="C142" s="414">
        <f>+C123+C127+C132+C137</f>
        <v>0</v>
      </c>
      <c r="D142" s="414">
        <f>+D123+D127+D132+D137</f>
        <v>0</v>
      </c>
      <c r="E142" s="414">
        <f>+E123+E127+E132+E137</f>
        <v>0</v>
      </c>
      <c r="F142" s="415"/>
      <c r="G142" s="416"/>
      <c r="H142" s="416"/>
      <c r="I142" s="416"/>
    </row>
    <row r="143" spans="1:5" s="401" customFormat="1" ht="12.75" customHeight="1" thickBot="1">
      <c r="A143" s="294" t="s">
        <v>505</v>
      </c>
      <c r="B143" s="375" t="s">
        <v>68</v>
      </c>
      <c r="C143" s="414">
        <f>+C122+C142</f>
        <v>3450000</v>
      </c>
      <c r="D143" s="414">
        <f>+D122+D142</f>
        <v>3450000</v>
      </c>
      <c r="E143" s="414">
        <f>+E122+E142</f>
        <v>3450000</v>
      </c>
    </row>
    <row r="144" ht="7.5" customHeight="1"/>
    <row r="145" spans="1:5" ht="15.75">
      <c r="A145" s="1138" t="s">
        <v>70</v>
      </c>
      <c r="B145" s="1138"/>
      <c r="C145" s="1138"/>
      <c r="D145" s="399"/>
      <c r="E145" s="399"/>
    </row>
    <row r="146" spans="1:5" ht="15" customHeight="1" thickBot="1">
      <c r="A146" s="1135" t="s">
        <v>630</v>
      </c>
      <c r="B146" s="1135"/>
      <c r="C146" s="305"/>
      <c r="D146" s="305"/>
      <c r="E146" s="305"/>
    </row>
    <row r="147" spans="1:5" ht="13.5" customHeight="1" thickBot="1">
      <c r="A147" s="18">
        <v>1</v>
      </c>
      <c r="B147" s="28" t="s">
        <v>71</v>
      </c>
      <c r="C147" s="296">
        <f>+C60-C122</f>
        <v>0</v>
      </c>
      <c r="D147" s="296">
        <f>+D60-D122</f>
        <v>0</v>
      </c>
      <c r="E147" s="296">
        <f>+E60-E122</f>
        <v>0</v>
      </c>
    </row>
    <row r="148" spans="1:5" ht="27.75" customHeight="1" thickBot="1">
      <c r="A148" s="18" t="s">
        <v>497</v>
      </c>
      <c r="B148" s="28" t="s">
        <v>72</v>
      </c>
      <c r="C148" s="296">
        <f>+C83-C142</f>
        <v>0</v>
      </c>
      <c r="D148" s="296">
        <f>+D83-D142</f>
        <v>0</v>
      </c>
      <c r="E148" s="296">
        <f>+E83-E142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Tát Város Önkormányzat
2017. ÉVI KÖLTSÉGVETÉS
ÖNKÉNT VÁLLALT FELADATAINAK MÉRLEGE
&amp;R&amp;"Times New Roman CE,Félkövér dőlt"&amp;11 1.3. melléklet az  1/2017. (II.7.) önkormányzati rendelethez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4">
      <selection activeCell="E6" sqref="E6"/>
    </sheetView>
  </sheetViews>
  <sheetFormatPr defaultColWidth="9.00390625" defaultRowHeight="12.75"/>
  <cols>
    <col min="1" max="1" width="6.875" style="54" customWidth="1"/>
    <col min="2" max="2" width="55.125" style="193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16" t="s">
        <v>86</v>
      </c>
      <c r="C1" s="317"/>
      <c r="D1" s="317"/>
      <c r="E1" s="317"/>
      <c r="F1" s="1142"/>
    </row>
    <row r="2" spans="5:6" ht="14.25" thickBot="1">
      <c r="E2" s="318"/>
      <c r="F2" s="1142"/>
    </row>
    <row r="3" spans="1:6" ht="18" customHeight="1" thickBot="1">
      <c r="A3" s="1140" t="s">
        <v>549</v>
      </c>
      <c r="B3" s="319" t="s">
        <v>533</v>
      </c>
      <c r="C3" s="320"/>
      <c r="D3" s="319" t="s">
        <v>535</v>
      </c>
      <c r="E3" s="321"/>
      <c r="F3" s="1142"/>
    </row>
    <row r="4" spans="1:6" s="322" customFormat="1" ht="35.25" customHeight="1" thickBot="1">
      <c r="A4" s="1141"/>
      <c r="B4" s="194" t="s">
        <v>541</v>
      </c>
      <c r="C4" s="195" t="s">
        <v>401</v>
      </c>
      <c r="D4" s="194" t="s">
        <v>541</v>
      </c>
      <c r="E4" s="50" t="s">
        <v>401</v>
      </c>
      <c r="F4" s="1142"/>
    </row>
    <row r="5" spans="1:6" s="327" customFormat="1" ht="12" customHeight="1" thickBot="1">
      <c r="A5" s="323">
        <v>1</v>
      </c>
      <c r="B5" s="324">
        <v>2</v>
      </c>
      <c r="C5" s="325" t="s">
        <v>498</v>
      </c>
      <c r="D5" s="324" t="s">
        <v>499</v>
      </c>
      <c r="E5" s="326" t="s">
        <v>500</v>
      </c>
      <c r="F5" s="1142"/>
    </row>
    <row r="6" spans="1:6" ht="12.75" customHeight="1">
      <c r="A6" s="328" t="s">
        <v>496</v>
      </c>
      <c r="B6" s="329" t="s">
        <v>73</v>
      </c>
      <c r="C6" s="998">
        <f>'1.1.melléklet'!C5</f>
        <v>393077057</v>
      </c>
      <c r="D6" s="329" t="s">
        <v>542</v>
      </c>
      <c r="E6" s="1000">
        <f>'1.1.melléklet'!C92</f>
        <v>207127000</v>
      </c>
      <c r="F6" s="1142"/>
    </row>
    <row r="7" spans="1:6" ht="12.75" customHeight="1">
      <c r="A7" s="330" t="s">
        <v>497</v>
      </c>
      <c r="B7" s="331" t="s">
        <v>74</v>
      </c>
      <c r="C7" s="999">
        <f>'1.1.melléklet'!C12</f>
        <v>10280000</v>
      </c>
      <c r="D7" s="331" t="s">
        <v>659</v>
      </c>
      <c r="E7" s="1001">
        <f>'1.1.melléklet'!C93</f>
        <v>49032554</v>
      </c>
      <c r="F7" s="1142"/>
    </row>
    <row r="8" spans="1:6" ht="12.75" customHeight="1">
      <c r="A8" s="330" t="s">
        <v>498</v>
      </c>
      <c r="B8" s="331" t="s">
        <v>116</v>
      </c>
      <c r="C8" s="307">
        <f>'1.1.melléklet'!C18</f>
        <v>0</v>
      </c>
      <c r="D8" s="331" t="s">
        <v>713</v>
      </c>
      <c r="E8" s="1001">
        <f>'1.1.melléklet'!C94</f>
        <v>217013000</v>
      </c>
      <c r="F8" s="1142"/>
    </row>
    <row r="9" spans="1:6" ht="12.75" customHeight="1">
      <c r="A9" s="330" t="s">
        <v>499</v>
      </c>
      <c r="B9" s="331" t="s">
        <v>650</v>
      </c>
      <c r="C9" s="999">
        <f>'1.1.melléklet'!C26</f>
        <v>145800000</v>
      </c>
      <c r="D9" s="331" t="s">
        <v>660</v>
      </c>
      <c r="E9" s="1001">
        <f>'1.1.melléklet'!C95</f>
        <v>9611000</v>
      </c>
      <c r="F9" s="1142"/>
    </row>
    <row r="10" spans="1:6" ht="12.75" customHeight="1">
      <c r="A10" s="330" t="s">
        <v>500</v>
      </c>
      <c r="B10" s="332" t="s">
        <v>75</v>
      </c>
      <c r="C10" s="307"/>
      <c r="D10" s="331" t="s">
        <v>661</v>
      </c>
      <c r="E10" s="1001">
        <f>'1.1.melléklet'!C96</f>
        <v>144142641</v>
      </c>
      <c r="F10" s="1142"/>
    </row>
    <row r="11" spans="1:6" ht="12.75" customHeight="1">
      <c r="A11" s="330" t="s">
        <v>501</v>
      </c>
      <c r="B11" s="331" t="s">
        <v>76</v>
      </c>
      <c r="C11" s="308">
        <f>'1.1.melléklet'!C52</f>
        <v>0</v>
      </c>
      <c r="D11" s="331" t="s">
        <v>527</v>
      </c>
      <c r="E11" s="1001">
        <f>'1.1.melléklet'!C122</f>
        <v>38342762</v>
      </c>
      <c r="F11" s="1142"/>
    </row>
    <row r="12" spans="1:6" ht="12.75" customHeight="1">
      <c r="A12" s="330" t="s">
        <v>502</v>
      </c>
      <c r="B12" s="331" t="s">
        <v>779</v>
      </c>
      <c r="C12" s="999">
        <f>'1.1.melléklet'!C34</f>
        <v>116111900</v>
      </c>
      <c r="D12" s="329" t="s">
        <v>708</v>
      </c>
      <c r="E12" s="1000">
        <f>'2.2.melléklet '!H6</f>
        <v>140411285</v>
      </c>
      <c r="F12" s="1142"/>
    </row>
    <row r="13" spans="1:6" ht="12.75" customHeight="1">
      <c r="A13" s="330" t="s">
        <v>503</v>
      </c>
      <c r="B13" s="329" t="s">
        <v>85</v>
      </c>
      <c r="C13" s="998">
        <v>157449027</v>
      </c>
      <c r="D13" s="331" t="s">
        <v>94</v>
      </c>
      <c r="E13" s="311">
        <f>'2.2.melléklet '!H7</f>
        <v>0</v>
      </c>
      <c r="F13" s="1142"/>
    </row>
    <row r="14" spans="1:6" ht="12.75" customHeight="1">
      <c r="A14" s="330" t="s">
        <v>504</v>
      </c>
      <c r="B14" s="331" t="s">
        <v>89</v>
      </c>
      <c r="C14" s="307">
        <f>'1.1.melléklet'!C25</f>
        <v>0</v>
      </c>
      <c r="D14" s="331" t="s">
        <v>663</v>
      </c>
      <c r="E14" s="1000">
        <f>'2.2.melléklet '!H8</f>
        <v>181000000</v>
      </c>
      <c r="F14" s="1142"/>
    </row>
    <row r="15" spans="1:6" ht="12.75" customHeight="1">
      <c r="A15" s="330" t="s">
        <v>505</v>
      </c>
      <c r="B15" s="331" t="s">
        <v>490</v>
      </c>
      <c r="C15" s="307"/>
      <c r="D15" s="331" t="s">
        <v>95</v>
      </c>
      <c r="E15" s="311"/>
      <c r="F15" s="1142"/>
    </row>
    <row r="16" spans="1:6" ht="12.75" customHeight="1">
      <c r="A16" s="330" t="s">
        <v>506</v>
      </c>
      <c r="B16" s="331" t="s">
        <v>90</v>
      </c>
      <c r="C16" s="307">
        <f>'1.1.melléklet'!C59</f>
        <v>0</v>
      </c>
      <c r="D16" s="331" t="s">
        <v>710</v>
      </c>
      <c r="E16" s="1000">
        <f>'1.1.melléklet'!C112</f>
        <v>0</v>
      </c>
      <c r="F16" s="1142"/>
    </row>
    <row r="17" spans="1:6" ht="12.75" customHeight="1">
      <c r="A17" s="330" t="s">
        <v>507</v>
      </c>
      <c r="B17" s="331" t="s">
        <v>91</v>
      </c>
      <c r="C17" s="307"/>
      <c r="D17" s="44" t="s">
        <v>537</v>
      </c>
      <c r="E17" s="312"/>
      <c r="F17" s="1142"/>
    </row>
    <row r="18" spans="1:6" ht="12.75" customHeight="1" thickBot="1">
      <c r="A18" s="330" t="s">
        <v>508</v>
      </c>
      <c r="B18" s="331" t="s">
        <v>92</v>
      </c>
      <c r="C18" s="309"/>
      <c r="D18" s="44" t="s">
        <v>538</v>
      </c>
      <c r="E18" s="1001">
        <f>'2.2.melléklet '!H12</f>
        <v>330917742</v>
      </c>
      <c r="F18" s="1142"/>
    </row>
    <row r="19" spans="1:6" ht="15.75" customHeight="1" thickBot="1">
      <c r="A19" s="333" t="s">
        <v>509</v>
      </c>
      <c r="B19" s="124" t="s">
        <v>333</v>
      </c>
      <c r="C19" s="310">
        <f>+C6+C7+C9+C10+C12+C13+C14+C15+C16+C17+C18</f>
        <v>822717984</v>
      </c>
      <c r="D19" s="124" t="s">
        <v>332</v>
      </c>
      <c r="E19" s="314">
        <f>SUM(E6:E18)</f>
        <v>1317597984</v>
      </c>
      <c r="F19" s="1142"/>
    </row>
    <row r="20" spans="1:6" ht="15.75" customHeight="1">
      <c r="A20" s="334" t="s">
        <v>510</v>
      </c>
      <c r="B20" s="342" t="s">
        <v>334</v>
      </c>
      <c r="C20" s="732">
        <f>C21</f>
        <v>199880000</v>
      </c>
      <c r="D20" s="734" t="s">
        <v>667</v>
      </c>
      <c r="E20" s="733"/>
      <c r="F20" s="1142"/>
    </row>
    <row r="21" spans="1:6" ht="15.75" customHeight="1">
      <c r="A21" s="334" t="s">
        <v>511</v>
      </c>
      <c r="B21" s="343" t="s">
        <v>717</v>
      </c>
      <c r="C21" s="736">
        <f>'2.2.melléklet '!C19</f>
        <v>199880000</v>
      </c>
      <c r="D21" s="735" t="s">
        <v>83</v>
      </c>
      <c r="E21" s="737"/>
      <c r="F21" s="1142"/>
    </row>
    <row r="22" spans="1:6" ht="15.75" customHeight="1">
      <c r="A22" s="334" t="s">
        <v>512</v>
      </c>
      <c r="B22" s="343" t="s">
        <v>718</v>
      </c>
      <c r="C22" s="737"/>
      <c r="D22" s="336" t="s">
        <v>632</v>
      </c>
      <c r="E22" s="733"/>
      <c r="F22" s="1142"/>
    </row>
    <row r="23" spans="1:6" ht="15.75" customHeight="1">
      <c r="A23" s="334" t="s">
        <v>513</v>
      </c>
      <c r="B23" s="343" t="s">
        <v>719</v>
      </c>
      <c r="C23" s="737"/>
      <c r="D23" s="336" t="s">
        <v>633</v>
      </c>
      <c r="E23" s="737"/>
      <c r="F23" s="1142"/>
    </row>
    <row r="24" spans="1:6" ht="15.75" customHeight="1">
      <c r="A24" s="334" t="s">
        <v>514</v>
      </c>
      <c r="B24" s="343" t="s">
        <v>720</v>
      </c>
      <c r="C24" s="732">
        <v>295000000</v>
      </c>
      <c r="D24" s="335" t="s">
        <v>714</v>
      </c>
      <c r="E24" s="737"/>
      <c r="F24" s="1142"/>
    </row>
    <row r="25" spans="1:6" ht="15.75" customHeight="1">
      <c r="A25" s="334" t="s">
        <v>515</v>
      </c>
      <c r="B25" s="344" t="s">
        <v>721</v>
      </c>
      <c r="C25" s="737"/>
      <c r="D25" s="336" t="s">
        <v>668</v>
      </c>
      <c r="E25" s="733"/>
      <c r="F25" s="1142"/>
    </row>
    <row r="26" spans="1:6" ht="15.75" customHeight="1">
      <c r="A26" s="334" t="s">
        <v>516</v>
      </c>
      <c r="B26" s="345" t="s">
        <v>335</v>
      </c>
      <c r="C26" s="737"/>
      <c r="D26" s="329" t="s">
        <v>669</v>
      </c>
      <c r="E26" s="737"/>
      <c r="F26" s="1142"/>
    </row>
    <row r="27" spans="1:6" ht="15.75" customHeight="1">
      <c r="A27" s="334" t="s">
        <v>517</v>
      </c>
      <c r="B27" s="344" t="s">
        <v>723</v>
      </c>
      <c r="C27" s="737"/>
      <c r="D27" s="731"/>
      <c r="E27" s="738"/>
      <c r="F27" s="1142"/>
    </row>
    <row r="28" spans="1:6" ht="12.75" customHeight="1">
      <c r="A28" s="334" t="s">
        <v>518</v>
      </c>
      <c r="B28" s="344" t="s">
        <v>724</v>
      </c>
      <c r="C28" s="349"/>
      <c r="D28" s="336"/>
      <c r="E28" s="76"/>
      <c r="F28" s="1142"/>
    </row>
    <row r="29" spans="1:6" ht="12.75" customHeight="1">
      <c r="A29" s="337" t="s">
        <v>404</v>
      </c>
      <c r="B29" s="343" t="s">
        <v>725</v>
      </c>
      <c r="C29" s="78"/>
      <c r="D29" s="336"/>
      <c r="E29" s="79"/>
      <c r="F29" s="1142"/>
    </row>
    <row r="30" spans="1:6" ht="12.75" customHeight="1">
      <c r="A30" s="337" t="s">
        <v>520</v>
      </c>
      <c r="B30" s="347" t="s">
        <v>726</v>
      </c>
      <c r="C30" s="78"/>
      <c r="D30" s="336"/>
      <c r="E30" s="79"/>
      <c r="F30" s="1142"/>
    </row>
    <row r="31" spans="1:6" ht="12.75" customHeight="1" thickBot="1">
      <c r="A31" s="337" t="s">
        <v>521</v>
      </c>
      <c r="B31" s="348" t="s">
        <v>727</v>
      </c>
      <c r="C31" s="78"/>
      <c r="D31" s="336"/>
      <c r="E31" s="79"/>
      <c r="F31" s="1142"/>
    </row>
    <row r="32" spans="1:6" ht="15.75" customHeight="1" thickBot="1">
      <c r="A32" s="333" t="s">
        <v>522</v>
      </c>
      <c r="B32" s="124" t="s">
        <v>336</v>
      </c>
      <c r="C32" s="310">
        <f>C21+C24</f>
        <v>494880000</v>
      </c>
      <c r="D32" s="124" t="s">
        <v>337</v>
      </c>
      <c r="E32" s="314">
        <f>SUM(E28:E31)</f>
        <v>0</v>
      </c>
      <c r="F32" s="1142"/>
    </row>
    <row r="33" spans="1:6" ht="13.5" thickBot="1">
      <c r="A33" s="333" t="s">
        <v>523</v>
      </c>
      <c r="B33" s="338" t="s">
        <v>338</v>
      </c>
      <c r="C33" s="339">
        <f>+C19+C32</f>
        <v>1317597984</v>
      </c>
      <c r="D33" s="338" t="s">
        <v>339</v>
      </c>
      <c r="E33" s="339">
        <f>+E19+E32</f>
        <v>1317597984</v>
      </c>
      <c r="F33" s="1142"/>
    </row>
    <row r="34" spans="2:4" ht="18.75">
      <c r="B34" s="1144"/>
      <c r="C34" s="1144"/>
      <c r="D34" s="1144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zoomScaleNormal="120" zoomScaleSheetLayoutView="100" workbookViewId="0" topLeftCell="C1">
      <selection activeCell="E150" sqref="E150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5" width="21.625" style="377" customWidth="1"/>
    <col min="6" max="16384" width="9.375" style="399" customWidth="1"/>
  </cols>
  <sheetData>
    <row r="1" spans="1:5" ht="15.75" customHeight="1">
      <c r="A1" s="1136" t="s">
        <v>493</v>
      </c>
      <c r="B1" s="1136"/>
      <c r="C1" s="1136"/>
      <c r="D1" s="399"/>
      <c r="E1" s="399"/>
    </row>
    <row r="2" spans="1:5" ht="15.75" customHeight="1" thickBot="1">
      <c r="A2" s="1135" t="s">
        <v>628</v>
      </c>
      <c r="B2" s="1135"/>
      <c r="C2" s="305"/>
      <c r="D2" s="305"/>
      <c r="E2" s="305"/>
    </row>
    <row r="3" spans="1:5" ht="37.5" customHeight="1" thickBot="1">
      <c r="A3" s="21" t="s">
        <v>549</v>
      </c>
      <c r="B3" s="22" t="s">
        <v>495</v>
      </c>
      <c r="C3" s="37" t="s">
        <v>401</v>
      </c>
      <c r="D3" s="37" t="s">
        <v>864</v>
      </c>
      <c r="E3" s="37" t="s">
        <v>891</v>
      </c>
    </row>
    <row r="4" spans="1:5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</row>
    <row r="5" spans="1:5" s="401" customFormat="1" ht="12" customHeight="1" thickBot="1">
      <c r="A5" s="18" t="s">
        <v>496</v>
      </c>
      <c r="B5" s="19" t="s">
        <v>737</v>
      </c>
      <c r="C5" s="296">
        <f>+C6+C7+C8+C9+C10+C11</f>
        <v>99877528</v>
      </c>
      <c r="D5" s="296">
        <f>+D6+D7+D8+D9+D10+D11</f>
        <v>99699736</v>
      </c>
      <c r="E5" s="296">
        <f>+E6+E7+E8+E9+E10+E11</f>
        <v>99699736</v>
      </c>
    </row>
    <row r="6" spans="1:5" s="401" customFormat="1" ht="12" customHeight="1">
      <c r="A6" s="13" t="s">
        <v>579</v>
      </c>
      <c r="B6" s="402" t="s">
        <v>738</v>
      </c>
      <c r="C6" s="299">
        <v>99877528</v>
      </c>
      <c r="D6" s="1041">
        <v>99699736</v>
      </c>
      <c r="E6" s="1041">
        <v>99699736</v>
      </c>
    </row>
    <row r="7" spans="1:5" s="401" customFormat="1" ht="12" customHeight="1">
      <c r="A7" s="12" t="s">
        <v>580</v>
      </c>
      <c r="B7" s="403" t="s">
        <v>739</v>
      </c>
      <c r="C7" s="298"/>
      <c r="D7" s="298"/>
      <c r="E7" s="298"/>
    </row>
    <row r="8" spans="1:5" s="401" customFormat="1" ht="12" customHeight="1">
      <c r="A8" s="12" t="s">
        <v>581</v>
      </c>
      <c r="B8" s="403" t="s">
        <v>740</v>
      </c>
      <c r="C8" s="298"/>
      <c r="D8" s="298"/>
      <c r="E8" s="298"/>
    </row>
    <row r="9" spans="1:5" s="401" customFormat="1" ht="12" customHeight="1">
      <c r="A9" s="12" t="s">
        <v>582</v>
      </c>
      <c r="B9" s="403" t="s">
        <v>741</v>
      </c>
      <c r="C9" s="298"/>
      <c r="D9" s="298"/>
      <c r="E9" s="298"/>
    </row>
    <row r="10" spans="1:5" s="401" customFormat="1" ht="12" customHeight="1">
      <c r="A10" s="12" t="s">
        <v>624</v>
      </c>
      <c r="B10" s="403" t="s">
        <v>742</v>
      </c>
      <c r="C10" s="298"/>
      <c r="D10" s="298"/>
      <c r="E10" s="298"/>
    </row>
    <row r="11" spans="1:5" s="401" customFormat="1" ht="12" customHeight="1" thickBot="1">
      <c r="A11" s="14" t="s">
        <v>583</v>
      </c>
      <c r="B11" s="404" t="s">
        <v>743</v>
      </c>
      <c r="C11" s="298"/>
      <c r="D11" s="298"/>
      <c r="E11" s="298"/>
    </row>
    <row r="12" spans="1:5" s="401" customFormat="1" ht="12" customHeight="1" thickBot="1">
      <c r="A12" s="18" t="s">
        <v>497</v>
      </c>
      <c r="B12" s="291" t="s">
        <v>744</v>
      </c>
      <c r="C12" s="296">
        <f>+C13+C14+C15+C16+C17</f>
        <v>0</v>
      </c>
      <c r="D12" s="296">
        <f>+D13+D14+D15+D16+D17</f>
        <v>0</v>
      </c>
      <c r="E12" s="296">
        <f>+E13+E14+E15+E16+E17</f>
        <v>0</v>
      </c>
    </row>
    <row r="13" spans="1:5" s="401" customFormat="1" ht="12" customHeight="1">
      <c r="A13" s="13" t="s">
        <v>585</v>
      </c>
      <c r="B13" s="402" t="s">
        <v>745</v>
      </c>
      <c r="C13" s="299"/>
      <c r="D13" s="299"/>
      <c r="E13" s="299"/>
    </row>
    <row r="14" spans="1:5" s="401" customFormat="1" ht="12" customHeight="1">
      <c r="A14" s="12" t="s">
        <v>586</v>
      </c>
      <c r="B14" s="403" t="s">
        <v>746</v>
      </c>
      <c r="C14" s="298"/>
      <c r="D14" s="298"/>
      <c r="E14" s="298"/>
    </row>
    <row r="15" spans="1:5" s="401" customFormat="1" ht="12" customHeight="1">
      <c r="A15" s="12" t="s">
        <v>587</v>
      </c>
      <c r="B15" s="403" t="s">
        <v>149</v>
      </c>
      <c r="C15" s="298"/>
      <c r="D15" s="298"/>
      <c r="E15" s="298"/>
    </row>
    <row r="16" spans="1:5" s="401" customFormat="1" ht="12" customHeight="1">
      <c r="A16" s="12" t="s">
        <v>588</v>
      </c>
      <c r="B16" s="403" t="s">
        <v>150</v>
      </c>
      <c r="C16" s="298"/>
      <c r="D16" s="298"/>
      <c r="E16" s="298"/>
    </row>
    <row r="17" spans="1:5" s="401" customFormat="1" ht="12" customHeight="1">
      <c r="A17" s="12" t="s">
        <v>589</v>
      </c>
      <c r="B17" s="403" t="s">
        <v>747</v>
      </c>
      <c r="C17" s="298"/>
      <c r="D17" s="298"/>
      <c r="E17" s="298"/>
    </row>
    <row r="18" spans="1:5" s="401" customFormat="1" ht="12" customHeight="1" thickBot="1">
      <c r="A18" s="14" t="s">
        <v>598</v>
      </c>
      <c r="B18" s="404" t="s">
        <v>748</v>
      </c>
      <c r="C18" s="300"/>
      <c r="D18" s="300"/>
      <c r="E18" s="300"/>
    </row>
    <row r="19" spans="1:5" s="401" customFormat="1" ht="12" customHeight="1" thickBot="1">
      <c r="A19" s="18" t="s">
        <v>498</v>
      </c>
      <c r="B19" s="19" t="s">
        <v>749</v>
      </c>
      <c r="C19" s="296">
        <f>+C20+C21+C22+C23+C24</f>
        <v>0</v>
      </c>
      <c r="D19" s="296">
        <f>+D20+D21+D22+D23+D24</f>
        <v>0</v>
      </c>
      <c r="E19" s="296">
        <f>+E20+E21+E22+E23+E24</f>
        <v>0</v>
      </c>
    </row>
    <row r="20" spans="1:5" s="401" customFormat="1" ht="12" customHeight="1">
      <c r="A20" s="13" t="s">
        <v>568</v>
      </c>
      <c r="B20" s="402" t="s">
        <v>750</v>
      </c>
      <c r="C20" s="299"/>
      <c r="D20" s="299"/>
      <c r="E20" s="299"/>
    </row>
    <row r="21" spans="1:5" s="401" customFormat="1" ht="12" customHeight="1">
      <c r="A21" s="12" t="s">
        <v>569</v>
      </c>
      <c r="B21" s="403" t="s">
        <v>751</v>
      </c>
      <c r="C21" s="298"/>
      <c r="D21" s="298"/>
      <c r="E21" s="298"/>
    </row>
    <row r="22" spans="1:5" s="401" customFormat="1" ht="12" customHeight="1">
      <c r="A22" s="12" t="s">
        <v>570</v>
      </c>
      <c r="B22" s="403" t="s">
        <v>151</v>
      </c>
      <c r="C22" s="298"/>
      <c r="D22" s="298"/>
      <c r="E22" s="298"/>
    </row>
    <row r="23" spans="1:5" s="401" customFormat="1" ht="12" customHeight="1">
      <c r="A23" s="12" t="s">
        <v>571</v>
      </c>
      <c r="B23" s="403" t="s">
        <v>152</v>
      </c>
      <c r="C23" s="298"/>
      <c r="D23" s="298"/>
      <c r="E23" s="298"/>
    </row>
    <row r="24" spans="1:5" s="401" customFormat="1" ht="12" customHeight="1">
      <c r="A24" s="12" t="s">
        <v>647</v>
      </c>
      <c r="B24" s="403" t="s">
        <v>752</v>
      </c>
      <c r="C24" s="298"/>
      <c r="D24" s="298"/>
      <c r="E24" s="298"/>
    </row>
    <row r="25" spans="1:5" s="401" customFormat="1" ht="12" customHeight="1" thickBot="1">
      <c r="A25" s="14" t="s">
        <v>648</v>
      </c>
      <c r="B25" s="404" t="s">
        <v>753</v>
      </c>
      <c r="C25" s="300"/>
      <c r="D25" s="300"/>
      <c r="E25" s="300"/>
    </row>
    <row r="26" spans="1:5" s="401" customFormat="1" ht="12" customHeight="1" thickBot="1">
      <c r="A26" s="18" t="s">
        <v>649</v>
      </c>
      <c r="B26" s="19" t="s">
        <v>754</v>
      </c>
      <c r="C26" s="302">
        <f>+C27+C30+C31+C32</f>
        <v>0</v>
      </c>
      <c r="D26" s="302">
        <f>+D27+D30+D31+D32</f>
        <v>0</v>
      </c>
      <c r="E26" s="302">
        <f>+E27+E30+E31+E32</f>
        <v>0</v>
      </c>
    </row>
    <row r="27" spans="1:5" s="401" customFormat="1" ht="12" customHeight="1">
      <c r="A27" s="13" t="s">
        <v>755</v>
      </c>
      <c r="B27" s="402" t="s">
        <v>761</v>
      </c>
      <c r="C27" s="397">
        <f>+C28+C29</f>
        <v>0</v>
      </c>
      <c r="D27" s="397">
        <f>+D28+D29</f>
        <v>0</v>
      </c>
      <c r="E27" s="397">
        <f>+E28+E29</f>
        <v>0</v>
      </c>
    </row>
    <row r="28" spans="1:5" s="401" customFormat="1" ht="12" customHeight="1">
      <c r="A28" s="12" t="s">
        <v>756</v>
      </c>
      <c r="B28" s="403" t="s">
        <v>762</v>
      </c>
      <c r="C28" s="298"/>
      <c r="D28" s="298"/>
      <c r="E28" s="298"/>
    </row>
    <row r="29" spans="1:5" s="401" customFormat="1" ht="12" customHeight="1">
      <c r="A29" s="12" t="s">
        <v>757</v>
      </c>
      <c r="B29" s="403" t="s">
        <v>763</v>
      </c>
      <c r="C29" s="298"/>
      <c r="D29" s="298"/>
      <c r="E29" s="298"/>
    </row>
    <row r="30" spans="1:5" s="401" customFormat="1" ht="12" customHeight="1">
      <c r="A30" s="12" t="s">
        <v>758</v>
      </c>
      <c r="B30" s="403" t="s">
        <v>764</v>
      </c>
      <c r="C30" s="298"/>
      <c r="D30" s="298"/>
      <c r="E30" s="298"/>
    </row>
    <row r="31" spans="1:5" s="401" customFormat="1" ht="12" customHeight="1">
      <c r="A31" s="12" t="s">
        <v>759</v>
      </c>
      <c r="B31" s="403" t="s">
        <v>765</v>
      </c>
      <c r="C31" s="298"/>
      <c r="D31" s="298"/>
      <c r="E31" s="298"/>
    </row>
    <row r="32" spans="1:5" s="401" customFormat="1" ht="12" customHeight="1" thickBot="1">
      <c r="A32" s="14" t="s">
        <v>760</v>
      </c>
      <c r="B32" s="404" t="s">
        <v>766</v>
      </c>
      <c r="C32" s="300"/>
      <c r="D32" s="300"/>
      <c r="E32" s="300"/>
    </row>
    <row r="33" spans="1:5" s="401" customFormat="1" ht="12" customHeight="1" thickBot="1">
      <c r="A33" s="18" t="s">
        <v>500</v>
      </c>
      <c r="B33" s="19" t="s">
        <v>767</v>
      </c>
      <c r="C33" s="296">
        <f>SUM(C34:C43)</f>
        <v>0</v>
      </c>
      <c r="D33" s="296">
        <f>SUM(D34:D43)</f>
        <v>0</v>
      </c>
      <c r="E33" s="296">
        <f>SUM(E34:E43)</f>
        <v>0</v>
      </c>
    </row>
    <row r="34" spans="1:5" s="401" customFormat="1" ht="12" customHeight="1">
      <c r="A34" s="13" t="s">
        <v>572</v>
      </c>
      <c r="B34" s="402" t="s">
        <v>770</v>
      </c>
      <c r="C34" s="299"/>
      <c r="D34" s="299"/>
      <c r="E34" s="299"/>
    </row>
    <row r="35" spans="1:5" s="401" customFormat="1" ht="12" customHeight="1">
      <c r="A35" s="12" t="s">
        <v>573</v>
      </c>
      <c r="B35" s="403" t="s">
        <v>771</v>
      </c>
      <c r="C35" s="298"/>
      <c r="D35" s="298"/>
      <c r="E35" s="298"/>
    </row>
    <row r="36" spans="1:5" s="401" customFormat="1" ht="12" customHeight="1">
      <c r="A36" s="12" t="s">
        <v>574</v>
      </c>
      <c r="B36" s="403" t="s">
        <v>772</v>
      </c>
      <c r="C36" s="298"/>
      <c r="D36" s="298"/>
      <c r="E36" s="298"/>
    </row>
    <row r="37" spans="1:5" s="401" customFormat="1" ht="12" customHeight="1">
      <c r="A37" s="12" t="s">
        <v>651</v>
      </c>
      <c r="B37" s="403" t="s">
        <v>773</v>
      </c>
      <c r="C37" s="298"/>
      <c r="D37" s="298"/>
      <c r="E37" s="298"/>
    </row>
    <row r="38" spans="1:5" s="401" customFormat="1" ht="12" customHeight="1">
      <c r="A38" s="12" t="s">
        <v>652</v>
      </c>
      <c r="B38" s="403" t="s">
        <v>774</v>
      </c>
      <c r="C38" s="298"/>
      <c r="D38" s="298"/>
      <c r="E38" s="298"/>
    </row>
    <row r="39" spans="1:5" s="401" customFormat="1" ht="12" customHeight="1">
      <c r="A39" s="12" t="s">
        <v>653</v>
      </c>
      <c r="B39" s="403" t="s">
        <v>775</v>
      </c>
      <c r="C39" s="298"/>
      <c r="D39" s="298"/>
      <c r="E39" s="298"/>
    </row>
    <row r="40" spans="1:5" s="401" customFormat="1" ht="12" customHeight="1">
      <c r="A40" s="12" t="s">
        <v>654</v>
      </c>
      <c r="B40" s="403" t="s">
        <v>776</v>
      </c>
      <c r="C40" s="298"/>
      <c r="D40" s="298"/>
      <c r="E40" s="298"/>
    </row>
    <row r="41" spans="1:5" s="401" customFormat="1" ht="12" customHeight="1">
      <c r="A41" s="12" t="s">
        <v>655</v>
      </c>
      <c r="B41" s="403" t="s">
        <v>777</v>
      </c>
      <c r="C41" s="298"/>
      <c r="D41" s="298"/>
      <c r="E41" s="298"/>
    </row>
    <row r="42" spans="1:5" s="401" customFormat="1" ht="12" customHeight="1">
      <c r="A42" s="12" t="s">
        <v>768</v>
      </c>
      <c r="B42" s="403" t="s">
        <v>778</v>
      </c>
      <c r="C42" s="301"/>
      <c r="D42" s="301"/>
      <c r="E42" s="301"/>
    </row>
    <row r="43" spans="1:5" s="401" customFormat="1" ht="12" customHeight="1" thickBot="1">
      <c r="A43" s="14" t="s">
        <v>769</v>
      </c>
      <c r="B43" s="404" t="s">
        <v>779</v>
      </c>
      <c r="C43" s="391"/>
      <c r="D43" s="391"/>
      <c r="E43" s="391"/>
    </row>
    <row r="44" spans="1:5" s="401" customFormat="1" ht="12" customHeight="1" thickBot="1">
      <c r="A44" s="18" t="s">
        <v>501</v>
      </c>
      <c r="B44" s="19" t="s">
        <v>780</v>
      </c>
      <c r="C44" s="296">
        <f>SUM(C45:C49)</f>
        <v>0</v>
      </c>
      <c r="D44" s="296">
        <f>SUM(D45:D49)</f>
        <v>0</v>
      </c>
      <c r="E44" s="296">
        <f>SUM(E45:E49)</f>
        <v>0</v>
      </c>
    </row>
    <row r="45" spans="1:5" s="401" customFormat="1" ht="12" customHeight="1">
      <c r="A45" s="13" t="s">
        <v>575</v>
      </c>
      <c r="B45" s="402" t="s">
        <v>784</v>
      </c>
      <c r="C45" s="446"/>
      <c r="D45" s="446"/>
      <c r="E45" s="446"/>
    </row>
    <row r="46" spans="1:5" s="401" customFormat="1" ht="12" customHeight="1">
      <c r="A46" s="12" t="s">
        <v>576</v>
      </c>
      <c r="B46" s="403" t="s">
        <v>785</v>
      </c>
      <c r="C46" s="301"/>
      <c r="D46" s="301"/>
      <c r="E46" s="301"/>
    </row>
    <row r="47" spans="1:5" s="401" customFormat="1" ht="12" customHeight="1">
      <c r="A47" s="12" t="s">
        <v>781</v>
      </c>
      <c r="B47" s="403" t="s">
        <v>786</v>
      </c>
      <c r="C47" s="301"/>
      <c r="D47" s="301"/>
      <c r="E47" s="301"/>
    </row>
    <row r="48" spans="1:5" s="401" customFormat="1" ht="12" customHeight="1">
      <c r="A48" s="12" t="s">
        <v>782</v>
      </c>
      <c r="B48" s="403" t="s">
        <v>787</v>
      </c>
      <c r="C48" s="301"/>
      <c r="D48" s="301"/>
      <c r="E48" s="301"/>
    </row>
    <row r="49" spans="1:5" s="401" customFormat="1" ht="12" customHeight="1" thickBot="1">
      <c r="A49" s="14" t="s">
        <v>783</v>
      </c>
      <c r="B49" s="404" t="s">
        <v>788</v>
      </c>
      <c r="C49" s="391"/>
      <c r="D49" s="391"/>
      <c r="E49" s="391"/>
    </row>
    <row r="50" spans="1:5" s="401" customFormat="1" ht="12" customHeight="1" thickBot="1">
      <c r="A50" s="18" t="s">
        <v>656</v>
      </c>
      <c r="B50" s="19" t="s">
        <v>789</v>
      </c>
      <c r="C50" s="296">
        <f>SUM(C51:C53)</f>
        <v>0</v>
      </c>
      <c r="D50" s="296">
        <f>SUM(D51:D53)</f>
        <v>0</v>
      </c>
      <c r="E50" s="296">
        <f>SUM(E51:E53)</f>
        <v>0</v>
      </c>
    </row>
    <row r="51" spans="1:5" s="401" customFormat="1" ht="12" customHeight="1">
      <c r="A51" s="13" t="s">
        <v>577</v>
      </c>
      <c r="B51" s="402" t="s">
        <v>790</v>
      </c>
      <c r="C51" s="299"/>
      <c r="D51" s="299"/>
      <c r="E51" s="299"/>
    </row>
    <row r="52" spans="1:5" s="401" customFormat="1" ht="12" customHeight="1">
      <c r="A52" s="12" t="s">
        <v>578</v>
      </c>
      <c r="B52" s="403" t="s">
        <v>153</v>
      </c>
      <c r="C52" s="298"/>
      <c r="D52" s="298"/>
      <c r="E52" s="298"/>
    </row>
    <row r="53" spans="1:5" s="401" customFormat="1" ht="12" customHeight="1">
      <c r="A53" s="12" t="s">
        <v>793</v>
      </c>
      <c r="B53" s="403" t="s">
        <v>791</v>
      </c>
      <c r="C53" s="298"/>
      <c r="D53" s="298"/>
      <c r="E53" s="298"/>
    </row>
    <row r="54" spans="1:5" s="401" customFormat="1" ht="12" customHeight="1" thickBot="1">
      <c r="A54" s="14" t="s">
        <v>794</v>
      </c>
      <c r="B54" s="404" t="s">
        <v>792</v>
      </c>
      <c r="C54" s="300"/>
      <c r="D54" s="300"/>
      <c r="E54" s="300"/>
    </row>
    <row r="55" spans="1:5" s="401" customFormat="1" ht="12" customHeight="1" thickBot="1">
      <c r="A55" s="18" t="s">
        <v>503</v>
      </c>
      <c r="B55" s="291" t="s">
        <v>795</v>
      </c>
      <c r="C55" s="296">
        <f>SUM(C56:C58)</f>
        <v>0</v>
      </c>
      <c r="D55" s="296">
        <f>SUM(D56:D58)</f>
        <v>0</v>
      </c>
      <c r="E55" s="296">
        <f>SUM(E56:E58)</f>
        <v>0</v>
      </c>
    </row>
    <row r="56" spans="1:5" s="401" customFormat="1" ht="12" customHeight="1">
      <c r="A56" s="13" t="s">
        <v>657</v>
      </c>
      <c r="B56" s="402" t="s">
        <v>797</v>
      </c>
      <c r="C56" s="301"/>
      <c r="D56" s="301"/>
      <c r="E56" s="301"/>
    </row>
    <row r="57" spans="1:5" s="401" customFormat="1" ht="12" customHeight="1">
      <c r="A57" s="12" t="s">
        <v>658</v>
      </c>
      <c r="B57" s="403" t="s">
        <v>154</v>
      </c>
      <c r="C57" s="301"/>
      <c r="D57" s="301"/>
      <c r="E57" s="301"/>
    </row>
    <row r="58" spans="1:5" s="401" customFormat="1" ht="12" customHeight="1">
      <c r="A58" s="12" t="s">
        <v>709</v>
      </c>
      <c r="B58" s="403" t="s">
        <v>798</v>
      </c>
      <c r="C58" s="301"/>
      <c r="D58" s="301"/>
      <c r="E58" s="301"/>
    </row>
    <row r="59" spans="1:5" s="401" customFormat="1" ht="12" customHeight="1" thickBot="1">
      <c r="A59" s="14" t="s">
        <v>796</v>
      </c>
      <c r="B59" s="404" t="s">
        <v>799</v>
      </c>
      <c r="C59" s="301"/>
      <c r="D59" s="301"/>
      <c r="E59" s="301"/>
    </row>
    <row r="60" spans="1:5" s="401" customFormat="1" ht="12" customHeight="1" thickBot="1">
      <c r="A60" s="18" t="s">
        <v>504</v>
      </c>
      <c r="B60" s="19" t="s">
        <v>800</v>
      </c>
      <c r="C60" s="302">
        <f>+C5+C12+C19+C26+C33+C44+C50+C55</f>
        <v>99877528</v>
      </c>
      <c r="D60" s="302">
        <f>+D5+D12+D19+D26+D33+D44+D50+D55</f>
        <v>99699736</v>
      </c>
      <c r="E60" s="302">
        <f>+E5+E12+E19+E26+E33+E44+E50+E55</f>
        <v>99699736</v>
      </c>
    </row>
    <row r="61" spans="1:5" s="401" customFormat="1" ht="12" customHeight="1" thickBot="1">
      <c r="A61" s="405" t="s">
        <v>801</v>
      </c>
      <c r="B61" s="291" t="s">
        <v>802</v>
      </c>
      <c r="C61" s="296">
        <f>SUM(C62:C64)</f>
        <v>0</v>
      </c>
      <c r="D61" s="296">
        <f>SUM(D62:D64)</f>
        <v>0</v>
      </c>
      <c r="E61" s="296">
        <f>SUM(E62:E64)</f>
        <v>0</v>
      </c>
    </row>
    <row r="62" spans="1:5" s="401" customFormat="1" ht="12" customHeight="1">
      <c r="A62" s="13" t="s">
        <v>12</v>
      </c>
      <c r="B62" s="402" t="s">
        <v>803</v>
      </c>
      <c r="C62" s="301"/>
      <c r="D62" s="301"/>
      <c r="E62" s="301"/>
    </row>
    <row r="63" spans="1:5" s="401" customFormat="1" ht="12" customHeight="1">
      <c r="A63" s="12" t="s">
        <v>21</v>
      </c>
      <c r="B63" s="403" t="s">
        <v>804</v>
      </c>
      <c r="C63" s="301"/>
      <c r="D63" s="301"/>
      <c r="E63" s="301"/>
    </row>
    <row r="64" spans="1:5" s="401" customFormat="1" ht="12" customHeight="1" thickBot="1">
      <c r="A64" s="14" t="s">
        <v>22</v>
      </c>
      <c r="B64" s="406" t="s">
        <v>805</v>
      </c>
      <c r="C64" s="301"/>
      <c r="D64" s="301"/>
      <c r="E64" s="301"/>
    </row>
    <row r="65" spans="1:5" s="401" customFormat="1" ht="12" customHeight="1" thickBot="1">
      <c r="A65" s="405" t="s">
        <v>806</v>
      </c>
      <c r="B65" s="291" t="s">
        <v>807</v>
      </c>
      <c r="C65" s="296">
        <f>SUM(C66:C69)</f>
        <v>0</v>
      </c>
      <c r="D65" s="296">
        <f>SUM(D66:D69)</f>
        <v>0</v>
      </c>
      <c r="E65" s="296">
        <f>SUM(E66:E69)</f>
        <v>0</v>
      </c>
    </row>
    <row r="66" spans="1:5" s="401" customFormat="1" ht="12" customHeight="1">
      <c r="A66" s="13" t="s">
        <v>625</v>
      </c>
      <c r="B66" s="402" t="s">
        <v>808</v>
      </c>
      <c r="C66" s="301"/>
      <c r="D66" s="301"/>
      <c r="E66" s="301"/>
    </row>
    <row r="67" spans="1:5" s="401" customFormat="1" ht="12" customHeight="1">
      <c r="A67" s="12" t="s">
        <v>626</v>
      </c>
      <c r="B67" s="403" t="s">
        <v>809</v>
      </c>
      <c r="C67" s="301"/>
      <c r="D67" s="301"/>
      <c r="E67" s="301"/>
    </row>
    <row r="68" spans="1:5" s="401" customFormat="1" ht="12" customHeight="1">
      <c r="A68" s="12" t="s">
        <v>13</v>
      </c>
      <c r="B68" s="403" t="s">
        <v>810</v>
      </c>
      <c r="C68" s="301"/>
      <c r="D68" s="301"/>
      <c r="E68" s="301"/>
    </row>
    <row r="69" spans="1:5" s="401" customFormat="1" ht="12" customHeight="1" thickBot="1">
      <c r="A69" s="14" t="s">
        <v>14</v>
      </c>
      <c r="B69" s="404" t="s">
        <v>811</v>
      </c>
      <c r="C69" s="301"/>
      <c r="D69" s="301"/>
      <c r="E69" s="301"/>
    </row>
    <row r="70" spans="1:5" s="401" customFormat="1" ht="12" customHeight="1" thickBot="1">
      <c r="A70" s="405" t="s">
        <v>812</v>
      </c>
      <c r="B70" s="291" t="s">
        <v>813</v>
      </c>
      <c r="C70" s="296">
        <f>SUM(C71:C72)</f>
        <v>0</v>
      </c>
      <c r="D70" s="296">
        <f>SUM(D71:D72)</f>
        <v>0</v>
      </c>
      <c r="E70" s="296">
        <f>SUM(E71:E72)</f>
        <v>0</v>
      </c>
    </row>
    <row r="71" spans="1:5" s="401" customFormat="1" ht="12" customHeight="1">
      <c r="A71" s="13" t="s">
        <v>15</v>
      </c>
      <c r="B71" s="402" t="s">
        <v>814</v>
      </c>
      <c r="C71" s="301"/>
      <c r="D71" s="301"/>
      <c r="E71" s="301"/>
    </row>
    <row r="72" spans="1:5" s="401" customFormat="1" ht="12" customHeight="1" thickBot="1">
      <c r="A72" s="14" t="s">
        <v>16</v>
      </c>
      <c r="B72" s="404" t="s">
        <v>815</v>
      </c>
      <c r="C72" s="301"/>
      <c r="D72" s="301"/>
      <c r="E72" s="301"/>
    </row>
    <row r="73" spans="1:5" s="401" customFormat="1" ht="12" customHeight="1" thickBot="1">
      <c r="A73" s="405" t="s">
        <v>816</v>
      </c>
      <c r="B73" s="291" t="s">
        <v>817</v>
      </c>
      <c r="C73" s="296">
        <f>SUM(C74:C76)</f>
        <v>0</v>
      </c>
      <c r="D73" s="296">
        <f>SUM(D74:D76)</f>
        <v>0</v>
      </c>
      <c r="E73" s="296">
        <f>SUM(E74:E76)</f>
        <v>0</v>
      </c>
    </row>
    <row r="74" spans="1:5" s="401" customFormat="1" ht="12" customHeight="1">
      <c r="A74" s="13" t="s">
        <v>17</v>
      </c>
      <c r="B74" s="402" t="s">
        <v>818</v>
      </c>
      <c r="C74" s="301"/>
      <c r="D74" s="301"/>
      <c r="E74" s="301"/>
    </row>
    <row r="75" spans="1:5" s="401" customFormat="1" ht="12" customHeight="1">
      <c r="A75" s="12" t="s">
        <v>18</v>
      </c>
      <c r="B75" s="403" t="s">
        <v>819</v>
      </c>
      <c r="C75" s="301"/>
      <c r="D75" s="301"/>
      <c r="E75" s="301"/>
    </row>
    <row r="76" spans="1:5" s="401" customFormat="1" ht="12" customHeight="1" thickBot="1">
      <c r="A76" s="14" t="s">
        <v>19</v>
      </c>
      <c r="B76" s="404" t="s">
        <v>820</v>
      </c>
      <c r="C76" s="301"/>
      <c r="D76" s="301"/>
      <c r="E76" s="301"/>
    </row>
    <row r="77" spans="1:5" s="401" customFormat="1" ht="12" customHeight="1" thickBot="1">
      <c r="A77" s="405" t="s">
        <v>821</v>
      </c>
      <c r="B77" s="291" t="s">
        <v>20</v>
      </c>
      <c r="C77" s="296">
        <f>SUM(C78:C81)</f>
        <v>0</v>
      </c>
      <c r="D77" s="296">
        <f>SUM(D78:D81)</f>
        <v>0</v>
      </c>
      <c r="E77" s="296">
        <f>SUM(E78:E81)</f>
        <v>0</v>
      </c>
    </row>
    <row r="78" spans="1:5" s="401" customFormat="1" ht="12" customHeight="1">
      <c r="A78" s="407" t="s">
        <v>822</v>
      </c>
      <c r="B78" s="402" t="s">
        <v>0</v>
      </c>
      <c r="C78" s="301"/>
      <c r="D78" s="301"/>
      <c r="E78" s="301"/>
    </row>
    <row r="79" spans="1:5" s="401" customFormat="1" ht="12" customHeight="1">
      <c r="A79" s="408" t="s">
        <v>1</v>
      </c>
      <c r="B79" s="403" t="s">
        <v>2</v>
      </c>
      <c r="C79" s="301"/>
      <c r="D79" s="301"/>
      <c r="E79" s="301"/>
    </row>
    <row r="80" spans="1:5" s="401" customFormat="1" ht="12" customHeight="1">
      <c r="A80" s="408" t="s">
        <v>3</v>
      </c>
      <c r="B80" s="403" t="s">
        <v>4</v>
      </c>
      <c r="C80" s="301"/>
      <c r="D80" s="301"/>
      <c r="E80" s="301"/>
    </row>
    <row r="81" spans="1:5" s="401" customFormat="1" ht="12" customHeight="1" thickBot="1">
      <c r="A81" s="409" t="s">
        <v>5</v>
      </c>
      <c r="B81" s="404" t="s">
        <v>6</v>
      </c>
      <c r="C81" s="301"/>
      <c r="D81" s="301"/>
      <c r="E81" s="301"/>
    </row>
    <row r="82" spans="1:5" s="401" customFormat="1" ht="13.5" customHeight="1" thickBot="1">
      <c r="A82" s="405" t="s">
        <v>7</v>
      </c>
      <c r="B82" s="291" t="s">
        <v>8</v>
      </c>
      <c r="C82" s="447"/>
      <c r="D82" s="447"/>
      <c r="E82" s="447"/>
    </row>
    <row r="83" spans="1:5" s="401" customFormat="1" ht="15.75" customHeight="1" thickBot="1">
      <c r="A83" s="405" t="s">
        <v>9</v>
      </c>
      <c r="B83" s="410" t="s">
        <v>10</v>
      </c>
      <c r="C83" s="302">
        <f>+C61+C65+C70+C73+C77+C82</f>
        <v>0</v>
      </c>
      <c r="D83" s="302">
        <f>+D61+D65+D70+D73+D77+D82</f>
        <v>0</v>
      </c>
      <c r="E83" s="302">
        <f>+E61+E65+E70+E73+E77+E82</f>
        <v>0</v>
      </c>
    </row>
    <row r="84" spans="1:5" s="401" customFormat="1" ht="16.5" customHeight="1" thickBot="1">
      <c r="A84" s="411" t="s">
        <v>23</v>
      </c>
      <c r="B84" s="412" t="s">
        <v>11</v>
      </c>
      <c r="C84" s="302">
        <f>+C60+C83</f>
        <v>99877528</v>
      </c>
      <c r="D84" s="302">
        <f>+D60+D83</f>
        <v>99699736</v>
      </c>
      <c r="E84" s="302">
        <f>+E60+E83</f>
        <v>99699736</v>
      </c>
    </row>
    <row r="85" spans="1:5" ht="16.5" customHeight="1">
      <c r="A85" s="1139" t="s">
        <v>524</v>
      </c>
      <c r="B85" s="1139"/>
      <c r="C85" s="1139"/>
      <c r="D85" s="399"/>
      <c r="E85" s="399"/>
    </row>
    <row r="86" spans="1:5" s="413" customFormat="1" ht="16.5" customHeight="1" thickBot="1">
      <c r="A86" s="1137" t="s">
        <v>629</v>
      </c>
      <c r="B86" s="1137"/>
      <c r="C86" s="137"/>
      <c r="D86" s="137"/>
      <c r="E86" s="137"/>
    </row>
    <row r="87" spans="1:5" ht="37.5" customHeight="1" thickBot="1">
      <c r="A87" s="21" t="s">
        <v>549</v>
      </c>
      <c r="B87" s="22" t="s">
        <v>525</v>
      </c>
      <c r="C87" s="37" t="s">
        <v>401</v>
      </c>
      <c r="D87" s="37" t="s">
        <v>864</v>
      </c>
      <c r="E87" s="37" t="s">
        <v>864</v>
      </c>
    </row>
    <row r="88" spans="1:5" s="400" customFormat="1" ht="12" customHeight="1" thickBot="1">
      <c r="A88" s="30">
        <v>1</v>
      </c>
      <c r="B88" s="31">
        <v>2</v>
      </c>
      <c r="C88" s="32">
        <v>3</v>
      </c>
      <c r="D88" s="32">
        <v>3</v>
      </c>
      <c r="E88" s="32">
        <v>3</v>
      </c>
    </row>
    <row r="89" spans="1:5" ht="12" customHeight="1" thickBot="1">
      <c r="A89" s="20" t="s">
        <v>496</v>
      </c>
      <c r="B89" s="29" t="s">
        <v>26</v>
      </c>
      <c r="C89" s="295">
        <f>SUM(C90:C94)</f>
        <v>99877528</v>
      </c>
      <c r="D89" s="295">
        <f>SUM(D90:D94)</f>
        <v>99699736</v>
      </c>
      <c r="E89" s="295">
        <f>SUM(E90:E94)</f>
        <v>99699736</v>
      </c>
    </row>
    <row r="90" spans="1:5" ht="12" customHeight="1">
      <c r="A90" s="15" t="s">
        <v>579</v>
      </c>
      <c r="B90" s="8" t="s">
        <v>526</v>
      </c>
      <c r="C90" s="297">
        <v>71069000</v>
      </c>
      <c r="D90" s="79">
        <f>68095400-210000</f>
        <v>67885400</v>
      </c>
      <c r="E90" s="79">
        <f>68095400-210000</f>
        <v>67885400</v>
      </c>
    </row>
    <row r="91" spans="1:5" ht="12" customHeight="1">
      <c r="A91" s="12" t="s">
        <v>580</v>
      </c>
      <c r="B91" s="6" t="s">
        <v>659</v>
      </c>
      <c r="C91" s="298">
        <v>15918528</v>
      </c>
      <c r="D91" s="79">
        <v>15924336</v>
      </c>
      <c r="E91" s="79">
        <v>15924336</v>
      </c>
    </row>
    <row r="92" spans="1:5" ht="12" customHeight="1">
      <c r="A92" s="12" t="s">
        <v>581</v>
      </c>
      <c r="B92" s="6" t="s">
        <v>616</v>
      </c>
      <c r="C92" s="300">
        <v>12890000</v>
      </c>
      <c r="D92" s="79">
        <v>15890000</v>
      </c>
      <c r="E92" s="79">
        <v>15890000</v>
      </c>
    </row>
    <row r="93" spans="1:5" ht="12" customHeight="1">
      <c r="A93" s="12" t="s">
        <v>582</v>
      </c>
      <c r="B93" s="9" t="s">
        <v>660</v>
      </c>
      <c r="C93" s="298"/>
      <c r="D93" s="298"/>
      <c r="E93" s="298"/>
    </row>
    <row r="94" spans="1:5" ht="12" customHeight="1">
      <c r="A94" s="12" t="s">
        <v>593</v>
      </c>
      <c r="B94" s="17" t="s">
        <v>661</v>
      </c>
      <c r="C94" s="300"/>
      <c r="D94" s="300"/>
      <c r="E94" s="300"/>
    </row>
    <row r="95" spans="1:5" ht="12" customHeight="1">
      <c r="A95" s="12" t="s">
        <v>583</v>
      </c>
      <c r="B95" s="6" t="s">
        <v>27</v>
      </c>
      <c r="C95" s="300"/>
      <c r="D95" s="300"/>
      <c r="E95" s="300"/>
    </row>
    <row r="96" spans="1:5" ht="12" customHeight="1">
      <c r="A96" s="12" t="s">
        <v>584</v>
      </c>
      <c r="B96" s="139" t="s">
        <v>28</v>
      </c>
      <c r="C96" s="300"/>
      <c r="D96" s="300"/>
      <c r="E96" s="300"/>
    </row>
    <row r="97" spans="1:5" ht="12" customHeight="1">
      <c r="A97" s="12" t="s">
        <v>594</v>
      </c>
      <c r="B97" s="140" t="s">
        <v>29</v>
      </c>
      <c r="C97" s="300"/>
      <c r="D97" s="300"/>
      <c r="E97" s="300"/>
    </row>
    <row r="98" spans="1:5" ht="12" customHeight="1">
      <c r="A98" s="12" t="s">
        <v>595</v>
      </c>
      <c r="B98" s="140" t="s">
        <v>30</v>
      </c>
      <c r="C98" s="300"/>
      <c r="D98" s="300"/>
      <c r="E98" s="300"/>
    </row>
    <row r="99" spans="1:5" ht="12" customHeight="1">
      <c r="A99" s="12" t="s">
        <v>596</v>
      </c>
      <c r="B99" s="139" t="s">
        <v>31</v>
      </c>
      <c r="C99" s="300"/>
      <c r="D99" s="300"/>
      <c r="E99" s="300"/>
    </row>
    <row r="100" spans="1:5" ht="12" customHeight="1">
      <c r="A100" s="12" t="s">
        <v>597</v>
      </c>
      <c r="B100" s="139" t="s">
        <v>32</v>
      </c>
      <c r="C100" s="300"/>
      <c r="D100" s="300"/>
      <c r="E100" s="300"/>
    </row>
    <row r="101" spans="1:5" ht="12" customHeight="1">
      <c r="A101" s="12" t="s">
        <v>599</v>
      </c>
      <c r="B101" s="140" t="s">
        <v>33</v>
      </c>
      <c r="C101" s="300"/>
      <c r="D101" s="300"/>
      <c r="E101" s="300"/>
    </row>
    <row r="102" spans="1:5" ht="12" customHeight="1">
      <c r="A102" s="11" t="s">
        <v>662</v>
      </c>
      <c r="B102" s="141" t="s">
        <v>34</v>
      </c>
      <c r="C102" s="300"/>
      <c r="D102" s="300"/>
      <c r="E102" s="300"/>
    </row>
    <row r="103" spans="1:5" ht="12" customHeight="1">
      <c r="A103" s="12" t="s">
        <v>24</v>
      </c>
      <c r="B103" s="141" t="s">
        <v>35</v>
      </c>
      <c r="C103" s="300"/>
      <c r="D103" s="300"/>
      <c r="E103" s="300"/>
    </row>
    <row r="104" spans="1:5" ht="12" customHeight="1" thickBot="1">
      <c r="A104" s="16" t="s">
        <v>25</v>
      </c>
      <c r="B104" s="142" t="s">
        <v>36</v>
      </c>
      <c r="C104" s="303"/>
      <c r="D104" s="303"/>
      <c r="E104" s="303"/>
    </row>
    <row r="105" spans="1:5" ht="12" customHeight="1" thickBot="1">
      <c r="A105" s="18" t="s">
        <v>497</v>
      </c>
      <c r="B105" s="28" t="s">
        <v>37</v>
      </c>
      <c r="C105" s="296">
        <f>+C106+C108+C110</f>
        <v>0</v>
      </c>
      <c r="D105" s="296">
        <f>+D106+D108+D110</f>
        <v>0</v>
      </c>
      <c r="E105" s="296">
        <f>+E106+E108+E110</f>
        <v>0</v>
      </c>
    </row>
    <row r="106" spans="1:5" ht="12" customHeight="1">
      <c r="A106" s="13" t="s">
        <v>585</v>
      </c>
      <c r="B106" s="6" t="s">
        <v>708</v>
      </c>
      <c r="C106" s="299"/>
      <c r="D106" s="299"/>
      <c r="E106" s="299"/>
    </row>
    <row r="107" spans="1:5" ht="12" customHeight="1">
      <c r="A107" s="13" t="s">
        <v>586</v>
      </c>
      <c r="B107" s="10" t="s">
        <v>41</v>
      </c>
      <c r="C107" s="299"/>
      <c r="D107" s="299"/>
      <c r="E107" s="299"/>
    </row>
    <row r="108" spans="1:5" ht="12" customHeight="1">
      <c r="A108" s="13" t="s">
        <v>587</v>
      </c>
      <c r="B108" s="10" t="s">
        <v>663</v>
      </c>
      <c r="C108" s="298"/>
      <c r="D108" s="298"/>
      <c r="E108" s="298"/>
    </row>
    <row r="109" spans="1:5" ht="12" customHeight="1">
      <c r="A109" s="13" t="s">
        <v>588</v>
      </c>
      <c r="B109" s="10" t="s">
        <v>42</v>
      </c>
      <c r="C109" s="269"/>
      <c r="D109" s="1127"/>
      <c r="E109" s="298"/>
    </row>
    <row r="110" spans="1:5" ht="12" customHeight="1">
      <c r="A110" s="13" t="s">
        <v>589</v>
      </c>
      <c r="B110" s="293" t="s">
        <v>710</v>
      </c>
      <c r="C110" s="269"/>
      <c r="D110" s="1127"/>
      <c r="E110" s="298"/>
    </row>
    <row r="111" spans="1:5" ht="12" customHeight="1">
      <c r="A111" s="13" t="s">
        <v>598</v>
      </c>
      <c r="B111" s="292" t="s">
        <v>155</v>
      </c>
      <c r="C111" s="269"/>
      <c r="D111" s="1127"/>
      <c r="E111" s="298"/>
    </row>
    <row r="112" spans="1:5" ht="12" customHeight="1">
      <c r="A112" s="13" t="s">
        <v>600</v>
      </c>
      <c r="B112" s="398" t="s">
        <v>47</v>
      </c>
      <c r="C112" s="269"/>
      <c r="D112" s="1127"/>
      <c r="E112" s="298"/>
    </row>
    <row r="113" spans="1:5" ht="15.75">
      <c r="A113" s="13" t="s">
        <v>664</v>
      </c>
      <c r="B113" s="140" t="s">
        <v>30</v>
      </c>
      <c r="C113" s="269"/>
      <c r="D113" s="1127"/>
      <c r="E113" s="298"/>
    </row>
    <row r="114" spans="1:5" ht="12" customHeight="1">
      <c r="A114" s="13" t="s">
        <v>665</v>
      </c>
      <c r="B114" s="140" t="s">
        <v>46</v>
      </c>
      <c r="C114" s="269"/>
      <c r="D114" s="1127"/>
      <c r="E114" s="298"/>
    </row>
    <row r="115" spans="1:5" ht="12" customHeight="1">
      <c r="A115" s="13" t="s">
        <v>666</v>
      </c>
      <c r="B115" s="140" t="s">
        <v>45</v>
      </c>
      <c r="C115" s="269"/>
      <c r="D115" s="1127"/>
      <c r="E115" s="298"/>
    </row>
    <row r="116" spans="1:5" ht="12" customHeight="1">
      <c r="A116" s="13" t="s">
        <v>38</v>
      </c>
      <c r="B116" s="140" t="s">
        <v>33</v>
      </c>
      <c r="C116" s="269"/>
      <c r="D116" s="1127"/>
      <c r="E116" s="298"/>
    </row>
    <row r="117" spans="1:5" ht="12" customHeight="1">
      <c r="A117" s="13" t="s">
        <v>39</v>
      </c>
      <c r="B117" s="140" t="s">
        <v>44</v>
      </c>
      <c r="C117" s="269"/>
      <c r="D117" s="1127"/>
      <c r="E117" s="298"/>
    </row>
    <row r="118" spans="1:5" ht="16.5" thickBot="1">
      <c r="A118" s="11" t="s">
        <v>40</v>
      </c>
      <c r="B118" s="140" t="s">
        <v>43</v>
      </c>
      <c r="C118" s="270"/>
      <c r="D118" s="1128"/>
      <c r="E118" s="300"/>
    </row>
    <row r="119" spans="1:5" ht="12" customHeight="1" thickBot="1">
      <c r="A119" s="18" t="s">
        <v>498</v>
      </c>
      <c r="B119" s="122" t="s">
        <v>48</v>
      </c>
      <c r="C119" s="296">
        <f>+C120+C121</f>
        <v>0</v>
      </c>
      <c r="D119" s="1129">
        <f>+D120+D121</f>
        <v>0</v>
      </c>
      <c r="E119" s="296">
        <f>+E120+E121</f>
        <v>0</v>
      </c>
    </row>
    <row r="120" spans="1:5" ht="12" customHeight="1">
      <c r="A120" s="13" t="s">
        <v>568</v>
      </c>
      <c r="B120" s="7" t="s">
        <v>537</v>
      </c>
      <c r="C120" s="299"/>
      <c r="D120" s="1130"/>
      <c r="E120" s="299"/>
    </row>
    <row r="121" spans="1:5" ht="12" customHeight="1" thickBot="1">
      <c r="A121" s="14" t="s">
        <v>569</v>
      </c>
      <c r="B121" s="10" t="s">
        <v>538</v>
      </c>
      <c r="C121" s="300"/>
      <c r="D121" s="1131"/>
      <c r="E121" s="300"/>
    </row>
    <row r="122" spans="1:5" ht="12" customHeight="1" thickBot="1">
      <c r="A122" s="18" t="s">
        <v>499</v>
      </c>
      <c r="B122" s="122" t="s">
        <v>49</v>
      </c>
      <c r="C122" s="296">
        <f>+C89+C105+C119</f>
        <v>99877528</v>
      </c>
      <c r="D122" s="1129">
        <f>+D89+D105+D119</f>
        <v>99699736</v>
      </c>
      <c r="E122" s="296">
        <f>+E89+E105+E119</f>
        <v>99699736</v>
      </c>
    </row>
    <row r="123" spans="1:5" ht="12" customHeight="1" thickBot="1">
      <c r="A123" s="18" t="s">
        <v>500</v>
      </c>
      <c r="B123" s="122" t="s">
        <v>50</v>
      </c>
      <c r="C123" s="296">
        <f>+C124+C125+C126</f>
        <v>0</v>
      </c>
      <c r="D123" s="1129">
        <f>+D124+D125+D126</f>
        <v>0</v>
      </c>
      <c r="E123" s="296">
        <f>+E124+E125+E126</f>
        <v>0</v>
      </c>
    </row>
    <row r="124" spans="1:5" ht="12" customHeight="1">
      <c r="A124" s="13" t="s">
        <v>572</v>
      </c>
      <c r="B124" s="7" t="s">
        <v>51</v>
      </c>
      <c r="C124" s="269"/>
      <c r="D124" s="1127"/>
      <c r="E124" s="298"/>
    </row>
    <row r="125" spans="1:5" ht="12" customHeight="1">
      <c r="A125" s="13" t="s">
        <v>573</v>
      </c>
      <c r="B125" s="7" t="s">
        <v>52</v>
      </c>
      <c r="C125" s="269"/>
      <c r="D125" s="1127"/>
      <c r="E125" s="298"/>
    </row>
    <row r="126" spans="1:5" ht="12" customHeight="1" thickBot="1">
      <c r="A126" s="11" t="s">
        <v>574</v>
      </c>
      <c r="B126" s="5" t="s">
        <v>53</v>
      </c>
      <c r="C126" s="269"/>
      <c r="D126" s="1127"/>
      <c r="E126" s="298"/>
    </row>
    <row r="127" spans="1:5" ht="12" customHeight="1" thickBot="1">
      <c r="A127" s="18" t="s">
        <v>501</v>
      </c>
      <c r="B127" s="122" t="s">
        <v>114</v>
      </c>
      <c r="C127" s="296">
        <f>+C128+C129+C130+C131</f>
        <v>0</v>
      </c>
      <c r="D127" s="1129">
        <f>+D128+D129+D130+D131</f>
        <v>0</v>
      </c>
      <c r="E127" s="296">
        <f>+E128+E129+E130+E131</f>
        <v>0</v>
      </c>
    </row>
    <row r="128" spans="1:5" ht="12" customHeight="1">
      <c r="A128" s="13" t="s">
        <v>575</v>
      </c>
      <c r="B128" s="7" t="s">
        <v>54</v>
      </c>
      <c r="C128" s="269"/>
      <c r="D128" s="1127"/>
      <c r="E128" s="298"/>
    </row>
    <row r="129" spans="1:5" ht="12" customHeight="1">
      <c r="A129" s="13" t="s">
        <v>576</v>
      </c>
      <c r="B129" s="7" t="s">
        <v>55</v>
      </c>
      <c r="C129" s="269"/>
      <c r="D129" s="1127"/>
      <c r="E129" s="298"/>
    </row>
    <row r="130" spans="1:5" ht="12" customHeight="1">
      <c r="A130" s="13" t="s">
        <v>781</v>
      </c>
      <c r="B130" s="7" t="s">
        <v>56</v>
      </c>
      <c r="C130" s="269"/>
      <c r="D130" s="1127"/>
      <c r="E130" s="298"/>
    </row>
    <row r="131" spans="1:5" ht="12" customHeight="1" thickBot="1">
      <c r="A131" s="11" t="s">
        <v>782</v>
      </c>
      <c r="B131" s="5" t="s">
        <v>57</v>
      </c>
      <c r="C131" s="269"/>
      <c r="D131" s="1127"/>
      <c r="E131" s="298"/>
    </row>
    <row r="132" spans="1:5" ht="12" customHeight="1" thickBot="1">
      <c r="A132" s="18" t="s">
        <v>502</v>
      </c>
      <c r="B132" s="122" t="s">
        <v>58</v>
      </c>
      <c r="C132" s="302">
        <f>+C133+C134+C135+C136</f>
        <v>0</v>
      </c>
      <c r="D132" s="1132">
        <f>+D133+D134+D135+D136</f>
        <v>0</v>
      </c>
      <c r="E132" s="302">
        <f>+E133+E134+E135+E136</f>
        <v>0</v>
      </c>
    </row>
    <row r="133" spans="1:5" ht="12" customHeight="1">
      <c r="A133" s="13" t="s">
        <v>577</v>
      </c>
      <c r="B133" s="7" t="s">
        <v>59</v>
      </c>
      <c r="C133" s="269"/>
      <c r="D133" s="1127"/>
      <c r="E133" s="298"/>
    </row>
    <row r="134" spans="1:5" ht="12" customHeight="1">
      <c r="A134" s="13" t="s">
        <v>578</v>
      </c>
      <c r="B134" s="7" t="s">
        <v>69</v>
      </c>
      <c r="C134" s="269"/>
      <c r="D134" s="1127"/>
      <c r="E134" s="298"/>
    </row>
    <row r="135" spans="1:5" ht="12" customHeight="1">
      <c r="A135" s="13" t="s">
        <v>793</v>
      </c>
      <c r="B135" s="7" t="s">
        <v>60</v>
      </c>
      <c r="C135" s="269"/>
      <c r="D135" s="1127"/>
      <c r="E135" s="298"/>
    </row>
    <row r="136" spans="1:5" ht="12" customHeight="1" thickBot="1">
      <c r="A136" s="11" t="s">
        <v>794</v>
      </c>
      <c r="B136" s="5" t="s">
        <v>61</v>
      </c>
      <c r="C136" s="269"/>
      <c r="D136" s="1127"/>
      <c r="E136" s="298"/>
    </row>
    <row r="137" spans="1:5" ht="12" customHeight="1" thickBot="1">
      <c r="A137" s="18" t="s">
        <v>503</v>
      </c>
      <c r="B137" s="122" t="s">
        <v>62</v>
      </c>
      <c r="C137" s="304">
        <f>+C138+C139+C140+C141</f>
        <v>0</v>
      </c>
      <c r="D137" s="1133">
        <f>+D138+D139+D140+D141</f>
        <v>0</v>
      </c>
      <c r="E137" s="304">
        <f>+E138+E139+E140+E141</f>
        <v>0</v>
      </c>
    </row>
    <row r="138" spans="1:5" ht="12" customHeight="1">
      <c r="A138" s="13" t="s">
        <v>657</v>
      </c>
      <c r="B138" s="7" t="s">
        <v>63</v>
      </c>
      <c r="C138" s="269"/>
      <c r="D138" s="1127"/>
      <c r="E138" s="298"/>
    </row>
    <row r="139" spans="1:5" ht="12" customHeight="1">
      <c r="A139" s="13" t="s">
        <v>658</v>
      </c>
      <c r="B139" s="7" t="s">
        <v>64</v>
      </c>
      <c r="C139" s="269"/>
      <c r="D139" s="1127"/>
      <c r="E139" s="298"/>
    </row>
    <row r="140" spans="1:5" ht="12" customHeight="1">
      <c r="A140" s="13" t="s">
        <v>709</v>
      </c>
      <c r="B140" s="7" t="s">
        <v>65</v>
      </c>
      <c r="C140" s="269"/>
      <c r="D140" s="1127"/>
      <c r="E140" s="298"/>
    </row>
    <row r="141" spans="1:5" ht="12" customHeight="1" thickBot="1">
      <c r="A141" s="13" t="s">
        <v>796</v>
      </c>
      <c r="B141" s="7" t="s">
        <v>66</v>
      </c>
      <c r="C141" s="269"/>
      <c r="D141" s="1127"/>
      <c r="E141" s="298"/>
    </row>
    <row r="142" spans="1:9" ht="15" customHeight="1" thickBot="1">
      <c r="A142" s="18" t="s">
        <v>504</v>
      </c>
      <c r="B142" s="122" t="s">
        <v>67</v>
      </c>
      <c r="C142" s="414">
        <f>+C123+C127+C132+C137</f>
        <v>0</v>
      </c>
      <c r="D142" s="1134">
        <f>+D123+D127+D132+D137</f>
        <v>0</v>
      </c>
      <c r="E142" s="414">
        <f>+E123+E127+E132+E137</f>
        <v>0</v>
      </c>
      <c r="F142" s="415"/>
      <c r="G142" s="416"/>
      <c r="H142" s="416"/>
      <c r="I142" s="416"/>
    </row>
    <row r="143" spans="1:5" s="401" customFormat="1" ht="12.75" customHeight="1" thickBot="1">
      <c r="A143" s="294" t="s">
        <v>505</v>
      </c>
      <c r="B143" s="375" t="s">
        <v>68</v>
      </c>
      <c r="C143" s="414">
        <f>+C122+C142</f>
        <v>99877528</v>
      </c>
      <c r="D143" s="414">
        <f>+D122+D142</f>
        <v>99699736</v>
      </c>
      <c r="E143" s="414">
        <f>+E122+E142</f>
        <v>99699736</v>
      </c>
    </row>
    <row r="144" ht="7.5" customHeight="1"/>
    <row r="145" spans="1:5" ht="15.75">
      <c r="A145" s="1138" t="s">
        <v>70</v>
      </c>
      <c r="B145" s="1138"/>
      <c r="C145" s="1138"/>
      <c r="D145" s="399"/>
      <c r="E145" s="399"/>
    </row>
    <row r="146" spans="1:5" ht="15" customHeight="1" thickBot="1">
      <c r="A146" s="1135" t="s">
        <v>630</v>
      </c>
      <c r="B146" s="1135"/>
      <c r="C146" s="305"/>
      <c r="D146" s="305"/>
      <c r="E146" s="305"/>
    </row>
    <row r="147" spans="1:5" ht="13.5" customHeight="1" thickBot="1">
      <c r="A147" s="18">
        <v>1</v>
      </c>
      <c r="B147" s="28" t="s">
        <v>71</v>
      </c>
      <c r="C147" s="296">
        <f>+C60-C122</f>
        <v>0</v>
      </c>
      <c r="D147" s="296">
        <f>+D60-D122</f>
        <v>0</v>
      </c>
      <c r="E147" s="296">
        <f>+E60-E122</f>
        <v>0</v>
      </c>
    </row>
    <row r="148" spans="1:5" ht="27.75" customHeight="1" thickBot="1">
      <c r="A148" s="18" t="s">
        <v>497</v>
      </c>
      <c r="B148" s="28" t="s">
        <v>72</v>
      </c>
      <c r="C148" s="296">
        <f>+C83-C142</f>
        <v>0</v>
      </c>
      <c r="D148" s="296">
        <f>+D83-D142</f>
        <v>0</v>
      </c>
      <c r="E148" s="296">
        <f>+E83-E142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Tát Város Önkormányzat
2016. ÉVI KÖLTSÉGVETÉS
ÁLLAMI (ÁLLAMIGAZGATÁSI) FELADATOK MÉRLEGE
&amp;R&amp;"Times New Roman CE,Félkövér dőlt"&amp;11 1.4. melléklet az  1/2017. (II.7.)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"/>
  <sheetViews>
    <sheetView view="pageBreakPreview" zoomScaleNormal="115" zoomScaleSheetLayoutView="100" workbookViewId="0" topLeftCell="C1">
      <selection activeCell="G23" sqref="G23"/>
    </sheetView>
  </sheetViews>
  <sheetFormatPr defaultColWidth="9.00390625" defaultRowHeight="12.75"/>
  <cols>
    <col min="1" max="1" width="6.875" style="54" customWidth="1"/>
    <col min="2" max="2" width="55.125" style="193" customWidth="1"/>
    <col min="3" max="6" width="16.375" style="54" customWidth="1"/>
    <col min="7" max="7" width="55.125" style="54" customWidth="1"/>
    <col min="8" max="11" width="16.375" style="54" customWidth="1"/>
    <col min="12" max="12" width="4.875" style="54" customWidth="1"/>
    <col min="13" max="16384" width="9.375" style="54" customWidth="1"/>
  </cols>
  <sheetData>
    <row r="1" spans="2:12" ht="39.75" customHeight="1">
      <c r="B1" s="316" t="s">
        <v>634</v>
      </c>
      <c r="C1" s="317"/>
      <c r="D1" s="317"/>
      <c r="E1" s="317"/>
      <c r="F1" s="317"/>
      <c r="G1" s="317"/>
      <c r="H1" s="317"/>
      <c r="I1" s="317"/>
      <c r="J1" s="317"/>
      <c r="K1" s="317"/>
      <c r="L1" s="1142" t="s">
        <v>879</v>
      </c>
    </row>
    <row r="2" spans="8:12" ht="14.25" thickBot="1">
      <c r="H2" s="318"/>
      <c r="I2" s="318"/>
      <c r="L2" s="1142"/>
    </row>
    <row r="3" spans="1:12" ht="18" customHeight="1" thickBot="1">
      <c r="A3" s="1140" t="s">
        <v>549</v>
      </c>
      <c r="B3" s="319" t="s">
        <v>533</v>
      </c>
      <c r="C3" s="320"/>
      <c r="D3" s="320"/>
      <c r="E3" s="320"/>
      <c r="F3" s="320"/>
      <c r="G3" s="319" t="s">
        <v>535</v>
      </c>
      <c r="H3" s="321"/>
      <c r="I3" s="321"/>
      <c r="J3" s="1071"/>
      <c r="K3" s="1071"/>
      <c r="L3" s="1142"/>
    </row>
    <row r="4" spans="1:12" s="322" customFormat="1" ht="35.25" customHeight="1" thickBot="1">
      <c r="A4" s="1141"/>
      <c r="B4" s="194" t="s">
        <v>541</v>
      </c>
      <c r="C4" s="195" t="s">
        <v>401</v>
      </c>
      <c r="D4" s="195" t="s">
        <v>864</v>
      </c>
      <c r="E4" s="195" t="s">
        <v>891</v>
      </c>
      <c r="F4" s="195" t="s">
        <v>897</v>
      </c>
      <c r="G4" s="194" t="s">
        <v>541</v>
      </c>
      <c r="H4" s="50" t="s">
        <v>401</v>
      </c>
      <c r="I4" s="50" t="s">
        <v>865</v>
      </c>
      <c r="J4" s="1072" t="s">
        <v>891</v>
      </c>
      <c r="K4" s="1072" t="s">
        <v>897</v>
      </c>
      <c r="L4" s="1142"/>
    </row>
    <row r="5" spans="1:12" s="327" customFormat="1" ht="12" customHeight="1" thickBot="1">
      <c r="A5" s="323">
        <v>1</v>
      </c>
      <c r="B5" s="324">
        <v>2</v>
      </c>
      <c r="C5" s="325" t="s">
        <v>498</v>
      </c>
      <c r="D5" s="325" t="s">
        <v>499</v>
      </c>
      <c r="E5" s="325" t="s">
        <v>500</v>
      </c>
      <c r="F5" s="325" t="s">
        <v>501</v>
      </c>
      <c r="G5" s="324" t="s">
        <v>502</v>
      </c>
      <c r="H5" s="326" t="s">
        <v>503</v>
      </c>
      <c r="I5" s="326" t="s">
        <v>504</v>
      </c>
      <c r="J5" s="323" t="s">
        <v>505</v>
      </c>
      <c r="K5" s="323" t="s">
        <v>506</v>
      </c>
      <c r="L5" s="1142"/>
    </row>
    <row r="6" spans="1:12" ht="12.75" customHeight="1">
      <c r="A6" s="328" t="s">
        <v>496</v>
      </c>
      <c r="B6" s="329" t="s">
        <v>73</v>
      </c>
      <c r="C6" s="1050">
        <f>'1.1.melléklet'!C5</f>
        <v>393077057</v>
      </c>
      <c r="D6" s="1125">
        <f>'1.1.melléklet'!D5</f>
        <v>399007587</v>
      </c>
      <c r="E6" s="1125">
        <f>'1.1.melléklet'!E5</f>
        <v>407038614</v>
      </c>
      <c r="F6" s="1044">
        <v>421101135</v>
      </c>
      <c r="G6" s="329" t="s">
        <v>542</v>
      </c>
      <c r="H6" s="311">
        <f>'1.1.melléklet'!C92</f>
        <v>207127000</v>
      </c>
      <c r="I6" s="311">
        <f>'1.1.melléklet'!D92</f>
        <v>213677801</v>
      </c>
      <c r="J6" s="1055">
        <v>222427477</v>
      </c>
      <c r="K6" s="1055">
        <v>226707681</v>
      </c>
      <c r="L6" s="1142"/>
    </row>
    <row r="7" spans="1:12" ht="12.75" customHeight="1">
      <c r="A7" s="330" t="s">
        <v>497</v>
      </c>
      <c r="B7" s="331" t="s">
        <v>74</v>
      </c>
      <c r="C7" s="308">
        <f>'1.1.melléklet'!C12</f>
        <v>10280000</v>
      </c>
      <c r="D7" s="1056">
        <f>'1.1.melléklet'!D12</f>
        <v>15641485</v>
      </c>
      <c r="E7" s="1056">
        <f>'1.1.melléklet'!E12</f>
        <v>20180814</v>
      </c>
      <c r="F7" s="1045">
        <v>24232699</v>
      </c>
      <c r="G7" s="331" t="s">
        <v>659</v>
      </c>
      <c r="H7" s="312">
        <f>'1.1.melléklet'!C93</f>
        <v>49032554</v>
      </c>
      <c r="I7" s="312">
        <f>'1.1.melléklet'!D93</f>
        <v>51285943</v>
      </c>
      <c r="J7" s="1056">
        <v>53210872</v>
      </c>
      <c r="K7" s="1056">
        <v>54372516</v>
      </c>
      <c r="L7" s="1142"/>
    </row>
    <row r="8" spans="1:12" ht="12.75" customHeight="1">
      <c r="A8" s="330" t="s">
        <v>498</v>
      </c>
      <c r="B8" s="331" t="s">
        <v>116</v>
      </c>
      <c r="C8" s="308">
        <f>'1.1.melléklet'!C18</f>
        <v>0</v>
      </c>
      <c r="D8" s="1056">
        <f>'1.1.melléklet'!D18</f>
        <v>0</v>
      </c>
      <c r="E8" s="1056">
        <f>'1.1.melléklet'!E18</f>
        <v>0</v>
      </c>
      <c r="F8" s="1045">
        <f>'1.1.melléklet'!F18</f>
        <v>0</v>
      </c>
      <c r="G8" s="331" t="s">
        <v>713</v>
      </c>
      <c r="H8" s="312">
        <f>'1.1.melléklet'!C94</f>
        <v>217013000</v>
      </c>
      <c r="I8" s="312">
        <f>'1.1.melléklet'!D94</f>
        <v>220257609</v>
      </c>
      <c r="J8" s="1056">
        <v>226576835</v>
      </c>
      <c r="K8" s="1056">
        <v>241067324</v>
      </c>
      <c r="L8" s="1142"/>
    </row>
    <row r="9" spans="1:12" ht="12.75" customHeight="1">
      <c r="A9" s="330" t="s">
        <v>499</v>
      </c>
      <c r="B9" s="331" t="s">
        <v>650</v>
      </c>
      <c r="C9" s="308">
        <f>'1.1.melléklet'!C26</f>
        <v>145800000</v>
      </c>
      <c r="D9" s="1056">
        <f>'1.1.melléklet'!D26</f>
        <v>145800000</v>
      </c>
      <c r="E9" s="1056">
        <f>'1.1.melléklet'!E26</f>
        <v>145800000</v>
      </c>
      <c r="F9" s="1045">
        <f>'1.1.melléklet'!F26</f>
        <v>151250000</v>
      </c>
      <c r="G9" s="331" t="s">
        <v>660</v>
      </c>
      <c r="H9" s="312">
        <f>'1.1.melléklet'!C95</f>
        <v>9611000</v>
      </c>
      <c r="I9" s="312">
        <f>'1.1.melléklet'!D95</f>
        <v>11611000</v>
      </c>
      <c r="J9" s="1056">
        <v>11611000</v>
      </c>
      <c r="K9" s="1056">
        <v>5107000</v>
      </c>
      <c r="L9" s="1142"/>
    </row>
    <row r="10" spans="1:12" ht="12.75" customHeight="1">
      <c r="A10" s="330" t="s">
        <v>500</v>
      </c>
      <c r="B10" s="332" t="s">
        <v>75</v>
      </c>
      <c r="C10" s="308"/>
      <c r="D10" s="1056"/>
      <c r="E10" s="1056"/>
      <c r="F10" s="1045"/>
      <c r="G10" s="331" t="s">
        <v>661</v>
      </c>
      <c r="H10" s="312">
        <f>'1.1.melléklet'!C96</f>
        <v>144142641</v>
      </c>
      <c r="I10" s="312">
        <f>'1.1.melléklet'!D96</f>
        <v>148875580</v>
      </c>
      <c r="J10" s="1056">
        <v>153559307</v>
      </c>
      <c r="K10" s="1056">
        <v>157005910</v>
      </c>
      <c r="L10" s="1142"/>
    </row>
    <row r="11" spans="1:12" ht="12.75" customHeight="1">
      <c r="A11" s="330" t="s">
        <v>501</v>
      </c>
      <c r="B11" s="331" t="s">
        <v>876</v>
      </c>
      <c r="C11" s="308">
        <f>'1.1.melléklet'!C52</f>
        <v>0</v>
      </c>
      <c r="D11" s="1056">
        <f>'1.1.melléklet'!D52</f>
        <v>2080298</v>
      </c>
      <c r="E11" s="1056">
        <f>'1.1.melléklet'!E52</f>
        <v>2380298</v>
      </c>
      <c r="F11" s="1046">
        <f>'1.1.melléklet'!F52</f>
        <v>2590298</v>
      </c>
      <c r="G11" s="331" t="s">
        <v>527</v>
      </c>
      <c r="H11" s="312">
        <v>38342762</v>
      </c>
      <c r="I11" s="312">
        <v>21722532</v>
      </c>
      <c r="J11" s="1056">
        <v>17204866</v>
      </c>
      <c r="K11" s="1056">
        <v>20922905</v>
      </c>
      <c r="L11" s="1142"/>
    </row>
    <row r="12" spans="1:12" ht="12.75" customHeight="1">
      <c r="A12" s="330" t="s">
        <v>502</v>
      </c>
      <c r="B12" s="331" t="s">
        <v>779</v>
      </c>
      <c r="C12" s="308">
        <f>'1.1.melléklet'!C34</f>
        <v>116111900</v>
      </c>
      <c r="D12" s="1056">
        <f>'1.1.melléklet'!D34</f>
        <v>116111900</v>
      </c>
      <c r="E12" s="1056">
        <f>'1.1.melléklet'!E34</f>
        <v>117706714</v>
      </c>
      <c r="F12" s="1045">
        <f>'1.1.melléklet'!F34</f>
        <v>159642387</v>
      </c>
      <c r="G12" s="44"/>
      <c r="H12" s="312"/>
      <c r="I12" s="312"/>
      <c r="J12" s="1056">
        <f>'1.1.melléklet'!I34</f>
        <v>0</v>
      </c>
      <c r="K12" s="1056">
        <f>'1.1.melléklet'!J34</f>
        <v>0</v>
      </c>
      <c r="L12" s="1142"/>
    </row>
    <row r="13" spans="1:12" ht="12.75" customHeight="1">
      <c r="A13" s="330" t="s">
        <v>503</v>
      </c>
      <c r="B13" s="44"/>
      <c r="C13" s="308"/>
      <c r="D13" s="1056"/>
      <c r="E13" s="1056"/>
      <c r="F13" s="1045"/>
      <c r="G13" s="44"/>
      <c r="H13" s="312"/>
      <c r="I13" s="312"/>
      <c r="J13" s="1056"/>
      <c r="K13" s="1056"/>
      <c r="L13" s="1142"/>
    </row>
    <row r="14" spans="1:12" ht="12.75" customHeight="1">
      <c r="A14" s="330" t="s">
        <v>504</v>
      </c>
      <c r="B14" s="418"/>
      <c r="C14" s="308"/>
      <c r="D14" s="1056"/>
      <c r="E14" s="1056"/>
      <c r="F14" s="1046"/>
      <c r="G14" s="44"/>
      <c r="H14" s="312"/>
      <c r="I14" s="312"/>
      <c r="J14" s="1056"/>
      <c r="K14" s="1056"/>
      <c r="L14" s="1142"/>
    </row>
    <row r="15" spans="1:12" ht="12.75" customHeight="1">
      <c r="A15" s="330" t="s">
        <v>505</v>
      </c>
      <c r="B15" s="44"/>
      <c r="C15" s="308"/>
      <c r="D15" s="1056"/>
      <c r="E15" s="1056"/>
      <c r="F15" s="1045"/>
      <c r="G15" s="44"/>
      <c r="H15" s="312"/>
      <c r="I15" s="312"/>
      <c r="J15" s="1056"/>
      <c r="K15" s="1056"/>
      <c r="L15" s="1142"/>
    </row>
    <row r="16" spans="1:12" ht="12.75" customHeight="1">
      <c r="A16" s="330" t="s">
        <v>506</v>
      </c>
      <c r="B16" s="44"/>
      <c r="C16" s="308"/>
      <c r="D16" s="1056"/>
      <c r="E16" s="1056"/>
      <c r="F16" s="1045"/>
      <c r="G16" s="44"/>
      <c r="H16" s="312"/>
      <c r="I16" s="312"/>
      <c r="J16" s="1056"/>
      <c r="K16" s="1056"/>
      <c r="L16" s="1142"/>
    </row>
    <row r="17" spans="1:12" ht="12.75" customHeight="1" thickBot="1">
      <c r="A17" s="330" t="s">
        <v>507</v>
      </c>
      <c r="B17" s="55"/>
      <c r="C17" s="1118"/>
      <c r="D17" s="1073"/>
      <c r="E17" s="1073"/>
      <c r="F17" s="1121"/>
      <c r="G17" s="44"/>
      <c r="H17" s="313"/>
      <c r="I17" s="313"/>
      <c r="J17" s="1073"/>
      <c r="K17" s="1073"/>
      <c r="L17" s="1142"/>
    </row>
    <row r="18" spans="1:12" ht="15.75" customHeight="1" thickBot="1">
      <c r="A18" s="333" t="s">
        <v>508</v>
      </c>
      <c r="B18" s="124" t="s">
        <v>117</v>
      </c>
      <c r="C18" s="1051">
        <f>+C6+C7+C9+C10+C12+C13+C14+C15+C16+C17</f>
        <v>665268957</v>
      </c>
      <c r="D18" s="626">
        <f>+D6+D7+D9+D10+D12+D13+D14+D15+D16+D17+D11</f>
        <v>678641270</v>
      </c>
      <c r="E18" s="626">
        <f>+E6+E7+E9+E10+E12+E13+E14+E15+E16+E17+E11</f>
        <v>693106440</v>
      </c>
      <c r="F18" s="1122">
        <f>+F6+F7+F9+F10+F12+F13+F14+F15+F16+F17+F11</f>
        <v>758816519</v>
      </c>
      <c r="G18" s="124" t="s">
        <v>84</v>
      </c>
      <c r="H18" s="314">
        <f>SUM(H6:H17)</f>
        <v>665268957</v>
      </c>
      <c r="I18" s="314">
        <f>SUM(I6:I17)</f>
        <v>667430465</v>
      </c>
      <c r="J18" s="626">
        <f>J6+J7+J8+J9+J10+J11</f>
        <v>684590357</v>
      </c>
      <c r="K18" s="626">
        <f>K6+K7+K8+K9+K10+K11</f>
        <v>705183336</v>
      </c>
      <c r="L18" s="1142"/>
    </row>
    <row r="19" spans="1:12" ht="12.75" customHeight="1">
      <c r="A19" s="334" t="s">
        <v>509</v>
      </c>
      <c r="B19" s="335" t="s">
        <v>79</v>
      </c>
      <c r="C19" s="1119">
        <f>+C20+C21+C22+C23</f>
        <v>0</v>
      </c>
      <c r="D19" s="1058">
        <f>+D20+D21+D22+D23</f>
        <v>4838082</v>
      </c>
      <c r="E19" s="1058">
        <f>+E20+E21+E22+E23</f>
        <v>7532804</v>
      </c>
      <c r="F19" s="1123"/>
      <c r="G19" s="336" t="s">
        <v>667</v>
      </c>
      <c r="H19" s="315"/>
      <c r="I19" s="315"/>
      <c r="J19" s="1074"/>
      <c r="K19" s="1074"/>
      <c r="L19" s="1142"/>
    </row>
    <row r="20" spans="1:12" ht="12.75" customHeight="1">
      <c r="A20" s="337" t="s">
        <v>510</v>
      </c>
      <c r="B20" s="336" t="s">
        <v>706</v>
      </c>
      <c r="C20" s="1053"/>
      <c r="D20" s="1059">
        <v>4838082</v>
      </c>
      <c r="E20" s="1059">
        <v>7532804</v>
      </c>
      <c r="F20" s="130"/>
      <c r="G20" s="336" t="s">
        <v>83</v>
      </c>
      <c r="H20" s="79"/>
      <c r="I20" s="79"/>
      <c r="J20" s="1059"/>
      <c r="K20" s="1059"/>
      <c r="L20" s="1142"/>
    </row>
    <row r="21" spans="1:12" ht="12.75" customHeight="1">
      <c r="A21" s="337" t="s">
        <v>511</v>
      </c>
      <c r="B21" s="336" t="s">
        <v>707</v>
      </c>
      <c r="C21" s="1053"/>
      <c r="D21" s="1059"/>
      <c r="E21" s="1059"/>
      <c r="F21" s="130"/>
      <c r="G21" s="336" t="s">
        <v>632</v>
      </c>
      <c r="H21" s="79"/>
      <c r="I21" s="79"/>
      <c r="J21" s="1059"/>
      <c r="K21" s="1059"/>
      <c r="L21" s="1142"/>
    </row>
    <row r="22" spans="1:12" ht="12.75" customHeight="1">
      <c r="A22" s="337" t="s">
        <v>512</v>
      </c>
      <c r="B22" s="336" t="s">
        <v>711</v>
      </c>
      <c r="C22" s="1053"/>
      <c r="D22" s="1059"/>
      <c r="E22" s="1059"/>
      <c r="F22" s="130"/>
      <c r="G22" s="336" t="s">
        <v>633</v>
      </c>
      <c r="H22" s="79"/>
      <c r="I22" s="79"/>
      <c r="J22" s="1059"/>
      <c r="K22" s="1059"/>
      <c r="L22" s="1142"/>
    </row>
    <row r="23" spans="1:12" ht="12.75" customHeight="1">
      <c r="A23" s="337" t="s">
        <v>513</v>
      </c>
      <c r="B23" s="336" t="s">
        <v>712</v>
      </c>
      <c r="C23" s="1053"/>
      <c r="D23" s="1059"/>
      <c r="E23" s="1059"/>
      <c r="F23" s="130"/>
      <c r="G23" s="335" t="s">
        <v>877</v>
      </c>
      <c r="H23" s="79"/>
      <c r="I23" s="79">
        <v>14042123</v>
      </c>
      <c r="J23" s="1059">
        <v>14042123</v>
      </c>
      <c r="K23" s="1059">
        <v>14042123</v>
      </c>
      <c r="L23" s="1142"/>
    </row>
    <row r="24" spans="1:12" ht="12.75" customHeight="1">
      <c r="A24" s="337" t="s">
        <v>514</v>
      </c>
      <c r="B24" s="336" t="s">
        <v>80</v>
      </c>
      <c r="C24" s="1054">
        <f>+C25+C26</f>
        <v>0</v>
      </c>
      <c r="D24" s="1060">
        <f>+D25+D26</f>
        <v>0</v>
      </c>
      <c r="E24" s="1060">
        <f>+E25+E26</f>
        <v>0</v>
      </c>
      <c r="F24" s="1124">
        <f>+F25+F26</f>
        <v>0</v>
      </c>
      <c r="G24" s="336" t="s">
        <v>878</v>
      </c>
      <c r="H24" s="79"/>
      <c r="I24" s="79">
        <v>2006764</v>
      </c>
      <c r="J24" s="1076">
        <v>2006764</v>
      </c>
      <c r="K24" s="1076">
        <v>2006764</v>
      </c>
      <c r="L24" s="1142"/>
    </row>
    <row r="25" spans="1:12" ht="12.75" customHeight="1">
      <c r="A25" s="334" t="s">
        <v>515</v>
      </c>
      <c r="B25" s="335" t="s">
        <v>77</v>
      </c>
      <c r="C25" s="1120"/>
      <c r="D25" s="1059"/>
      <c r="E25" s="1059"/>
      <c r="F25" s="1047"/>
      <c r="G25" s="329" t="s">
        <v>669</v>
      </c>
      <c r="H25" s="315"/>
      <c r="I25" s="315"/>
      <c r="J25" s="1075"/>
      <c r="K25" s="1075"/>
      <c r="L25" s="1142"/>
    </row>
    <row r="26" spans="1:12" ht="12.75" customHeight="1" thickBot="1">
      <c r="A26" s="337" t="s">
        <v>516</v>
      </c>
      <c r="B26" s="336" t="s">
        <v>78</v>
      </c>
      <c r="C26" s="1053"/>
      <c r="D26" s="1126"/>
      <c r="E26" s="1126"/>
      <c r="F26" s="130"/>
      <c r="G26" s="44"/>
      <c r="H26" s="79"/>
      <c r="I26" s="79"/>
      <c r="J26" s="1059"/>
      <c r="K26" s="1059"/>
      <c r="L26" s="1142"/>
    </row>
    <row r="27" spans="1:12" ht="15.75" customHeight="1" thickBot="1">
      <c r="A27" s="333" t="s">
        <v>517</v>
      </c>
      <c r="B27" s="124" t="s">
        <v>81</v>
      </c>
      <c r="C27" s="1051">
        <f>+C19+C24</f>
        <v>0</v>
      </c>
      <c r="D27" s="626">
        <f>+D19+D24</f>
        <v>4838082</v>
      </c>
      <c r="E27" s="626">
        <f>+E19+E24</f>
        <v>7532804</v>
      </c>
      <c r="F27" s="1122">
        <f>+F19+F24</f>
        <v>0</v>
      </c>
      <c r="G27" s="124" t="s">
        <v>87</v>
      </c>
      <c r="H27" s="314">
        <f>SUM(H19:H26)</f>
        <v>0</v>
      </c>
      <c r="I27" s="314">
        <f>SUM(I19:I26)</f>
        <v>16048887</v>
      </c>
      <c r="J27" s="626">
        <f>+J19+J23+J24</f>
        <v>16048887</v>
      </c>
      <c r="K27" s="626">
        <f>+K19+K23+K24</f>
        <v>16048887</v>
      </c>
      <c r="L27" s="1142"/>
    </row>
    <row r="28" spans="1:12" ht="13.5" thickBot="1">
      <c r="A28" s="333" t="s">
        <v>518</v>
      </c>
      <c r="B28" s="338" t="s">
        <v>82</v>
      </c>
      <c r="C28" s="339">
        <f>+C18+C27</f>
        <v>665268957</v>
      </c>
      <c r="D28" s="339">
        <f>+D18+D27</f>
        <v>683479352</v>
      </c>
      <c r="E28" s="339">
        <f>+E18+E27</f>
        <v>700639244</v>
      </c>
      <c r="F28" s="339">
        <f>+F18+F27</f>
        <v>758816519</v>
      </c>
      <c r="G28" s="338" t="s">
        <v>88</v>
      </c>
      <c r="H28" s="339">
        <f>+H18+H27</f>
        <v>665268957</v>
      </c>
      <c r="I28" s="339">
        <f>+I18+I27</f>
        <v>683479352</v>
      </c>
      <c r="J28" s="339">
        <f>+J18+J27</f>
        <v>700639244</v>
      </c>
      <c r="K28" s="339">
        <f>+K18+K27</f>
        <v>721232223</v>
      </c>
      <c r="L28" s="1142"/>
    </row>
    <row r="29" spans="1:12" ht="13.5" thickBot="1">
      <c r="A29" s="333" t="s">
        <v>519</v>
      </c>
      <c r="B29" s="338" t="s">
        <v>645</v>
      </c>
      <c r="C29" s="339" t="str">
        <f>IF(C18-H18&lt;0,H18-C18,"-")</f>
        <v>-</v>
      </c>
      <c r="D29" s="339" t="str">
        <f>IF(D18-I18&lt;0,I18-D18,"-")</f>
        <v>-</v>
      </c>
      <c r="E29" s="339" t="str">
        <f>IF(E18-J18&lt;0,J18-E18,"-")</f>
        <v>-</v>
      </c>
      <c r="F29" s="339" t="str">
        <f>IF(F18-K18&lt;0,K18-F18,"-")</f>
        <v>-</v>
      </c>
      <c r="G29" s="338" t="s">
        <v>646</v>
      </c>
      <c r="H29" s="339" t="str">
        <f>IF(C18-H18&gt;0,C18-H18,"-")</f>
        <v>-</v>
      </c>
      <c r="I29" s="339">
        <f>IF(D18-I18&gt;0,D18-I18,"-")</f>
        <v>11210805</v>
      </c>
      <c r="J29" s="339">
        <f>IF(E18-J18&gt;0,E18-J18,"-")</f>
        <v>8516083</v>
      </c>
      <c r="K29" s="339">
        <f>IF(F18-K18&gt;0,F18-K18,"-")</f>
        <v>53633183</v>
      </c>
      <c r="L29" s="1142"/>
    </row>
    <row r="30" spans="1:12" ht="13.5" thickBot="1">
      <c r="A30" s="333" t="s">
        <v>520</v>
      </c>
      <c r="B30" s="338" t="s">
        <v>715</v>
      </c>
      <c r="C30" s="339" t="str">
        <f>IF(C18+C19-H28&lt;0,H28-(C18+C19),"-")</f>
        <v>-</v>
      </c>
      <c r="D30" s="339" t="str">
        <f>IF(D18+D19-I28&lt;0,I28-(D18+D19),"-")</f>
        <v>-</v>
      </c>
      <c r="E30" s="339" t="str">
        <f>IF(E18+E19-J28&lt;0,J28-(E18+E19),"-")</f>
        <v>-</v>
      </c>
      <c r="F30" s="339" t="str">
        <f>IF(F18+F19-L28&lt;0,L28-(F18+F19),"-")</f>
        <v>-</v>
      </c>
      <c r="G30" s="338" t="s">
        <v>716</v>
      </c>
      <c r="H30" s="339" t="str">
        <f>IF(C18+C19-H28&gt;0,C18+C19-H28,"-")</f>
        <v>-</v>
      </c>
      <c r="I30" s="339" t="str">
        <f>IF(D18+D19-I28&gt;0,D18+D19-I28,"-")</f>
        <v>-</v>
      </c>
      <c r="J30" s="339" t="str">
        <f>IF(J18+J19-O28&lt;0,O28-(J18+J19),"-")</f>
        <v>-</v>
      </c>
      <c r="K30" s="339" t="str">
        <f>IF(K18+K19-P28&lt;0,P28-(K18+K19),"-")</f>
        <v>-</v>
      </c>
      <c r="L30" s="1142"/>
    </row>
    <row r="31" spans="2:7" ht="18.75">
      <c r="B31" s="1143" t="s">
        <v>909</v>
      </c>
      <c r="C31" s="1144"/>
      <c r="D31" s="1144"/>
      <c r="E31" s="1144"/>
      <c r="F31" s="1144"/>
      <c r="G31" s="1144"/>
    </row>
  </sheetData>
  <sheetProtection/>
  <mergeCells count="3">
    <mergeCell ref="A3:A4"/>
    <mergeCell ref="L1:L30"/>
    <mergeCell ref="B31:G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61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view="pageBreakPreview" zoomScale="115" zoomScaleSheetLayoutView="115" workbookViewId="0" topLeftCell="D4">
      <selection activeCell="K18" sqref="K18"/>
    </sheetView>
  </sheetViews>
  <sheetFormatPr defaultColWidth="9.00390625" defaultRowHeight="12.75"/>
  <cols>
    <col min="1" max="1" width="6.875" style="54" customWidth="1"/>
    <col min="2" max="2" width="55.125" style="193" customWidth="1"/>
    <col min="3" max="6" width="16.375" style="54" customWidth="1"/>
    <col min="7" max="7" width="55.125" style="54" customWidth="1"/>
    <col min="8" max="11" width="16.375" style="54" customWidth="1"/>
    <col min="12" max="12" width="4.875" style="54" customWidth="1"/>
    <col min="13" max="16384" width="9.375" style="54" customWidth="1"/>
  </cols>
  <sheetData>
    <row r="1" spans="2:12" ht="31.5">
      <c r="B1" s="316" t="s">
        <v>635</v>
      </c>
      <c r="C1" s="317"/>
      <c r="D1" s="317"/>
      <c r="E1" s="317"/>
      <c r="F1" s="317"/>
      <c r="G1" s="317"/>
      <c r="H1" s="317"/>
      <c r="I1" s="317"/>
      <c r="J1" s="317"/>
      <c r="K1" s="317"/>
      <c r="L1" s="1142" t="s">
        <v>880</v>
      </c>
    </row>
    <row r="2" spans="8:12" ht="14.25" thickBot="1">
      <c r="H2" s="318"/>
      <c r="I2" s="318"/>
      <c r="L2" s="1142"/>
    </row>
    <row r="3" spans="1:12" ht="13.5" thickBot="1">
      <c r="A3" s="1145" t="s">
        <v>549</v>
      </c>
      <c r="B3" s="319" t="s">
        <v>533</v>
      </c>
      <c r="C3" s="320"/>
      <c r="D3" s="320"/>
      <c r="E3" s="1043"/>
      <c r="F3" s="1043"/>
      <c r="G3" s="319" t="s">
        <v>535</v>
      </c>
      <c r="H3" s="321"/>
      <c r="I3" s="321"/>
      <c r="J3" s="1061"/>
      <c r="K3" s="1061"/>
      <c r="L3" s="1142"/>
    </row>
    <row r="4" spans="1:12" s="322" customFormat="1" ht="24.75" thickBot="1">
      <c r="A4" s="1146"/>
      <c r="B4" s="194" t="s">
        <v>541</v>
      </c>
      <c r="C4" s="195" t="s">
        <v>401</v>
      </c>
      <c r="D4" s="195" t="s">
        <v>864</v>
      </c>
      <c r="E4" s="195" t="s">
        <v>891</v>
      </c>
      <c r="F4" s="195" t="s">
        <v>897</v>
      </c>
      <c r="G4" s="194" t="s">
        <v>541</v>
      </c>
      <c r="H4" s="195" t="s">
        <v>401</v>
      </c>
      <c r="I4" s="195" t="s">
        <v>864</v>
      </c>
      <c r="J4" s="50" t="s">
        <v>891</v>
      </c>
      <c r="K4" s="50" t="s">
        <v>891</v>
      </c>
      <c r="L4" s="1142"/>
    </row>
    <row r="5" spans="1:12" s="322" customFormat="1" ht="13.5" thickBot="1">
      <c r="A5" s="323">
        <v>1</v>
      </c>
      <c r="B5" s="324">
        <v>2</v>
      </c>
      <c r="C5" s="1049">
        <v>3</v>
      </c>
      <c r="D5" s="323">
        <v>4</v>
      </c>
      <c r="E5" s="1110">
        <v>5</v>
      </c>
      <c r="F5" s="323">
        <v>6</v>
      </c>
      <c r="G5" s="324">
        <v>7</v>
      </c>
      <c r="H5" s="326">
        <v>8</v>
      </c>
      <c r="I5" s="326">
        <v>9</v>
      </c>
      <c r="J5" s="1062">
        <v>10</v>
      </c>
      <c r="K5" s="1062">
        <v>11</v>
      </c>
      <c r="L5" s="1142"/>
    </row>
    <row r="6" spans="1:12" ht="25.5" customHeight="1">
      <c r="A6" s="328" t="s">
        <v>496</v>
      </c>
      <c r="B6" s="329" t="s">
        <v>859</v>
      </c>
      <c r="C6" s="1050">
        <f>'1.1.melléklet'!C19</f>
        <v>157449027</v>
      </c>
      <c r="D6" s="1055">
        <f>'1.1.melléklet'!D19</f>
        <v>157449027</v>
      </c>
      <c r="E6" s="1111">
        <v>682351933</v>
      </c>
      <c r="F6" s="1055">
        <v>682351933</v>
      </c>
      <c r="G6" s="329" t="s">
        <v>708</v>
      </c>
      <c r="H6" s="311">
        <f>'1.1.melléklet'!C108</f>
        <v>140411285</v>
      </c>
      <c r="I6" s="311">
        <f>'1.1.melléklet'!D108</f>
        <v>140411285</v>
      </c>
      <c r="J6" s="1063">
        <v>604317519</v>
      </c>
      <c r="K6" s="1063">
        <v>629047104</v>
      </c>
      <c r="L6" s="1142"/>
    </row>
    <row r="7" spans="1:12" ht="12.75">
      <c r="A7" s="330" t="s">
        <v>497</v>
      </c>
      <c r="B7" s="331" t="s">
        <v>89</v>
      </c>
      <c r="C7" s="308">
        <f>'1.1.melléklet'!C18</f>
        <v>0</v>
      </c>
      <c r="D7" s="1056">
        <f>'1.1.melléklet'!D18</f>
        <v>0</v>
      </c>
      <c r="E7" s="1046"/>
      <c r="F7" s="1056"/>
      <c r="G7" s="331" t="s">
        <v>94</v>
      </c>
      <c r="H7" s="312">
        <f>'1.1.melléklet'!C109</f>
        <v>0</v>
      </c>
      <c r="I7" s="312">
        <f>'1.1.melléklet'!D109</f>
        <v>0</v>
      </c>
      <c r="J7" s="1064"/>
      <c r="K7" s="1064"/>
      <c r="L7" s="1142"/>
    </row>
    <row r="8" spans="1:12" ht="12.75" customHeight="1">
      <c r="A8" s="330" t="s">
        <v>498</v>
      </c>
      <c r="B8" s="331" t="s">
        <v>490</v>
      </c>
      <c r="C8" s="308"/>
      <c r="D8" s="1056"/>
      <c r="E8" s="1046">
        <v>19403393</v>
      </c>
      <c r="F8" s="1056">
        <v>37183393</v>
      </c>
      <c r="G8" s="331" t="s">
        <v>663</v>
      </c>
      <c r="H8" s="312">
        <f>'1.1.melléklet'!C110</f>
        <v>181000000</v>
      </c>
      <c r="I8" s="312">
        <f>'1.1.melléklet'!D110</f>
        <v>181000000</v>
      </c>
      <c r="J8" s="1064">
        <v>296623752</v>
      </c>
      <c r="K8" s="1064">
        <v>296623752</v>
      </c>
      <c r="L8" s="1142"/>
    </row>
    <row r="9" spans="1:12" ht="12.75" customHeight="1">
      <c r="A9" s="330" t="s">
        <v>499</v>
      </c>
      <c r="B9" s="331" t="s">
        <v>90</v>
      </c>
      <c r="C9" s="308">
        <f>'1.1.melléklet'!C52</f>
        <v>0</v>
      </c>
      <c r="D9" s="1056"/>
      <c r="E9" s="1046">
        <v>12600000</v>
      </c>
      <c r="F9" s="1056">
        <v>22329585</v>
      </c>
      <c r="G9" s="331" t="s">
        <v>95</v>
      </c>
      <c r="H9" s="312">
        <f>'1.1.melléklet'!C111</f>
        <v>0</v>
      </c>
      <c r="I9" s="312">
        <f>'1.1.melléklet'!D111</f>
        <v>0</v>
      </c>
      <c r="J9" s="1064"/>
      <c r="K9" s="1064"/>
      <c r="L9" s="1142"/>
    </row>
    <row r="10" spans="1:12" ht="12.75" customHeight="1">
      <c r="A10" s="330" t="s">
        <v>500</v>
      </c>
      <c r="B10" s="331" t="s">
        <v>91</v>
      </c>
      <c r="C10" s="308"/>
      <c r="D10" s="1056"/>
      <c r="E10" s="1046"/>
      <c r="F10" s="1056"/>
      <c r="G10" s="331" t="s">
        <v>710</v>
      </c>
      <c r="H10" s="312">
        <f>'1.1.melléklet'!C112</f>
        <v>0</v>
      </c>
      <c r="I10" s="312">
        <f>'1.1.melléklet'!D112</f>
        <v>16515000</v>
      </c>
      <c r="J10" s="1064">
        <v>16515000</v>
      </c>
      <c r="K10" s="1064">
        <v>16515000</v>
      </c>
      <c r="L10" s="1142"/>
    </row>
    <row r="11" spans="1:12" ht="12.75" customHeight="1">
      <c r="A11" s="330" t="s">
        <v>501</v>
      </c>
      <c r="B11" s="331" t="s">
        <v>92</v>
      </c>
      <c r="C11" s="308"/>
      <c r="D11" s="1056"/>
      <c r="E11" s="1046"/>
      <c r="F11" s="1056"/>
      <c r="G11" s="44" t="s">
        <v>537</v>
      </c>
      <c r="H11" s="312"/>
      <c r="I11" s="312"/>
      <c r="J11" s="1064"/>
      <c r="K11" s="1064"/>
      <c r="L11" s="1142"/>
    </row>
    <row r="12" spans="1:12" ht="12.75" customHeight="1">
      <c r="A12" s="330" t="s">
        <v>502</v>
      </c>
      <c r="B12" s="44"/>
      <c r="C12" s="308"/>
      <c r="D12" s="1056"/>
      <c r="E12" s="1046"/>
      <c r="F12" s="1056"/>
      <c r="G12" s="44" t="s">
        <v>538</v>
      </c>
      <c r="H12" s="312">
        <v>330917742</v>
      </c>
      <c r="I12" s="312">
        <v>214402742</v>
      </c>
      <c r="J12" s="1064">
        <v>189084333</v>
      </c>
      <c r="K12" s="1064">
        <v>307008580</v>
      </c>
      <c r="L12" s="1142"/>
    </row>
    <row r="13" spans="1:12" ht="12.75" customHeight="1">
      <c r="A13" s="330" t="s">
        <v>503</v>
      </c>
      <c r="B13" s="44"/>
      <c r="C13" s="308"/>
      <c r="D13" s="1056"/>
      <c r="E13" s="1046"/>
      <c r="F13" s="1056"/>
      <c r="G13" s="44"/>
      <c r="H13" s="312"/>
      <c r="I13" s="312"/>
      <c r="J13" s="1064"/>
      <c r="K13" s="1064"/>
      <c r="L13" s="1142"/>
    </row>
    <row r="14" spans="1:12" ht="12.75" customHeight="1">
      <c r="A14" s="330" t="s">
        <v>504</v>
      </c>
      <c r="B14" s="44"/>
      <c r="C14" s="308"/>
      <c r="D14" s="1056"/>
      <c r="E14" s="1046"/>
      <c r="F14" s="1056"/>
      <c r="G14" s="44"/>
      <c r="H14" s="312"/>
      <c r="I14" s="312"/>
      <c r="J14" s="1064"/>
      <c r="K14" s="1064"/>
      <c r="L14" s="1142"/>
    </row>
    <row r="15" spans="1:12" ht="12.75">
      <c r="A15" s="330" t="s">
        <v>505</v>
      </c>
      <c r="B15" s="44"/>
      <c r="C15" s="308"/>
      <c r="D15" s="1056"/>
      <c r="E15" s="1046"/>
      <c r="F15" s="1056"/>
      <c r="G15" s="44"/>
      <c r="H15" s="312"/>
      <c r="I15" s="312"/>
      <c r="J15" s="1064"/>
      <c r="K15" s="1064"/>
      <c r="L15" s="1142"/>
    </row>
    <row r="16" spans="1:12" ht="12.75" customHeight="1" thickBot="1">
      <c r="A16" s="388" t="s">
        <v>506</v>
      </c>
      <c r="B16" s="419"/>
      <c r="C16" s="390"/>
      <c r="D16" s="1057"/>
      <c r="E16" s="1048"/>
      <c r="F16" s="1057"/>
      <c r="G16" s="389" t="s">
        <v>527</v>
      </c>
      <c r="H16" s="361"/>
      <c r="I16" s="361"/>
      <c r="J16" s="1065"/>
      <c r="K16" s="1065"/>
      <c r="L16" s="1142"/>
    </row>
    <row r="17" spans="1:12" ht="15.75" customHeight="1" thickBot="1">
      <c r="A17" s="333" t="s">
        <v>507</v>
      </c>
      <c r="B17" s="124" t="s">
        <v>118</v>
      </c>
      <c r="C17" s="1051">
        <f>+C6+C8+C9+C11+C12+C13+C14+C15+C16</f>
        <v>157449027</v>
      </c>
      <c r="D17" s="626">
        <f>+D6+D8+D9+D11+D12+D13+D14+D15+D16</f>
        <v>157449027</v>
      </c>
      <c r="E17" s="1109">
        <f>+E6+E8+E9+E11+E12+E13+E14+E15+E16</f>
        <v>714355326</v>
      </c>
      <c r="F17" s="626">
        <f>+F6+F8+F9+F11+F12+F13+F14+F15+F16</f>
        <v>741864911</v>
      </c>
      <c r="G17" s="124" t="s">
        <v>119</v>
      </c>
      <c r="H17" s="314">
        <f>+H6+H8+H10+H11+H12+H13+H14+H15+H16</f>
        <v>652329027</v>
      </c>
      <c r="I17" s="314">
        <f>+I6+I8+I10+I11+I12+I13+I14+I15+I16</f>
        <v>552329027</v>
      </c>
      <c r="J17" s="314">
        <f>+J6+J8+J10+J11+J12+J13+J14+J15+J16</f>
        <v>1106540604</v>
      </c>
      <c r="K17" s="314">
        <f>+K6+K8+K10+K11+K12+K13+K14+K15+K16</f>
        <v>1249194436</v>
      </c>
      <c r="L17" s="1142"/>
    </row>
    <row r="18" spans="1:12" ht="12.75" customHeight="1">
      <c r="A18" s="328" t="s">
        <v>508</v>
      </c>
      <c r="B18" s="342" t="s">
        <v>728</v>
      </c>
      <c r="C18" s="1052">
        <f>C19+C20+C21+C22+C23</f>
        <v>494880000</v>
      </c>
      <c r="D18" s="1058">
        <f>D19+D20+D21+D22+D23</f>
        <v>494880000</v>
      </c>
      <c r="E18" s="1112">
        <v>492185278</v>
      </c>
      <c r="F18" s="1058">
        <f>F19+F22</f>
        <v>719745229</v>
      </c>
      <c r="G18" s="336" t="s">
        <v>667</v>
      </c>
      <c r="H18" s="76"/>
      <c r="I18" s="76">
        <v>100000000</v>
      </c>
      <c r="J18" s="1077">
        <v>100000000</v>
      </c>
      <c r="K18" s="1077">
        <v>250000000</v>
      </c>
      <c r="L18" s="1142"/>
    </row>
    <row r="19" spans="1:12" ht="12.75" customHeight="1">
      <c r="A19" s="330" t="s">
        <v>509</v>
      </c>
      <c r="B19" s="343" t="s">
        <v>717</v>
      </c>
      <c r="C19" s="1053">
        <f>'1.1.melléklet'!C73</f>
        <v>199880000</v>
      </c>
      <c r="D19" s="1059">
        <v>199880000</v>
      </c>
      <c r="E19" s="1113">
        <v>197185278</v>
      </c>
      <c r="F19" s="1059">
        <v>204718082</v>
      </c>
      <c r="G19" s="336" t="s">
        <v>670</v>
      </c>
      <c r="H19" s="79"/>
      <c r="I19" s="79"/>
      <c r="J19" s="1067"/>
      <c r="K19" s="1067"/>
      <c r="L19" s="1142"/>
    </row>
    <row r="20" spans="1:12" ht="12.75" customHeight="1">
      <c r="A20" s="328" t="s">
        <v>510</v>
      </c>
      <c r="B20" s="343" t="s">
        <v>718</v>
      </c>
      <c r="C20" s="1053"/>
      <c r="D20" s="1059"/>
      <c r="E20" s="1113"/>
      <c r="F20" s="1059"/>
      <c r="G20" s="336" t="s">
        <v>632</v>
      </c>
      <c r="H20" s="79"/>
      <c r="I20" s="79"/>
      <c r="J20" s="1067"/>
      <c r="K20" s="1067"/>
      <c r="L20" s="1142"/>
    </row>
    <row r="21" spans="1:12" ht="12.75" customHeight="1">
      <c r="A21" s="330" t="s">
        <v>511</v>
      </c>
      <c r="B21" s="343" t="s">
        <v>719</v>
      </c>
      <c r="C21" s="1053"/>
      <c r="D21" s="1059"/>
      <c r="E21" s="1113"/>
      <c r="F21" s="1059"/>
      <c r="G21" s="336" t="s">
        <v>633</v>
      </c>
      <c r="H21" s="79"/>
      <c r="I21" s="79"/>
      <c r="J21" s="1067"/>
      <c r="K21" s="1067"/>
      <c r="L21" s="1142"/>
    </row>
    <row r="22" spans="1:12" ht="12.75" customHeight="1">
      <c r="A22" s="328" t="s">
        <v>512</v>
      </c>
      <c r="B22" s="343" t="s">
        <v>720</v>
      </c>
      <c r="C22" s="1053">
        <v>295000000</v>
      </c>
      <c r="D22" s="1059">
        <v>295000000</v>
      </c>
      <c r="E22" s="1114">
        <v>295000000</v>
      </c>
      <c r="F22" s="1075">
        <v>515027147</v>
      </c>
      <c r="G22" s="335" t="s">
        <v>714</v>
      </c>
      <c r="H22" s="79"/>
      <c r="I22" s="79"/>
      <c r="J22" s="1068"/>
      <c r="K22" s="1068"/>
      <c r="L22" s="1142"/>
    </row>
    <row r="23" spans="1:12" ht="12.75" customHeight="1">
      <c r="A23" s="330" t="s">
        <v>513</v>
      </c>
      <c r="B23" s="344" t="s">
        <v>721</v>
      </c>
      <c r="C23" s="1053"/>
      <c r="D23" s="1059"/>
      <c r="E23" s="1113"/>
      <c r="F23" s="1059"/>
      <c r="G23" s="336" t="s">
        <v>671</v>
      </c>
      <c r="H23" s="79"/>
      <c r="I23" s="79"/>
      <c r="J23" s="1067"/>
      <c r="K23" s="1067"/>
      <c r="L23" s="1142"/>
    </row>
    <row r="24" spans="1:12" ht="12.75" customHeight="1">
      <c r="A24" s="328" t="s">
        <v>514</v>
      </c>
      <c r="B24" s="345" t="s">
        <v>722</v>
      </c>
      <c r="C24" s="1054">
        <f>+C25+C26+C27+C28+C29</f>
        <v>0</v>
      </c>
      <c r="D24" s="1060">
        <f>+D25+D26+D27+D28+D29</f>
        <v>0</v>
      </c>
      <c r="E24" s="1112"/>
      <c r="F24" s="1058"/>
      <c r="G24" s="346" t="s">
        <v>669</v>
      </c>
      <c r="H24" s="79"/>
      <c r="I24" s="79"/>
      <c r="J24" s="1066"/>
      <c r="K24" s="1066"/>
      <c r="L24" s="1142"/>
    </row>
    <row r="25" spans="1:12" ht="12.75" customHeight="1">
      <c r="A25" s="330" t="s">
        <v>515</v>
      </c>
      <c r="B25" s="344" t="s">
        <v>723</v>
      </c>
      <c r="C25" s="1053"/>
      <c r="D25" s="1059"/>
      <c r="E25" s="1115"/>
      <c r="F25" s="1116"/>
      <c r="G25" s="346" t="s">
        <v>96</v>
      </c>
      <c r="H25" s="79"/>
      <c r="I25" s="79"/>
      <c r="J25" s="1069"/>
      <c r="K25" s="1069"/>
      <c r="L25" s="1142"/>
    </row>
    <row r="26" spans="1:12" ht="12.75" customHeight="1">
      <c r="A26" s="328" t="s">
        <v>516</v>
      </c>
      <c r="B26" s="344" t="s">
        <v>724</v>
      </c>
      <c r="C26" s="1053"/>
      <c r="D26" s="1059"/>
      <c r="E26" s="1115"/>
      <c r="F26" s="1116"/>
      <c r="G26" s="341"/>
      <c r="H26" s="79"/>
      <c r="I26" s="79"/>
      <c r="J26" s="1069"/>
      <c r="K26" s="1069"/>
      <c r="L26" s="1142"/>
    </row>
    <row r="27" spans="1:12" ht="12.75" customHeight="1">
      <c r="A27" s="330" t="s">
        <v>517</v>
      </c>
      <c r="B27" s="343" t="s">
        <v>725</v>
      </c>
      <c r="C27" s="1053"/>
      <c r="D27" s="1059"/>
      <c r="E27" s="1115"/>
      <c r="F27" s="1116"/>
      <c r="G27" s="120"/>
      <c r="H27" s="79"/>
      <c r="I27" s="79"/>
      <c r="J27" s="1069"/>
      <c r="K27" s="1069"/>
      <c r="L27" s="1142"/>
    </row>
    <row r="28" spans="1:12" ht="12.75" customHeight="1">
      <c r="A28" s="328" t="s">
        <v>518</v>
      </c>
      <c r="B28" s="347" t="s">
        <v>726</v>
      </c>
      <c r="C28" s="1053"/>
      <c r="D28" s="1059"/>
      <c r="E28" s="1113"/>
      <c r="F28" s="1059"/>
      <c r="G28" s="44"/>
      <c r="H28" s="79"/>
      <c r="I28" s="79"/>
      <c r="J28" s="1067"/>
      <c r="K28" s="1067"/>
      <c r="L28" s="1142"/>
    </row>
    <row r="29" spans="1:12" ht="12.75" customHeight="1" thickBot="1">
      <c r="A29" s="330" t="s">
        <v>519</v>
      </c>
      <c r="B29" s="348" t="s">
        <v>727</v>
      </c>
      <c r="C29" s="1053"/>
      <c r="D29" s="1059"/>
      <c r="E29" s="1115"/>
      <c r="F29" s="1117"/>
      <c r="G29" s="120"/>
      <c r="H29" s="79"/>
      <c r="I29" s="79"/>
      <c r="J29" s="1069"/>
      <c r="K29" s="1069"/>
      <c r="L29" s="1142"/>
    </row>
    <row r="30" spans="1:12" ht="21.75" customHeight="1" thickBot="1">
      <c r="A30" s="333" t="s">
        <v>520</v>
      </c>
      <c r="B30" s="124" t="s">
        <v>93</v>
      </c>
      <c r="C30" s="1051">
        <f>+C18+C24</f>
        <v>494880000</v>
      </c>
      <c r="D30" s="626">
        <f>+D18+D24</f>
        <v>494880000</v>
      </c>
      <c r="E30" s="626">
        <f>+E18+E24</f>
        <v>492185278</v>
      </c>
      <c r="F30" s="626">
        <f>+F18+F24</f>
        <v>719745229</v>
      </c>
      <c r="G30" s="124" t="s">
        <v>97</v>
      </c>
      <c r="H30" s="314">
        <f>SUM(H18:H29)</f>
        <v>0</v>
      </c>
      <c r="I30" s="314">
        <f>SUM(I18:I29)</f>
        <v>100000000</v>
      </c>
      <c r="J30" s="314">
        <f>SUM(J18:J29)</f>
        <v>100000000</v>
      </c>
      <c r="K30" s="314">
        <f>SUM(K18:K29)</f>
        <v>250000000</v>
      </c>
      <c r="L30" s="1142"/>
    </row>
    <row r="31" spans="1:12" ht="13.5" thickBot="1">
      <c r="A31" s="333" t="s">
        <v>521</v>
      </c>
      <c r="B31" s="338" t="s">
        <v>98</v>
      </c>
      <c r="C31" s="339">
        <f>+C17+C30</f>
        <v>652329027</v>
      </c>
      <c r="D31" s="339">
        <f>+D17+D30</f>
        <v>652329027</v>
      </c>
      <c r="E31" s="339">
        <f>+E17+E30</f>
        <v>1206540604</v>
      </c>
      <c r="F31" s="339">
        <f>+F17+F30</f>
        <v>1461610140</v>
      </c>
      <c r="G31" s="338" t="s">
        <v>99</v>
      </c>
      <c r="H31" s="339">
        <f>+H17+H30</f>
        <v>652329027</v>
      </c>
      <c r="I31" s="339">
        <f>+I17+I30</f>
        <v>652329027</v>
      </c>
      <c r="J31" s="339">
        <f>+J17+J30</f>
        <v>1206540604</v>
      </c>
      <c r="K31" s="339">
        <f>+K17+K30</f>
        <v>1499194436</v>
      </c>
      <c r="L31" s="1142"/>
    </row>
    <row r="32" spans="1:12" ht="13.5" thickBot="1">
      <c r="A32" s="333" t="s">
        <v>522</v>
      </c>
      <c r="B32" s="338" t="s">
        <v>645</v>
      </c>
      <c r="C32" s="339">
        <f>IF(C17-H17&lt;0,H17-C17,"-")</f>
        <v>494880000</v>
      </c>
      <c r="D32" s="339">
        <f>IF(D17-I17&lt;0,I17-D17,"-")</f>
        <v>394880000</v>
      </c>
      <c r="E32" s="339">
        <f>IF(E17-J17&lt;0,J17-E17,"-")</f>
        <v>392185278</v>
      </c>
      <c r="F32" s="339">
        <f>IF(F17-K17&lt;0,K17-F17,"-")</f>
        <v>507329525</v>
      </c>
      <c r="G32" s="338" t="s">
        <v>646</v>
      </c>
      <c r="H32" s="339" t="str">
        <f>IF(C17-H17&gt;0,C17-H17,"-")</f>
        <v>-</v>
      </c>
      <c r="I32" s="339" t="str">
        <f>IF(D17-I17&gt;0,D17-I17,"-")</f>
        <v>-</v>
      </c>
      <c r="J32" s="339" t="str">
        <f>IF(E17-J17&gt;0,E17-J17,"-")</f>
        <v>-</v>
      </c>
      <c r="K32" s="339" t="str">
        <f>IF(F17-K17&gt;0,F17-K17,"-")</f>
        <v>-</v>
      </c>
      <c r="L32" s="1142"/>
    </row>
    <row r="33" spans="1:12" ht="13.5" thickBot="1">
      <c r="A33" s="333" t="s">
        <v>523</v>
      </c>
      <c r="B33" s="338" t="s">
        <v>715</v>
      </c>
      <c r="C33" s="339" t="str">
        <f>IF(C17+C18-H31&lt;0,H31-(C17+C18),"-")</f>
        <v>-</v>
      </c>
      <c r="D33" s="339" t="str">
        <f>IF(D17+D18-I31&lt;0,I31-(D17+D18),"-")</f>
        <v>-</v>
      </c>
      <c r="E33" s="339" t="str">
        <f>IF(E17+E18-J31&lt;0,J31-(E17+E18),"-")</f>
        <v>-</v>
      </c>
      <c r="F33" s="339">
        <f>IF(F17+F18-K31&lt;0,K31-(F17+F18),"-")</f>
        <v>37584296</v>
      </c>
      <c r="G33" s="338" t="s">
        <v>716</v>
      </c>
      <c r="H33" s="339" t="str">
        <f>IF(C17+C18-H31&gt;0,C17+C18-H31,"-")</f>
        <v>-</v>
      </c>
      <c r="I33" s="339" t="str">
        <f>IF(D17+D18-I31&gt;0,D17+D18-I31,"-")</f>
        <v>-</v>
      </c>
      <c r="J33" s="339" t="str">
        <f>IF(E17+E18-J31&gt;0,E17+E18-J31,"-")</f>
        <v>-</v>
      </c>
      <c r="K33" s="339" t="str">
        <f>IF(F17+F18-K31&gt;0,F17+F18-K31,"-")</f>
        <v>-</v>
      </c>
      <c r="L33" s="1142"/>
    </row>
    <row r="34" spans="3:8" ht="18.75">
      <c r="C34" s="1143" t="s">
        <v>910</v>
      </c>
      <c r="D34" s="1144"/>
      <c r="E34" s="1144"/>
      <c r="F34" s="1144"/>
      <c r="G34" s="1144"/>
      <c r="H34" s="1144"/>
    </row>
  </sheetData>
  <sheetProtection/>
  <mergeCells count="3">
    <mergeCell ref="A3:A4"/>
    <mergeCell ref="L1:L33"/>
    <mergeCell ref="C34:H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5" t="s">
        <v>627</v>
      </c>
      <c r="E1" s="128" t="s">
        <v>631</v>
      </c>
    </row>
    <row r="3" spans="1:5" ht="12.75">
      <c r="A3" s="133"/>
      <c r="B3" s="134"/>
      <c r="C3" s="133"/>
      <c r="D3" s="136"/>
      <c r="E3" s="134"/>
    </row>
    <row r="4" spans="1:5" ht="15.75">
      <c r="A4" s="86" t="s">
        <v>862</v>
      </c>
      <c r="B4" s="135"/>
      <c r="C4" s="143"/>
      <c r="D4" s="136"/>
      <c r="E4" s="134"/>
    </row>
    <row r="5" spans="1:5" ht="12.75">
      <c r="A5" s="133"/>
      <c r="B5" s="134"/>
      <c r="C5" s="133"/>
      <c r="D5" s="136"/>
      <c r="E5" s="134"/>
    </row>
    <row r="6" spans="1:5" ht="12.75">
      <c r="A6" s="133" t="s">
        <v>100</v>
      </c>
      <c r="B6" s="134">
        <f>+'1.1.melléklet'!C62</f>
        <v>822717984</v>
      </c>
      <c r="C6" s="133" t="s">
        <v>101</v>
      </c>
      <c r="D6" s="136">
        <f>+'2.1.melléklet '!C18+'2.2.melléklet '!C17</f>
        <v>822717984</v>
      </c>
      <c r="E6" s="134">
        <f aca="true" t="shared" si="0" ref="E6:E15">+B6-D6</f>
        <v>0</v>
      </c>
    </row>
    <row r="7" spans="1:5" ht="12.75">
      <c r="A7" s="133" t="s">
        <v>102</v>
      </c>
      <c r="B7" s="134">
        <f>+'1.1.melléklet'!C85</f>
        <v>494880000</v>
      </c>
      <c r="C7" s="133" t="s">
        <v>103</v>
      </c>
      <c r="D7" s="136">
        <f>+'2.1.melléklet '!C27+'2.2.melléklet '!C30</f>
        <v>494880000</v>
      </c>
      <c r="E7" s="134">
        <f t="shared" si="0"/>
        <v>0</v>
      </c>
    </row>
    <row r="8" spans="1:5" ht="12.75">
      <c r="A8" s="133" t="s">
        <v>104</v>
      </c>
      <c r="B8" s="134">
        <f>+'1.1.melléklet'!C86</f>
        <v>1317597984</v>
      </c>
      <c r="C8" s="133" t="s">
        <v>105</v>
      </c>
      <c r="D8" s="136">
        <f>+'2.1.melléklet '!C28+'2.2.melléklet '!C31</f>
        <v>1317597984</v>
      </c>
      <c r="E8" s="134">
        <f t="shared" si="0"/>
        <v>0</v>
      </c>
    </row>
    <row r="9" spans="1:5" ht="12.75">
      <c r="A9" s="133"/>
      <c r="B9" s="134"/>
      <c r="C9" s="133"/>
      <c r="D9" s="136"/>
      <c r="E9" s="134"/>
    </row>
    <row r="10" spans="1:5" ht="12.75">
      <c r="A10" s="133"/>
      <c r="B10" s="134"/>
      <c r="C10" s="133"/>
      <c r="D10" s="136"/>
      <c r="E10" s="134"/>
    </row>
    <row r="11" spans="1:5" ht="15.75">
      <c r="A11" s="86" t="s">
        <v>863</v>
      </c>
      <c r="B11" s="135"/>
      <c r="C11" s="143"/>
      <c r="D11" s="136"/>
      <c r="E11" s="134"/>
    </row>
    <row r="12" spans="1:5" ht="12.75">
      <c r="A12" s="133"/>
      <c r="B12" s="134"/>
      <c r="C12" s="133"/>
      <c r="D12" s="136"/>
      <c r="E12" s="134"/>
    </row>
    <row r="13" spans="1:5" ht="12.75">
      <c r="A13" s="133" t="s">
        <v>111</v>
      </c>
      <c r="B13" s="134">
        <f>+'1.1.melléklet'!C124</f>
        <v>1317597984</v>
      </c>
      <c r="C13" s="133" t="s">
        <v>110</v>
      </c>
      <c r="D13" s="136">
        <f>+'2.1.melléklet '!H18+'2.2.melléklet '!H17</f>
        <v>1317597984</v>
      </c>
      <c r="E13" s="134">
        <f t="shared" si="0"/>
        <v>0</v>
      </c>
    </row>
    <row r="14" spans="1:5" ht="12.75">
      <c r="A14" s="133" t="s">
        <v>735</v>
      </c>
      <c r="B14" s="134">
        <f>+'1.1.melléklet'!C144</f>
        <v>0</v>
      </c>
      <c r="C14" s="133" t="s">
        <v>107</v>
      </c>
      <c r="D14" s="136">
        <f>+'2.1.melléklet '!H27+'2.2.melléklet '!H30</f>
        <v>0</v>
      </c>
      <c r="E14" s="134">
        <f t="shared" si="0"/>
        <v>0</v>
      </c>
    </row>
    <row r="15" spans="1:5" ht="12.75">
      <c r="A15" s="133" t="s">
        <v>112</v>
      </c>
      <c r="B15" s="134">
        <f>+'1.1.melléklet'!C145</f>
        <v>1317597984</v>
      </c>
      <c r="C15" s="133" t="s">
        <v>106</v>
      </c>
      <c r="D15" s="136">
        <f>+'2.1.melléklet '!H28+'2.2.melléklet '!H31</f>
        <v>1317597984</v>
      </c>
      <c r="E15" s="134">
        <f t="shared" si="0"/>
        <v>0</v>
      </c>
    </row>
    <row r="16" spans="1:5" ht="12.75">
      <c r="A16" s="126"/>
      <c r="B16" s="126"/>
      <c r="C16" s="133"/>
      <c r="D16" s="136"/>
      <c r="E16" s="127"/>
    </row>
    <row r="17" spans="1:5" ht="12.75">
      <c r="A17" s="126"/>
      <c r="B17" s="126"/>
      <c r="C17" s="126"/>
      <c r="D17" s="126"/>
      <c r="E17" s="126"/>
    </row>
    <row r="18" spans="1:5" ht="12.75">
      <c r="A18" s="126"/>
      <c r="B18" s="126"/>
      <c r="C18" s="126"/>
      <c r="D18" s="126"/>
      <c r="E18" s="126"/>
    </row>
    <row r="19" spans="1:5" ht="12.75">
      <c r="A19" s="126"/>
      <c r="B19" s="126"/>
      <c r="C19" s="126"/>
      <c r="D19" s="126"/>
      <c r="E19" s="126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M16" sqref="M15:M16"/>
    </sheetView>
  </sheetViews>
  <sheetFormatPr defaultColWidth="9.00390625" defaultRowHeight="12.75"/>
  <cols>
    <col min="1" max="1" width="5.625" style="146" customWidth="1"/>
    <col min="2" max="2" width="35.625" style="146" customWidth="1"/>
    <col min="3" max="6" width="14.00390625" style="146" customWidth="1"/>
    <col min="7" max="16384" width="9.375" style="146" customWidth="1"/>
  </cols>
  <sheetData>
    <row r="1" spans="1:6" ht="33" customHeight="1">
      <c r="A1" s="1147" t="s">
        <v>161</v>
      </c>
      <c r="B1" s="1147"/>
      <c r="C1" s="1147"/>
      <c r="D1" s="1147"/>
      <c r="E1" s="1147"/>
      <c r="F1" s="1147"/>
    </row>
    <row r="2" spans="1:7" ht="15.75" customHeight="1" thickBot="1">
      <c r="A2" s="147"/>
      <c r="B2" s="147"/>
      <c r="C2" s="1148"/>
      <c r="D2" s="1148"/>
      <c r="E2" s="1155"/>
      <c r="F2" s="1155"/>
      <c r="G2" s="154"/>
    </row>
    <row r="3" spans="1:6" ht="63" customHeight="1">
      <c r="A3" s="1151" t="s">
        <v>494</v>
      </c>
      <c r="B3" s="1153" t="s">
        <v>674</v>
      </c>
      <c r="C3" s="1153" t="s">
        <v>736</v>
      </c>
      <c r="D3" s="1153"/>
      <c r="E3" s="1153"/>
      <c r="F3" s="1149" t="s">
        <v>731</v>
      </c>
    </row>
    <row r="4" spans="1:6" ht="15.75" thickBot="1">
      <c r="A4" s="1152"/>
      <c r="B4" s="1154"/>
      <c r="C4" s="149" t="s">
        <v>730</v>
      </c>
      <c r="D4" s="149" t="s">
        <v>113</v>
      </c>
      <c r="E4" s="149" t="s">
        <v>269</v>
      </c>
      <c r="F4" s="1150"/>
    </row>
    <row r="5" spans="1:6" ht="15.75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3">
        <v>6</v>
      </c>
    </row>
    <row r="6" spans="1:6" ht="15">
      <c r="A6" s="150" t="s">
        <v>496</v>
      </c>
      <c r="B6" s="171" t="s">
        <v>366</v>
      </c>
      <c r="C6" s="172"/>
      <c r="D6" s="172"/>
      <c r="E6" s="172"/>
      <c r="F6" s="157">
        <f>SUM(C6:E6)</f>
        <v>0</v>
      </c>
    </row>
    <row r="7" spans="1:6" ht="15">
      <c r="A7" s="148" t="s">
        <v>497</v>
      </c>
      <c r="B7" s="173"/>
      <c r="C7" s="174"/>
      <c r="D7" s="174"/>
      <c r="E7" s="174"/>
      <c r="F7" s="158">
        <f>SUM(C7:E7)</f>
        <v>0</v>
      </c>
    </row>
    <row r="8" spans="1:6" ht="15">
      <c r="A8" s="148" t="s">
        <v>498</v>
      </c>
      <c r="B8" s="173"/>
      <c r="C8" s="174"/>
      <c r="D8" s="174"/>
      <c r="E8" s="174"/>
      <c r="F8" s="158">
        <f>SUM(C8:E8)</f>
        <v>0</v>
      </c>
    </row>
    <row r="9" spans="1:6" ht="15">
      <c r="A9" s="148" t="s">
        <v>499</v>
      </c>
      <c r="B9" s="173"/>
      <c r="C9" s="174"/>
      <c r="D9" s="174"/>
      <c r="E9" s="174"/>
      <c r="F9" s="158">
        <f>SUM(C9:E9)</f>
        <v>0</v>
      </c>
    </row>
    <row r="10" spans="1:6" ht="15.75" thickBot="1">
      <c r="A10" s="155" t="s">
        <v>500</v>
      </c>
      <c r="B10" s="175"/>
      <c r="C10" s="176"/>
      <c r="D10" s="176"/>
      <c r="E10" s="176"/>
      <c r="F10" s="158">
        <f>SUM(C10:E10)</f>
        <v>0</v>
      </c>
    </row>
    <row r="11" spans="1:6" s="451" customFormat="1" ht="15" thickBot="1">
      <c r="A11" s="448" t="s">
        <v>501</v>
      </c>
      <c r="B11" s="156" t="s">
        <v>675</v>
      </c>
      <c r="C11" s="449">
        <f>SUM(C6:C10)</f>
        <v>0</v>
      </c>
      <c r="D11" s="449">
        <f>SUM(D6:D10)</f>
        <v>0</v>
      </c>
      <c r="E11" s="449">
        <f>SUM(E6:E10)</f>
        <v>0</v>
      </c>
      <c r="F11" s="45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1/2017. (II.7.)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2017-09-12T11:34:08Z</cp:lastPrinted>
  <dcterms:created xsi:type="dcterms:W3CDTF">1999-10-30T10:30:45Z</dcterms:created>
  <dcterms:modified xsi:type="dcterms:W3CDTF">2017-12-20T07:44:15Z</dcterms:modified>
  <cp:category/>
  <cp:version/>
  <cp:contentType/>
  <cp:contentStatus/>
</cp:coreProperties>
</file>