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05" yWindow="330" windowWidth="15480" windowHeight="8115" tabRatio="671" firstSheet="2" activeTab="2"/>
  </bookViews>
  <sheets>
    <sheet name="egyenlegek" sheetId="16" state="hidden" r:id="rId1"/>
    <sheet name="kisértékű" sheetId="17" state="hidden" r:id="rId2"/>
    <sheet name="11_sz_melléklet" sheetId="1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Excel_BuiltIn_Print_Titles_9" localSheetId="2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E10" i="16"/>
  <c r="E34"/>
  <c r="F34" s="1"/>
  <c r="E30"/>
  <c r="F47"/>
  <c r="H15"/>
  <c r="H16" s="1"/>
  <c r="H14"/>
  <c r="C32"/>
  <c r="D32" s="1"/>
  <c r="D4" i="17"/>
  <c r="C5"/>
  <c r="D5"/>
  <c r="C6"/>
  <c r="D6"/>
  <c r="C10"/>
  <c r="D10"/>
  <c r="C11"/>
  <c r="D11"/>
  <c r="C15"/>
  <c r="D15"/>
  <c r="C16"/>
  <c r="D16"/>
  <c r="C17"/>
  <c r="D17"/>
  <c r="C18"/>
  <c r="D18"/>
  <c r="C19"/>
  <c r="D19"/>
  <c r="C20"/>
  <c r="D20"/>
  <c r="C24"/>
  <c r="D24"/>
  <c r="B25"/>
  <c r="C25"/>
  <c r="D25"/>
  <c r="B2" i="16"/>
  <c r="D3"/>
  <c r="D7"/>
  <c r="B8"/>
  <c r="D8" s="1"/>
  <c r="D9"/>
  <c r="B10"/>
  <c r="D11"/>
  <c r="B12"/>
  <c r="D12" s="1"/>
  <c r="D15"/>
  <c r="B16"/>
  <c r="D17"/>
  <c r="B18"/>
  <c r="D24"/>
  <c r="F25"/>
  <c r="B26"/>
  <c r="B30"/>
  <c r="D34"/>
  <c r="D39"/>
  <c r="D41"/>
  <c r="E43"/>
  <c r="B60"/>
  <c r="B62"/>
  <c r="B65"/>
  <c r="B72"/>
  <c r="B89"/>
  <c r="B70"/>
  <c r="B71"/>
  <c r="B79"/>
  <c r="B81"/>
  <c r="B85"/>
  <c r="C30"/>
  <c r="C26"/>
  <c r="D26" s="1"/>
  <c r="B4"/>
  <c r="D4" s="1"/>
  <c r="B6"/>
  <c r="D6" s="1"/>
  <c r="B20"/>
  <c r="C16"/>
  <c r="B14"/>
  <c r="D14" s="1"/>
  <c r="B83"/>
  <c r="E45"/>
  <c r="F45" s="1"/>
  <c r="D53"/>
  <c r="C60"/>
  <c r="D60"/>
  <c r="B87"/>
  <c r="C83"/>
  <c r="D16"/>
  <c r="D26" i="17"/>
  <c r="D12"/>
  <c r="C18" i="16"/>
  <c r="D18" s="1"/>
  <c r="D21" i="17"/>
  <c r="D7"/>
  <c r="D28"/>
  <c r="B28" i="16"/>
  <c r="D28" s="1"/>
  <c r="E5" l="1"/>
  <c r="E16"/>
  <c r="E6"/>
  <c r="E26"/>
  <c r="E14"/>
  <c r="E12"/>
  <c r="F12" s="1"/>
  <c r="F16"/>
  <c r="E22"/>
  <c r="E2"/>
  <c r="E32"/>
  <c r="F32" s="1"/>
  <c r="E20"/>
  <c r="F14"/>
  <c r="F6"/>
  <c r="F26"/>
  <c r="C20"/>
  <c r="D20" s="1"/>
  <c r="C10"/>
  <c r="D30"/>
  <c r="F30" s="1"/>
  <c r="B22"/>
  <c r="E24" l="1"/>
  <c r="F24" s="1"/>
  <c r="E8"/>
  <c r="F8" s="1"/>
  <c r="F20"/>
  <c r="E36"/>
  <c r="F36" s="1"/>
  <c r="E18"/>
  <c r="F18" s="1"/>
  <c r="E28"/>
  <c r="F28" s="1"/>
  <c r="D10"/>
  <c r="F10" s="1"/>
  <c r="H9"/>
  <c r="C5"/>
  <c r="D5" s="1"/>
  <c r="F5" s="1"/>
  <c r="E41"/>
  <c r="E52"/>
  <c r="H39"/>
  <c r="G39"/>
  <c r="C43"/>
  <c r="B50"/>
  <c r="D22"/>
  <c r="F22" s="1"/>
  <c r="E4" l="1"/>
  <c r="C2"/>
  <c r="D2" s="1"/>
  <c r="F2" s="1"/>
  <c r="I39"/>
  <c r="F41"/>
  <c r="F51"/>
  <c r="D43"/>
  <c r="F43" s="1"/>
  <c r="F4" l="1"/>
  <c r="F39" s="1"/>
  <c r="H41"/>
  <c r="E50"/>
  <c r="C50"/>
  <c r="H46" s="1"/>
  <c r="I40" l="1"/>
  <c r="F50"/>
  <c r="C52"/>
  <c r="D52" s="1"/>
  <c r="D54" s="1"/>
</calcChain>
</file>

<file path=xl/comments1.xml><?xml version="1.0" encoding="utf-8"?>
<comments xmlns="http://schemas.openxmlformats.org/spreadsheetml/2006/main">
  <authors>
    <author>Belopotoczky György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38"/>
          </rPr>
          <t>Belopotoczky György:</t>
        </r>
        <r>
          <rPr>
            <sz val="9"/>
            <color indexed="81"/>
            <rFont val="Tahoma"/>
            <family val="2"/>
            <charset val="238"/>
          </rPr>
          <t xml:space="preserve">
VKG+Igazgatásból ÁFA
</t>
        </r>
      </text>
    </comment>
  </commentList>
</comments>
</file>

<file path=xl/sharedStrings.xml><?xml version="1.0" encoding="utf-8"?>
<sst xmlns="http://schemas.openxmlformats.org/spreadsheetml/2006/main" count="110" uniqueCount="106">
  <si>
    <t>Összesen:</t>
  </si>
  <si>
    <t>Összesen</t>
  </si>
  <si>
    <t>Közhatalmi bevételek</t>
  </si>
  <si>
    <t>Kiadások</t>
  </si>
  <si>
    <t>Egyenleg</t>
  </si>
  <si>
    <t>Polgármesteri Hivatal</t>
  </si>
  <si>
    <t>Gondozási Központ</t>
  </si>
  <si>
    <t>107052 Házi segítségnyújtás</t>
  </si>
  <si>
    <t>Vásárolt élelmezés</t>
  </si>
  <si>
    <t>Nagyszénás Nagyközség</t>
  </si>
  <si>
    <t>Önkormányzata</t>
  </si>
  <si>
    <t>Személyi juttatások</t>
  </si>
  <si>
    <t xml:space="preserve">Hitelhez tartozó kamat összege </t>
  </si>
  <si>
    <t>törlesztés (Ft)</t>
  </si>
  <si>
    <t>Hitelállomány</t>
  </si>
  <si>
    <t>Lejárati időpont</t>
  </si>
  <si>
    <t>Felvett összeg (Ft)</t>
  </si>
  <si>
    <t>Felvétel időpontja</t>
  </si>
  <si>
    <t>Hitel megnevezése</t>
  </si>
  <si>
    <t xml:space="preserve">Az önkormányzat hitelállománya </t>
  </si>
  <si>
    <t>Termálvízhasznosítási program megvalósításához</t>
  </si>
  <si>
    <t>saját bevétel</t>
  </si>
  <si>
    <t>összes bevétel</t>
  </si>
  <si>
    <t>kiadás</t>
  </si>
  <si>
    <t>egyenleg bevétel kiadás</t>
  </si>
  <si>
    <t>házi segítségnyújtás</t>
  </si>
  <si>
    <t>nappali ellátás</t>
  </si>
  <si>
    <t>szociális étkezés</t>
  </si>
  <si>
    <t>védőnők</t>
  </si>
  <si>
    <t>bölcsőde</t>
  </si>
  <si>
    <t>orvosok</t>
  </si>
  <si>
    <t>családsegítés</t>
  </si>
  <si>
    <t>óvoda</t>
  </si>
  <si>
    <t>iskola működtetés</t>
  </si>
  <si>
    <t>közművelődés (Kft., könytár)</t>
  </si>
  <si>
    <t>közfoglalkoztatás támogatása</t>
  </si>
  <si>
    <t>( bevétel csökkentve az előleggel)</t>
  </si>
  <si>
    <t>egyéb szociális feladatok (segélyezés)</t>
  </si>
  <si>
    <t>fürdő (befizetendő áfa-val együtt)</t>
  </si>
  <si>
    <t>felhalmozási egyenleg</t>
  </si>
  <si>
    <t>tartalékok</t>
  </si>
  <si>
    <t xml:space="preserve"> támogatás</t>
  </si>
  <si>
    <t>gyermekétkeztetés (visszaigényelt áfa-val)</t>
  </si>
  <si>
    <t>ÖSSZESEN:</t>
  </si>
  <si>
    <t>EGYENLEG</t>
  </si>
  <si>
    <t xml:space="preserve">település üzemeltetés ( Ntp., közvilágítás, utak) </t>
  </si>
  <si>
    <t>ÁFA</t>
  </si>
  <si>
    <t>hivatal  (járművek, lakások)</t>
  </si>
  <si>
    <t>önkormányzati vagyon hasznosítása (mg-i művelés, bérleti díjak, ÁFA-val korrigálva)</t>
  </si>
  <si>
    <t>2016.12.31-én (Ft)</t>
  </si>
  <si>
    <t>2017. évi</t>
  </si>
  <si>
    <t>felvett fejlesztési hitel*</t>
  </si>
  <si>
    <t>*A kamat és kezelési költség együttes mértéke 4,62 %-os.</t>
  </si>
  <si>
    <t>támogatások, tagdíjak, átadott pénzeszköz</t>
  </si>
  <si>
    <t>Önkormányzat</t>
  </si>
  <si>
    <t>072112 Háziorvosi alapellátás</t>
  </si>
  <si>
    <t>081061 Parkfürdő</t>
  </si>
  <si>
    <t>Érdekeltségnövelő beruházás</t>
  </si>
  <si>
    <t>013360 Más szerv részére szolgáltatás</t>
  </si>
  <si>
    <t>111130 Igazgatási tevékenység</t>
  </si>
  <si>
    <t>074031 Védőnők</t>
  </si>
  <si>
    <t>107054 Család és gyermekjólét</t>
  </si>
  <si>
    <t>104030 Gyermekek bölcsődei ellátása</t>
  </si>
  <si>
    <t>102030 Idősek nappali ellátása</t>
  </si>
  <si>
    <t>107051 Szociális étkezés</t>
  </si>
  <si>
    <t>Óvoda</t>
  </si>
  <si>
    <t>091140 Óvodai működtetés</t>
  </si>
  <si>
    <t>091110 Óvodai szakmai</t>
  </si>
  <si>
    <t>Nettó</t>
  </si>
  <si>
    <t>Eszközök felsorolása (nettó eFt)</t>
  </si>
  <si>
    <t>276.000 játék</t>
  </si>
  <si>
    <t>200.000 audiméter</t>
  </si>
  <si>
    <t>Járulék</t>
  </si>
  <si>
    <t>Mg-i termelés</t>
  </si>
  <si>
    <t>Fizetendő ÁFA</t>
  </si>
  <si>
    <t>Kamat</t>
  </si>
  <si>
    <t>Egyéb dologi</t>
  </si>
  <si>
    <t>Ellátottak juttatásai</t>
  </si>
  <si>
    <t>Általános tartalék</t>
  </si>
  <si>
    <t>Fejlesztési tartalék</t>
  </si>
  <si>
    <t>Óvadéki tartalék</t>
  </si>
  <si>
    <t>Beruházás, felújítás</t>
  </si>
  <si>
    <t xml:space="preserve">Egyéb </t>
  </si>
  <si>
    <t>Működési támogatások</t>
  </si>
  <si>
    <t xml:space="preserve">Felhalmozási támogatások </t>
  </si>
  <si>
    <t>Jegybevétel</t>
  </si>
  <si>
    <t>Hőértékesítés</t>
  </si>
  <si>
    <t>Bérleti díjak</t>
  </si>
  <si>
    <t>Térítési díjak</t>
  </si>
  <si>
    <t>Egyéb működési bevételek</t>
  </si>
  <si>
    <t>Egyéb bevételek</t>
  </si>
  <si>
    <t>Finanszírozás</t>
  </si>
  <si>
    <t>"Összetartozunk" eszköz 160eFt, 1 db szg könyvtár 90eFt, 1 db szg óvoda 90 eFt, 300eFt minden más</t>
  </si>
  <si>
    <t>Megtakarítás</t>
  </si>
  <si>
    <t>Bevételi többlet vagy elmaradás</t>
  </si>
  <si>
    <t>Mindösszesen:</t>
  </si>
  <si>
    <t>1 db laptop 80 eFt</t>
  </si>
  <si>
    <t>Készletértékesítés (termények)</t>
  </si>
  <si>
    <t>Megelőlegezés 2017 évi</t>
  </si>
  <si>
    <t>egyéb önkormányzati kiadás (választott tisztségviselők tiszteletdíj, számlavezetés, kamatok )</t>
  </si>
  <si>
    <t>közhatalmi bevételek (adók)</t>
  </si>
  <si>
    <t>Előző évi maradvány forrásai</t>
  </si>
  <si>
    <t>Bevételek</t>
  </si>
  <si>
    <t>Kisértékű tárgyieszköz beszerzés 2017.</t>
  </si>
  <si>
    <t>finanszírozási egyenleg (, értékpapíreladás, hitelek, pénzmaradvány)</t>
  </si>
  <si>
    <t>11. melléklet a 3/2017. (II. 22.) önkormányzati rendelethez</t>
  </si>
</sst>
</file>

<file path=xl/styles.xml><?xml version="1.0" encoding="utf-8"?>
<styleSheet xmlns="http://schemas.openxmlformats.org/spreadsheetml/2006/main">
  <numFmts count="5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yyyy\-mm\-dd"/>
    <numFmt numFmtId="167" formatCode="yyyy\-mm\-dd;@"/>
    <numFmt numFmtId="168" formatCode="_-* #,##0\ _F_t_-;\-* #,##0\ _F_t_-;_-* &quot;-&quot;??\ _F_t_-;_-@_-"/>
  </numFmts>
  <fonts count="32">
    <font>
      <sz val="10"/>
      <name val="Arial"/>
      <family val="2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u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17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7" borderId="1" applyNumberFormat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16" borderId="5" applyNumberFormat="0" applyAlignment="0" applyProtection="0"/>
    <xf numFmtId="164" fontId="6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" fillId="17" borderId="7" applyNumberFormat="0" applyFon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7" fillId="4" borderId="0" applyNumberFormat="0" applyBorder="0" applyAlignment="0" applyProtection="0"/>
    <xf numFmtId="0" fontId="18" fillId="22" borderId="8" applyNumberFormat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" fillId="0" borderId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3" fillId="22" borderId="1" applyNumberFormat="0" applyAlignment="0" applyProtection="0"/>
  </cellStyleXfs>
  <cellXfs count="98">
    <xf numFmtId="0" fontId="0" fillId="0" borderId="0" xfId="0"/>
    <xf numFmtId="0" fontId="2" fillId="0" borderId="0" xfId="40"/>
    <xf numFmtId="0" fontId="2" fillId="0" borderId="0" xfId="40" applyFont="1"/>
    <xf numFmtId="3" fontId="0" fillId="0" borderId="0" xfId="0" applyNumberFormat="1"/>
    <xf numFmtId="0" fontId="5" fillId="0" borderId="0" xfId="0" applyFont="1" applyAlignment="1">
      <alignment horizontal="center"/>
    </xf>
    <xf numFmtId="165" fontId="6" fillId="0" borderId="0" xfId="26" applyNumberFormat="1"/>
    <xf numFmtId="0" fontId="5" fillId="0" borderId="0" xfId="0" applyFont="1"/>
    <xf numFmtId="0" fontId="28" fillId="0" borderId="0" xfId="0" applyFont="1" applyBorder="1"/>
    <xf numFmtId="0" fontId="2" fillId="0" borderId="0" xfId="40" applyBorder="1"/>
    <xf numFmtId="3" fontId="25" fillId="0" borderId="0" xfId="40" applyNumberFormat="1" applyFont="1" applyBorder="1"/>
    <xf numFmtId="0" fontId="25" fillId="0" borderId="0" xfId="40" applyFont="1" applyBorder="1"/>
    <xf numFmtId="3" fontId="2" fillId="0" borderId="0" xfId="40" applyNumberFormat="1" applyFont="1" applyBorder="1"/>
    <xf numFmtId="167" fontId="2" fillId="0" borderId="0" xfId="40" applyNumberFormat="1" applyFont="1" applyBorder="1" applyAlignment="1">
      <alignment horizontal="center"/>
    </xf>
    <xf numFmtId="0" fontId="2" fillId="0" borderId="0" xfId="40" applyFont="1" applyBorder="1"/>
    <xf numFmtId="3" fontId="2" fillId="0" borderId="20" xfId="40" applyNumberFormat="1" applyFont="1" applyBorder="1"/>
    <xf numFmtId="0" fontId="2" fillId="0" borderId="20" xfId="40" applyFont="1" applyBorder="1"/>
    <xf numFmtId="3" fontId="2" fillId="0" borderId="21" xfId="40" applyNumberFormat="1" applyFont="1" applyBorder="1" applyAlignment="1">
      <alignment horizontal="center"/>
    </xf>
    <xf numFmtId="3" fontId="2" fillId="0" borderId="21" xfId="40" applyNumberFormat="1" applyFont="1" applyBorder="1"/>
    <xf numFmtId="0" fontId="2" fillId="0" borderId="21" xfId="40" applyFont="1" applyBorder="1"/>
    <xf numFmtId="3" fontId="2" fillId="0" borderId="20" xfId="40" applyNumberFormat="1" applyFont="1" applyBorder="1" applyAlignment="1">
      <alignment horizontal="center"/>
    </xf>
    <xf numFmtId="166" fontId="2" fillId="0" borderId="21" xfId="40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/>
    </xf>
    <xf numFmtId="0" fontId="0" fillId="0" borderId="22" xfId="0" applyFont="1" applyBorder="1"/>
    <xf numFmtId="0" fontId="0" fillId="0" borderId="22" xfId="0" applyBorder="1"/>
    <xf numFmtId="0" fontId="3" fillId="0" borderId="23" xfId="40" applyFont="1" applyBorder="1" applyAlignment="1">
      <alignment horizontal="center"/>
    </xf>
    <xf numFmtId="0" fontId="3" fillId="0" borderId="24" xfId="40" applyFont="1" applyBorder="1" applyAlignment="1">
      <alignment horizontal="center"/>
    </xf>
    <xf numFmtId="0" fontId="3" fillId="0" borderId="20" xfId="40" applyFont="1" applyBorder="1"/>
    <xf numFmtId="0" fontId="3" fillId="0" borderId="18" xfId="40" applyFont="1" applyBorder="1"/>
    <xf numFmtId="0" fontId="3" fillId="0" borderId="25" xfId="40" applyFont="1" applyBorder="1"/>
    <xf numFmtId="0" fontId="3" fillId="0" borderId="16" xfId="40" applyFont="1" applyBorder="1"/>
    <xf numFmtId="0" fontId="3" fillId="0" borderId="26" xfId="40" applyFont="1" applyBorder="1" applyAlignment="1">
      <alignment horizontal="center"/>
    </xf>
    <xf numFmtId="0" fontId="3" fillId="0" borderId="27" xfId="40" applyFont="1" applyBorder="1" applyAlignment="1">
      <alignment horizontal="center"/>
    </xf>
    <xf numFmtId="0" fontId="3" fillId="0" borderId="22" xfId="40" applyFont="1" applyBorder="1" applyAlignment="1">
      <alignment horizontal="center"/>
    </xf>
    <xf numFmtId="0" fontId="3" fillId="0" borderId="17" xfId="40" applyFont="1" applyBorder="1" applyAlignment="1">
      <alignment horizontal="center"/>
    </xf>
    <xf numFmtId="0" fontId="3" fillId="0" borderId="28" xfId="40" applyFont="1" applyBorder="1" applyAlignment="1">
      <alignment horizontal="center"/>
    </xf>
    <xf numFmtId="0" fontId="3" fillId="0" borderId="29" xfId="40" applyFont="1" applyBorder="1" applyAlignment="1">
      <alignment horizontal="center"/>
    </xf>
    <xf numFmtId="168" fontId="0" fillId="0" borderId="0" xfId="0" applyNumberFormat="1"/>
    <xf numFmtId="0" fontId="27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2" xfId="0" applyFont="1" applyBorder="1"/>
    <xf numFmtId="168" fontId="27" fillId="0" borderId="22" xfId="26" applyNumberFormat="1" applyFont="1" applyBorder="1"/>
    <xf numFmtId="168" fontId="27" fillId="0" borderId="30" xfId="26" applyNumberFormat="1" applyFont="1" applyBorder="1"/>
    <xf numFmtId="0" fontId="28" fillId="0" borderId="20" xfId="0" applyFont="1" applyBorder="1"/>
    <xf numFmtId="168" fontId="27" fillId="0" borderId="20" xfId="26" applyNumberFormat="1" applyFont="1" applyBorder="1"/>
    <xf numFmtId="168" fontId="27" fillId="0" borderId="31" xfId="26" applyNumberFormat="1" applyFont="1" applyBorder="1"/>
    <xf numFmtId="168" fontId="29" fillId="0" borderId="22" xfId="26" applyNumberFormat="1" applyFont="1" applyBorder="1"/>
    <xf numFmtId="0" fontId="0" fillId="0" borderId="31" xfId="0" applyBorder="1"/>
    <xf numFmtId="0" fontId="27" fillId="0" borderId="20" xfId="0" applyFont="1" applyBorder="1"/>
    <xf numFmtId="0" fontId="28" fillId="0" borderId="22" xfId="0" applyFont="1" applyBorder="1" applyAlignment="1">
      <alignment wrapText="1"/>
    </xf>
    <xf numFmtId="0" fontId="27" fillId="0" borderId="31" xfId="0" applyFont="1" applyBorder="1"/>
    <xf numFmtId="0" fontId="28" fillId="0" borderId="20" xfId="0" applyFont="1" applyBorder="1" applyAlignment="1">
      <alignment wrapText="1"/>
    </xf>
    <xf numFmtId="0" fontId="28" fillId="0" borderId="21" xfId="0" applyFont="1" applyBorder="1"/>
    <xf numFmtId="168" fontId="28" fillId="0" borderId="21" xfId="26" applyNumberFormat="1" applyFont="1" applyBorder="1"/>
    <xf numFmtId="0" fontId="28" fillId="0" borderId="15" xfId="0" applyFont="1" applyBorder="1" applyAlignment="1">
      <alignment vertical="center" wrapText="1"/>
    </xf>
    <xf numFmtId="168" fontId="27" fillId="0" borderId="21" xfId="26" applyNumberFormat="1" applyFont="1" applyBorder="1"/>
    <xf numFmtId="168" fontId="27" fillId="0" borderId="19" xfId="26" applyNumberFormat="1" applyFont="1" applyBorder="1"/>
    <xf numFmtId="0" fontId="28" fillId="0" borderId="21" xfId="0" applyFont="1" applyBorder="1" applyAlignment="1">
      <alignment wrapText="1"/>
    </xf>
    <xf numFmtId="0" fontId="28" fillId="0" borderId="15" xfId="0" applyFont="1" applyBorder="1" applyAlignment="1">
      <alignment wrapText="1"/>
    </xf>
    <xf numFmtId="168" fontId="27" fillId="0" borderId="15" xfId="26" applyNumberFormat="1" applyFont="1" applyBorder="1"/>
    <xf numFmtId="168" fontId="27" fillId="0" borderId="26" xfId="26" applyNumberFormat="1" applyFont="1" applyBorder="1"/>
    <xf numFmtId="168" fontId="27" fillId="0" borderId="32" xfId="26" applyNumberFormat="1" applyFont="1" applyBorder="1"/>
    <xf numFmtId="0" fontId="0" fillId="0" borderId="20" xfId="0" applyBorder="1"/>
    <xf numFmtId="168" fontId="27" fillId="0" borderId="0" xfId="26" applyNumberFormat="1" applyFont="1" applyBorder="1"/>
    <xf numFmtId="0" fontId="28" fillId="0" borderId="33" xfId="0" applyFont="1" applyBorder="1"/>
    <xf numFmtId="168" fontId="28" fillId="0" borderId="34" xfId="26" applyNumberFormat="1" applyFont="1" applyBorder="1"/>
    <xf numFmtId="168" fontId="28" fillId="0" borderId="35" xfId="26" applyNumberFormat="1" applyFont="1" applyBorder="1"/>
    <xf numFmtId="0" fontId="28" fillId="0" borderId="11" xfId="0" applyFont="1" applyBorder="1"/>
    <xf numFmtId="168" fontId="28" fillId="0" borderId="10" xfId="26" applyNumberFormat="1" applyFont="1" applyBorder="1"/>
    <xf numFmtId="168" fontId="28" fillId="0" borderId="12" xfId="26" applyNumberFormat="1" applyFont="1" applyBorder="1"/>
    <xf numFmtId="165" fontId="0" fillId="0" borderId="0" xfId="0" applyNumberFormat="1"/>
    <xf numFmtId="168" fontId="27" fillId="0" borderId="36" xfId="26" applyNumberFormat="1" applyFont="1" applyBorder="1"/>
    <xf numFmtId="0" fontId="28" fillId="0" borderId="22" xfId="0" applyFont="1" applyBorder="1" applyAlignment="1">
      <alignment horizontal="center" vertical="center" wrapText="1"/>
    </xf>
    <xf numFmtId="168" fontId="27" fillId="0" borderId="14" xfId="26" applyNumberFormat="1" applyFont="1" applyBorder="1"/>
    <xf numFmtId="0" fontId="0" fillId="0" borderId="15" xfId="0" applyBorder="1"/>
    <xf numFmtId="168" fontId="27" fillId="0" borderId="13" xfId="26" applyNumberFormat="1" applyFont="1" applyBorder="1"/>
    <xf numFmtId="0" fontId="5" fillId="0" borderId="15" xfId="0" applyFont="1" applyBorder="1"/>
    <xf numFmtId="0" fontId="0" fillId="0" borderId="15" xfId="0" applyBorder="1" applyAlignment="1">
      <alignment wrapText="1"/>
    </xf>
    <xf numFmtId="168" fontId="0" fillId="0" borderId="15" xfId="26" applyNumberFormat="1" applyFont="1" applyBorder="1"/>
    <xf numFmtId="0" fontId="6" fillId="0" borderId="15" xfId="0" applyFont="1" applyBorder="1"/>
    <xf numFmtId="168" fontId="6" fillId="0" borderId="15" xfId="26" applyNumberFormat="1" applyFont="1" applyBorder="1"/>
    <xf numFmtId="0" fontId="6" fillId="0" borderId="15" xfId="0" applyFont="1" applyBorder="1" applyAlignment="1">
      <alignment wrapText="1"/>
    </xf>
    <xf numFmtId="0" fontId="0" fillId="0" borderId="15" xfId="0" applyFont="1" applyFill="1" applyBorder="1"/>
    <xf numFmtId="168" fontId="5" fillId="0" borderId="15" xfId="26" applyNumberFormat="1" applyFont="1" applyBorder="1"/>
    <xf numFmtId="168" fontId="0" fillId="0" borderId="0" xfId="26" applyNumberFormat="1" applyFont="1"/>
    <xf numFmtId="165" fontId="0" fillId="0" borderId="0" xfId="26" applyNumberFormat="1" applyFont="1"/>
    <xf numFmtId="168" fontId="5" fillId="0" borderId="0" xfId="0" applyNumberFormat="1" applyFont="1"/>
    <xf numFmtId="165" fontId="5" fillId="0" borderId="0" xfId="26" applyNumberFormat="1" applyFont="1"/>
    <xf numFmtId="0" fontId="4" fillId="0" borderId="15" xfId="0" applyFont="1" applyBorder="1" applyAlignment="1">
      <alignment wrapText="1"/>
    </xf>
    <xf numFmtId="0" fontId="4" fillId="0" borderId="15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top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24" fillId="0" borderId="15" xfId="0" applyFont="1" applyBorder="1"/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40" applyFont="1" applyAlignment="1">
      <alignment horizontal="center"/>
    </xf>
    <xf numFmtId="0" fontId="2" fillId="0" borderId="0" xfId="40" applyAlignment="1">
      <alignment horizontal="left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_ktgvetés2007_végleges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47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mell&#233;klet_2017-es%20k&#246;lts&#233;gvet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_mell&#233;klet_2017-es%20k&#246;lts&#233;gvet&#233;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5_mell&#233;klet_2017-es%20k&#246;lts&#233;gvet&#233;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_mell&#233;klet_2017-es%20k&#246;lts&#233;gvet&#233;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_mell&#233;klet_2017-es%20k&#246;lts&#233;gvet&#233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</sheetNames>
    <sheetDataSet>
      <sheetData sheetId="0">
        <row r="11">
          <cell r="B11">
            <v>160470000</v>
          </cell>
        </row>
        <row r="30">
          <cell r="B30">
            <v>73875400</v>
          </cell>
        </row>
        <row r="31">
          <cell r="B31">
            <v>23016969</v>
          </cell>
        </row>
        <row r="33">
          <cell r="B33">
            <v>63538290</v>
          </cell>
        </row>
        <row r="39">
          <cell r="B39">
            <v>8660200</v>
          </cell>
        </row>
        <row r="40">
          <cell r="B40">
            <v>837800</v>
          </cell>
        </row>
        <row r="42">
          <cell r="B42">
            <v>19961000</v>
          </cell>
        </row>
        <row r="45">
          <cell r="B45">
            <v>3000000</v>
          </cell>
        </row>
        <row r="46">
          <cell r="B46">
            <v>4705600</v>
          </cell>
        </row>
        <row r="47">
          <cell r="B47">
            <v>7925000</v>
          </cell>
        </row>
        <row r="48">
          <cell r="B48">
            <v>11118000</v>
          </cell>
        </row>
        <row r="49">
          <cell r="B49">
            <v>10425510</v>
          </cell>
        </row>
        <row r="50">
          <cell r="B50">
            <v>46535721</v>
          </cell>
        </row>
        <row r="51">
          <cell r="B51">
            <v>3017520</v>
          </cell>
        </row>
        <row r="52">
          <cell r="B52">
            <v>5794620</v>
          </cell>
        </row>
        <row r="59">
          <cell r="B59">
            <v>8842800</v>
          </cell>
        </row>
        <row r="60">
          <cell r="B60">
            <v>222000</v>
          </cell>
        </row>
        <row r="61">
          <cell r="B61">
            <v>10185600</v>
          </cell>
        </row>
        <row r="63">
          <cell r="B63">
            <v>7070257</v>
          </cell>
        </row>
        <row r="65">
          <cell r="B65">
            <v>8498338</v>
          </cell>
        </row>
        <row r="67">
          <cell r="B67">
            <v>8616549</v>
          </cell>
        </row>
        <row r="69">
          <cell r="B69">
            <v>596147332.5</v>
          </cell>
        </row>
        <row r="72">
          <cell r="B72">
            <v>25000000</v>
          </cell>
        </row>
        <row r="74">
          <cell r="B74">
            <v>73297234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_melléklet"/>
    </sheetNames>
    <sheetDataSet>
      <sheetData sheetId="0">
        <row r="9">
          <cell r="B9">
            <v>14325600</v>
          </cell>
        </row>
        <row r="13">
          <cell r="B13">
            <v>457200</v>
          </cell>
        </row>
        <row r="17">
          <cell r="B17">
            <v>152400</v>
          </cell>
        </row>
        <row r="21">
          <cell r="B21">
            <v>17945638.5</v>
          </cell>
        </row>
        <row r="30">
          <cell r="B30">
            <v>1300000</v>
          </cell>
        </row>
        <row r="35">
          <cell r="B35">
            <v>6914300</v>
          </cell>
        </row>
        <row r="42">
          <cell r="B42">
            <v>30371360</v>
          </cell>
        </row>
        <row r="61">
          <cell r="B61">
            <v>2006600</v>
          </cell>
        </row>
        <row r="66">
          <cell r="B66">
            <v>1443990</v>
          </cell>
        </row>
        <row r="72">
          <cell r="B72">
            <v>3175000</v>
          </cell>
        </row>
        <row r="81">
          <cell r="B81">
            <v>3048000</v>
          </cell>
        </row>
        <row r="85">
          <cell r="B85">
            <v>13282550</v>
          </cell>
        </row>
        <row r="90">
          <cell r="B90">
            <v>373380</v>
          </cell>
        </row>
        <row r="98">
          <cell r="B98">
            <v>9121140</v>
          </cell>
        </row>
        <row r="103">
          <cell r="B103">
            <v>5450000</v>
          </cell>
        </row>
        <row r="105">
          <cell r="B105">
            <v>254000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_melléklet"/>
    </sheetNames>
    <sheetDataSet>
      <sheetData sheetId="0">
        <row r="17">
          <cell r="B17">
            <v>508000</v>
          </cell>
        </row>
        <row r="27">
          <cell r="B27">
            <v>9652000</v>
          </cell>
        </row>
        <row r="56">
          <cell r="B56">
            <v>7840186</v>
          </cell>
        </row>
        <row r="72">
          <cell r="B72">
            <v>247650</v>
          </cell>
        </row>
        <row r="84">
          <cell r="B84">
            <v>3071961.09</v>
          </cell>
        </row>
        <row r="96">
          <cell r="B96">
            <v>13401933</v>
          </cell>
        </row>
        <row r="111">
          <cell r="B111">
            <v>8430379</v>
          </cell>
        </row>
        <row r="130">
          <cell r="B130">
            <v>13440335</v>
          </cell>
        </row>
        <row r="168">
          <cell r="B168">
            <v>61178762</v>
          </cell>
        </row>
        <row r="185">
          <cell r="B185">
            <v>1099448.5</v>
          </cell>
        </row>
        <row r="192">
          <cell r="B192">
            <v>35500182.5</v>
          </cell>
        </row>
        <row r="223">
          <cell r="B223">
            <v>7513640</v>
          </cell>
        </row>
        <row r="243">
          <cell r="B243">
            <v>4627500</v>
          </cell>
        </row>
        <row r="292">
          <cell r="B292">
            <v>97173254</v>
          </cell>
        </row>
        <row r="342">
          <cell r="B342">
            <v>14039421</v>
          </cell>
        </row>
        <row r="363">
          <cell r="B363">
            <v>3418870</v>
          </cell>
        </row>
        <row r="405">
          <cell r="B405">
            <v>20491045</v>
          </cell>
        </row>
        <row r="445">
          <cell r="B445">
            <v>29453647</v>
          </cell>
        </row>
        <row r="483">
          <cell r="B483">
            <v>11267295</v>
          </cell>
        </row>
        <row r="502">
          <cell r="B502">
            <v>19517722</v>
          </cell>
        </row>
        <row r="542">
          <cell r="B542">
            <v>26772189</v>
          </cell>
        </row>
        <row r="553">
          <cell r="B553">
            <v>3691890</v>
          </cell>
        </row>
        <row r="564">
          <cell r="B564">
            <v>11698170</v>
          </cell>
        </row>
        <row r="581">
          <cell r="B581">
            <v>52542338</v>
          </cell>
        </row>
        <row r="613">
          <cell r="B613">
            <v>26495344</v>
          </cell>
        </row>
        <row r="640">
          <cell r="B640">
            <v>64433527</v>
          </cell>
        </row>
        <row r="679">
          <cell r="B679">
            <v>6775931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_ melléklet"/>
    </sheetNames>
    <sheetDataSet>
      <sheetData sheetId="0">
        <row r="6">
          <cell r="B6">
            <v>82215760</v>
          </cell>
        </row>
        <row r="12">
          <cell r="B12">
            <v>5600000</v>
          </cell>
        </row>
        <row r="19">
          <cell r="B19">
            <v>801060</v>
          </cell>
        </row>
        <row r="20">
          <cell r="B20">
            <v>2649660</v>
          </cell>
        </row>
        <row r="21">
          <cell r="B21">
            <v>268830</v>
          </cell>
        </row>
        <row r="22">
          <cell r="B22">
            <v>32000000</v>
          </cell>
        </row>
        <row r="23">
          <cell r="B23">
            <v>24400000</v>
          </cell>
        </row>
        <row r="25">
          <cell r="B25">
            <v>6500000</v>
          </cell>
        </row>
        <row r="29">
          <cell r="B29">
            <v>6100000</v>
          </cell>
        </row>
        <row r="35">
          <cell r="B35">
            <v>1496210</v>
          </cell>
        </row>
        <row r="40">
          <cell r="B40">
            <v>2400000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adások"/>
    </sheetNames>
    <sheetDataSet>
      <sheetData sheetId="0">
        <row r="6">
          <cell r="B6">
            <v>635398931.59000003</v>
          </cell>
        </row>
        <row r="40">
          <cell r="B40">
            <v>16045133</v>
          </cell>
        </row>
        <row r="62">
          <cell r="B62">
            <v>18000000</v>
          </cell>
        </row>
        <row r="69">
          <cell r="B69">
            <v>10168502</v>
          </cell>
        </row>
        <row r="70">
          <cell r="B70">
            <v>14832000</v>
          </cell>
        </row>
        <row r="72">
          <cell r="B72">
            <v>694444566.59000003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opLeftCell="A73" workbookViewId="0">
      <selection activeCell="F59" sqref="F59"/>
    </sheetView>
  </sheetViews>
  <sheetFormatPr defaultRowHeight="12.75"/>
  <cols>
    <col min="1" max="1" width="35.5703125" customWidth="1"/>
    <col min="2" max="2" width="17.85546875" customWidth="1"/>
    <col min="3" max="3" width="18.5703125" customWidth="1"/>
    <col min="4" max="4" width="20.85546875" customWidth="1"/>
    <col min="5" max="5" width="16.85546875" customWidth="1"/>
    <col min="6" max="6" width="19.7109375" customWidth="1"/>
    <col min="7" max="7" width="11.140625" bestFit="1" customWidth="1"/>
    <col min="8" max="8" width="14.7109375" bestFit="1" customWidth="1"/>
    <col min="9" max="9" width="12.5703125" bestFit="1" customWidth="1"/>
  </cols>
  <sheetData>
    <row r="1" spans="1:8" ht="24">
      <c r="A1" s="37"/>
      <c r="B1" s="38" t="s">
        <v>41</v>
      </c>
      <c r="C1" s="38" t="s">
        <v>21</v>
      </c>
      <c r="D1" s="71" t="s">
        <v>22</v>
      </c>
      <c r="E1" s="38" t="s">
        <v>23</v>
      </c>
      <c r="F1" s="53" t="s">
        <v>24</v>
      </c>
    </row>
    <row r="2" spans="1:8">
      <c r="A2" s="39" t="s">
        <v>47</v>
      </c>
      <c r="B2" s="40">
        <f>[1]bevételek!B30</f>
        <v>73875400</v>
      </c>
      <c r="C2" s="41">
        <f>'[2]3_melléklet'!B61+'[2]3_melléklet'!B72+'[2]3_melléklet'!B35+'[2]3_melléklet'!B66</f>
        <v>13539890</v>
      </c>
      <c r="D2" s="40">
        <f>B2+C2</f>
        <v>87415290</v>
      </c>
      <c r="E2" s="70">
        <f>'[3]5_melléklet'!B243+'[3]5_melléklet'!B292</f>
        <v>101800754</v>
      </c>
      <c r="F2" s="40">
        <f>D2-E2</f>
        <v>-14385464</v>
      </c>
      <c r="H2" s="36"/>
    </row>
    <row r="3" spans="1:8">
      <c r="A3" s="42"/>
      <c r="B3" s="43"/>
      <c r="C3" s="44"/>
      <c r="D3" s="43">
        <f>B3+C3</f>
        <v>0</v>
      </c>
      <c r="E3" s="72"/>
      <c r="F3" s="43"/>
      <c r="H3" s="3"/>
    </row>
    <row r="4" spans="1:8" ht="24">
      <c r="A4" s="48" t="s">
        <v>45</v>
      </c>
      <c r="B4" s="54">
        <f>[1]bevételek!B31</f>
        <v>23016969</v>
      </c>
      <c r="C4" s="54"/>
      <c r="D4" s="40">
        <f>B4+C4</f>
        <v>23016969</v>
      </c>
      <c r="E4" s="55">
        <f>'[3]5_melléklet'!B17+'[3]5_melléklet'!B27+'[4]4_ melléklet'!B22</f>
        <v>42160000</v>
      </c>
      <c r="F4" s="40">
        <f>D4-E4</f>
        <v>-19143031</v>
      </c>
      <c r="H4" s="36"/>
    </row>
    <row r="5" spans="1:8" ht="36">
      <c r="A5" s="57" t="s">
        <v>48</v>
      </c>
      <c r="B5" s="58"/>
      <c r="C5" s="58">
        <f>'[2]3_melléklet'!B9+'[2]3_melléklet'!B21</f>
        <v>32271238.5</v>
      </c>
      <c r="D5" s="40">
        <f>B5+C5</f>
        <v>32271238.5</v>
      </c>
      <c r="E5" s="74">
        <f>'[3]5_melléklet'!B130+'[3]5_melléklet'!B185</f>
        <v>14539783.5</v>
      </c>
      <c r="F5" s="40">
        <f>D5-E5</f>
        <v>17731455</v>
      </c>
    </row>
    <row r="6" spans="1:8">
      <c r="A6" s="39" t="s">
        <v>25</v>
      </c>
      <c r="B6" s="40">
        <f>[1]bevételek!B47</f>
        <v>7925000</v>
      </c>
      <c r="C6" s="40">
        <v>2077365</v>
      </c>
      <c r="D6" s="40">
        <f t="shared" ref="D6:D39" si="0">B6+C6</f>
        <v>10002365</v>
      </c>
      <c r="E6" s="41">
        <f>'[3]5_melléklet'!B445</f>
        <v>29453647</v>
      </c>
      <c r="F6" s="45">
        <f>D6-E6</f>
        <v>-19451282</v>
      </c>
    </row>
    <row r="7" spans="1:8">
      <c r="A7" s="42"/>
      <c r="B7" s="43"/>
      <c r="C7" s="43"/>
      <c r="D7" s="43">
        <f t="shared" si="0"/>
        <v>0</v>
      </c>
      <c r="E7" s="44"/>
      <c r="F7" s="43"/>
    </row>
    <row r="8" spans="1:8">
      <c r="A8" s="39" t="s">
        <v>26</v>
      </c>
      <c r="B8" s="40">
        <f>[1]bevételek!B48</f>
        <v>11118000</v>
      </c>
      <c r="C8" s="40">
        <v>1486119</v>
      </c>
      <c r="D8" s="40">
        <f t="shared" si="0"/>
        <v>12604119</v>
      </c>
      <c r="E8" s="41">
        <f>'[3]5_melléklet'!B405</f>
        <v>20491045</v>
      </c>
      <c r="F8" s="45">
        <f>D8-E8</f>
        <v>-7886926</v>
      </c>
    </row>
    <row r="9" spans="1:8">
      <c r="A9" s="42"/>
      <c r="B9" s="43"/>
      <c r="C9" s="43"/>
      <c r="D9" s="43">
        <f t="shared" si="0"/>
        <v>0</v>
      </c>
      <c r="E9" s="44"/>
      <c r="F9" s="43"/>
      <c r="H9" s="36">
        <f>C6+C8+C10+C12+C14-'[2]3_melléklet'!B85</f>
        <v>7070257</v>
      </c>
    </row>
    <row r="10" spans="1:8">
      <c r="A10" s="39" t="s">
        <v>27</v>
      </c>
      <c r="B10" s="40">
        <f>[1]bevételek!B46</f>
        <v>4705600</v>
      </c>
      <c r="C10" s="40">
        <f>'[2]3_melléklet'!B85+347386</f>
        <v>13629936</v>
      </c>
      <c r="D10" s="40">
        <f t="shared" si="0"/>
        <v>18335536</v>
      </c>
      <c r="E10" s="41">
        <f>'[3]5_melléklet'!B502</f>
        <v>19517722</v>
      </c>
      <c r="F10" s="45">
        <f>D10-E10</f>
        <v>-1182186</v>
      </c>
    </row>
    <row r="11" spans="1:8">
      <c r="A11" s="42"/>
      <c r="B11" s="43"/>
      <c r="C11" s="43"/>
      <c r="D11" s="43">
        <f t="shared" si="0"/>
        <v>0</v>
      </c>
      <c r="E11" s="44"/>
      <c r="F11" s="43"/>
    </row>
    <row r="12" spans="1:8">
      <c r="A12" s="39" t="s">
        <v>31</v>
      </c>
      <c r="B12" s="40">
        <f>[1]bevételek!B45</f>
        <v>3000000</v>
      </c>
      <c r="C12" s="40">
        <v>1700369</v>
      </c>
      <c r="D12" s="40">
        <f t="shared" si="0"/>
        <v>4700369</v>
      </c>
      <c r="E12" s="41">
        <f>'[3]5_melléklet'!B483</f>
        <v>11267295</v>
      </c>
      <c r="F12" s="40">
        <f>D12-E12</f>
        <v>-6566926</v>
      </c>
    </row>
    <row r="13" spans="1:8">
      <c r="A13" s="42"/>
      <c r="B13" s="43"/>
      <c r="C13" s="43"/>
      <c r="D13" s="43"/>
      <c r="E13" s="44"/>
      <c r="F13" s="43"/>
    </row>
    <row r="14" spans="1:8">
      <c r="A14" s="39" t="s">
        <v>29</v>
      </c>
      <c r="B14" s="40">
        <f>[1]bevételek!B49+[1]bevételek!B51</f>
        <v>13443030</v>
      </c>
      <c r="C14" s="40">
        <v>1459018</v>
      </c>
      <c r="D14" s="40">
        <f t="shared" si="0"/>
        <v>14902048</v>
      </c>
      <c r="E14" s="41">
        <f>'[3]5_melléklet'!B542</f>
        <v>26772189</v>
      </c>
      <c r="F14" s="45">
        <f>D14-E14</f>
        <v>-11870141</v>
      </c>
      <c r="H14" s="36">
        <f>C14+C12+C8+C6+347386</f>
        <v>7070257</v>
      </c>
    </row>
    <row r="15" spans="1:8">
      <c r="A15" s="42"/>
      <c r="B15" s="43"/>
      <c r="C15" s="43"/>
      <c r="D15" s="43">
        <f t="shared" si="0"/>
        <v>0</v>
      </c>
      <c r="E15" s="44"/>
      <c r="F15" s="43"/>
      <c r="H15" s="3">
        <f>[1]bevételek!B63</f>
        <v>7070257</v>
      </c>
    </row>
    <row r="16" spans="1:8">
      <c r="A16" s="39" t="s">
        <v>30</v>
      </c>
      <c r="B16" s="40">
        <f>[1]bevételek!B61</f>
        <v>10185600</v>
      </c>
      <c r="C16" s="40">
        <f>'[2]3_melléklet'!B13+'[2]3_melléklet'!B17</f>
        <v>609600</v>
      </c>
      <c r="D16" s="40">
        <f t="shared" si="0"/>
        <v>10795200</v>
      </c>
      <c r="E16" s="41">
        <f>'[3]5_melléklet'!B56+'[3]5_melléklet'!B72</f>
        <v>8087836</v>
      </c>
      <c r="F16" s="40">
        <f>D16-E16</f>
        <v>2707364</v>
      </c>
      <c r="H16" s="3">
        <f>H14-H15</f>
        <v>0</v>
      </c>
    </row>
    <row r="17" spans="1:6">
      <c r="A17" s="42"/>
      <c r="B17" s="43"/>
      <c r="C17" s="43"/>
      <c r="D17" s="43">
        <f t="shared" si="0"/>
        <v>0</v>
      </c>
      <c r="E17" s="46"/>
      <c r="F17" s="43"/>
    </row>
    <row r="18" spans="1:6">
      <c r="A18" s="39" t="s">
        <v>28</v>
      </c>
      <c r="B18" s="59">
        <f>[1]bevételek!B59+[1]bevételek!B60</f>
        <v>9064800</v>
      </c>
      <c r="C18" s="40">
        <f>'[2]3_melléklet'!B81</f>
        <v>3048000</v>
      </c>
      <c r="D18" s="40">
        <f t="shared" si="0"/>
        <v>12112800</v>
      </c>
      <c r="E18" s="41">
        <f>'[3]5_melléklet'!B342+'[3]5_melléklet'!B363</f>
        <v>17458291</v>
      </c>
      <c r="F18" s="45">
        <f>D18-E18</f>
        <v>-5345491</v>
      </c>
    </row>
    <row r="19" spans="1:6">
      <c r="A19" s="61"/>
      <c r="B19" s="60"/>
      <c r="C19" s="43"/>
      <c r="D19" s="43"/>
      <c r="E19" s="44"/>
      <c r="F19" s="43"/>
    </row>
    <row r="20" spans="1:6" ht="15.6" customHeight="1">
      <c r="A20" s="56" t="s">
        <v>42</v>
      </c>
      <c r="B20" s="40">
        <f>[1]bevételek!B50</f>
        <v>46535721</v>
      </c>
      <c r="C20" s="40">
        <f>'[2]3_melléklet'!B98+'[2]3_melléklet'!B90+'[2]3_melléklet'!B103</f>
        <v>14944520</v>
      </c>
      <c r="D20" s="40">
        <f t="shared" si="0"/>
        <v>61480241</v>
      </c>
      <c r="E20" s="41">
        <f>'[3]5_melléklet'!B553+'[3]5_melléklet'!B581+'[3]5_melléklet'!B84</f>
        <v>59306189.090000004</v>
      </c>
      <c r="F20" s="40">
        <f>D20-E20</f>
        <v>2174051.9099999964</v>
      </c>
    </row>
    <row r="21" spans="1:6" ht="13.15" customHeight="1">
      <c r="A21" s="42"/>
      <c r="B21" s="43"/>
      <c r="C21" s="43"/>
      <c r="D21" s="43"/>
      <c r="E21" s="44"/>
      <c r="F21" s="43"/>
    </row>
    <row r="22" spans="1:6">
      <c r="A22" s="39" t="s">
        <v>32</v>
      </c>
      <c r="B22" s="40">
        <f>[1]bevételek!B33+[1]bevételek!B39+[1]bevételek!B40</f>
        <v>73036290</v>
      </c>
      <c r="C22" s="40">
        <v>209000</v>
      </c>
      <c r="D22" s="40">
        <f t="shared" si="0"/>
        <v>73245290</v>
      </c>
      <c r="E22" s="41">
        <f>'[3]5_melléklet'!B613+'[3]5_melléklet'!B640</f>
        <v>90928871</v>
      </c>
      <c r="F22" s="40">
        <f>D22-E22</f>
        <v>-17683581</v>
      </c>
    </row>
    <row r="23" spans="1:6">
      <c r="A23" s="47"/>
      <c r="B23" s="47"/>
      <c r="C23" s="47"/>
      <c r="D23" s="43"/>
      <c r="E23" s="49"/>
      <c r="F23" s="43"/>
    </row>
    <row r="24" spans="1:6">
      <c r="A24" s="39" t="s">
        <v>33</v>
      </c>
      <c r="B24" s="40"/>
      <c r="C24" s="40"/>
      <c r="D24" s="40">
        <f t="shared" si="0"/>
        <v>0</v>
      </c>
      <c r="E24" s="41">
        <f>'[3]5_melléklet'!B223</f>
        <v>7513640</v>
      </c>
      <c r="F24" s="40">
        <f>D24-E24</f>
        <v>-7513640</v>
      </c>
    </row>
    <row r="25" spans="1:6">
      <c r="A25" s="42"/>
      <c r="B25" s="47"/>
      <c r="C25" s="43"/>
      <c r="D25" s="43"/>
      <c r="E25" s="44"/>
      <c r="F25" s="43">
        <f>D25-E25</f>
        <v>0</v>
      </c>
    </row>
    <row r="26" spans="1:6">
      <c r="A26" s="39" t="s">
        <v>34</v>
      </c>
      <c r="B26" s="40">
        <f>[1]bevételek!B52</f>
        <v>5794620</v>
      </c>
      <c r="C26" s="40">
        <f>'[2]3_melléklet'!B105</f>
        <v>254000</v>
      </c>
      <c r="D26" s="40">
        <f t="shared" si="0"/>
        <v>6048620</v>
      </c>
      <c r="E26" s="41">
        <f>'[4]4_ melléklet'!B23+'[3]5_melléklet'!B679</f>
        <v>31175931</v>
      </c>
      <c r="F26" s="40">
        <f>D26-E26</f>
        <v>-25127311</v>
      </c>
    </row>
    <row r="27" spans="1:6">
      <c r="A27" s="42"/>
      <c r="B27" s="43"/>
      <c r="C27" s="43"/>
      <c r="D27" s="43"/>
      <c r="E27" s="44"/>
      <c r="F27" s="43"/>
    </row>
    <row r="28" spans="1:6">
      <c r="A28" s="39" t="s">
        <v>35</v>
      </c>
      <c r="B28" s="40">
        <f>[1]bevételek!B65+[1]bevételek!B67</f>
        <v>17114887</v>
      </c>
      <c r="C28" s="40"/>
      <c r="D28" s="40">
        <f t="shared" si="0"/>
        <v>17114887</v>
      </c>
      <c r="E28" s="41">
        <f>'[3]5_melléklet'!B96+'[3]5_melléklet'!B111+'[3]5_melléklet'!B564</f>
        <v>33530482</v>
      </c>
      <c r="F28" s="40">
        <f>D28-E28</f>
        <v>-16415595</v>
      </c>
    </row>
    <row r="29" spans="1:6" ht="13.15" customHeight="1">
      <c r="A29" s="50" t="s">
        <v>36</v>
      </c>
      <c r="B29" s="43"/>
      <c r="C29" s="43"/>
      <c r="D29" s="43"/>
      <c r="E29" s="44"/>
      <c r="F29" s="43"/>
    </row>
    <row r="30" spans="1:6" ht="16.149999999999999" customHeight="1">
      <c r="A30" s="48" t="s">
        <v>37</v>
      </c>
      <c r="B30" s="40">
        <f>[1]bevételek!B42</f>
        <v>19961000</v>
      </c>
      <c r="C30" s="40">
        <f>'[2]3_melléklet'!B30</f>
        <v>1300000</v>
      </c>
      <c r="D30" s="40">
        <f t="shared" si="0"/>
        <v>21261000</v>
      </c>
      <c r="E30" s="41">
        <f>'[4]4_ melléklet'!B25+'[4]4_ melléklet'!B29+'[4]4_ melléklet'!B40</f>
        <v>15000000</v>
      </c>
      <c r="F30" s="40">
        <f>D30-E30</f>
        <v>6261000</v>
      </c>
    </row>
    <row r="31" spans="1:6">
      <c r="A31" s="42"/>
      <c r="B31" s="43"/>
      <c r="C31" s="43"/>
      <c r="D31" s="43"/>
      <c r="E31" s="44"/>
      <c r="F31" s="43"/>
    </row>
    <row r="32" spans="1:6" ht="15.6" customHeight="1">
      <c r="A32" s="48" t="s">
        <v>38</v>
      </c>
      <c r="B32" s="40"/>
      <c r="C32" s="40">
        <f>'[2]3_melléklet'!B42</f>
        <v>30371360</v>
      </c>
      <c r="D32" s="40">
        <f t="shared" si="0"/>
        <v>30371360</v>
      </c>
      <c r="E32" s="41">
        <f>'[3]5_melléklet'!B168</f>
        <v>61178762</v>
      </c>
      <c r="F32" s="40">
        <f>D32-E32</f>
        <v>-30807402</v>
      </c>
    </row>
    <row r="33" spans="1:9">
      <c r="A33" s="42"/>
      <c r="B33" s="43"/>
      <c r="C33" s="43"/>
      <c r="D33" s="43"/>
      <c r="E33" s="44"/>
      <c r="F33" s="43"/>
    </row>
    <row r="34" spans="1:9">
      <c r="A34" s="39" t="s">
        <v>53</v>
      </c>
      <c r="B34" s="40"/>
      <c r="C34" s="40"/>
      <c r="D34" s="40">
        <f t="shared" si="0"/>
        <v>0</v>
      </c>
      <c r="E34" s="41">
        <f>'[4]4_ melléklet'!B12+'[4]4_ melléklet'!B19+'[4]4_ melléklet'!B20+'[4]4_ melléklet'!B21+'[4]4_ melléklet'!B35</f>
        <v>10815760</v>
      </c>
      <c r="F34" s="40">
        <f>D34-E34</f>
        <v>-10815760</v>
      </c>
    </row>
    <row r="35" spans="1:9">
      <c r="A35" s="42"/>
      <c r="B35" s="43"/>
      <c r="C35" s="43"/>
      <c r="D35" s="43"/>
      <c r="E35" s="44"/>
      <c r="F35" s="43"/>
    </row>
    <row r="36" spans="1:9" ht="39" customHeight="1">
      <c r="A36" s="48" t="s">
        <v>99</v>
      </c>
      <c r="B36" s="40"/>
      <c r="C36" s="40"/>
      <c r="D36" s="40"/>
      <c r="E36" s="41">
        <f>'[3]5_melléklet'!B192-'[3]5_melléklet'!B185</f>
        <v>34400734</v>
      </c>
      <c r="F36" s="40">
        <f>D36-E36</f>
        <v>-34400734</v>
      </c>
    </row>
    <row r="37" spans="1:9">
      <c r="A37" s="50"/>
      <c r="B37" s="43"/>
      <c r="C37" s="43"/>
      <c r="D37" s="43"/>
      <c r="E37" s="44"/>
      <c r="F37" s="43"/>
    </row>
    <row r="38" spans="1:9" ht="13.5" thickBot="1">
      <c r="A38" s="39"/>
      <c r="B38" s="40"/>
      <c r="C38" s="40"/>
      <c r="D38" s="40"/>
      <c r="E38" s="40"/>
      <c r="F38" s="40"/>
    </row>
    <row r="39" spans="1:9" ht="13.5" thickBot="1">
      <c r="A39" s="63" t="s">
        <v>43</v>
      </c>
      <c r="B39" s="64"/>
      <c r="C39" s="64"/>
      <c r="D39" s="64">
        <f t="shared" si="0"/>
        <v>0</v>
      </c>
      <c r="E39" s="64"/>
      <c r="F39" s="65">
        <f>SUM(F2:F36)</f>
        <v>-199721599.09</v>
      </c>
      <c r="G39" s="3">
        <f>[1]bevételek!B69-[1]bevételek!B11</f>
        <v>435677332.5</v>
      </c>
      <c r="H39" s="3">
        <f>[5]kiadások!B6</f>
        <v>635398931.59000003</v>
      </c>
      <c r="I39" s="3">
        <f>G39-H39</f>
        <v>-199721599.09000003</v>
      </c>
    </row>
    <row r="40" spans="1:9">
      <c r="A40" s="51"/>
      <c r="B40" s="52"/>
      <c r="C40" s="52"/>
      <c r="D40" s="52"/>
      <c r="E40" s="52"/>
      <c r="F40" s="52"/>
      <c r="I40" s="36">
        <f>I39-F39</f>
        <v>0</v>
      </c>
    </row>
    <row r="41" spans="1:9">
      <c r="A41" s="39" t="s">
        <v>39</v>
      </c>
      <c r="B41" s="40"/>
      <c r="C41" s="40"/>
      <c r="D41" s="40">
        <f>B41+C41</f>
        <v>0</v>
      </c>
      <c r="E41" s="40">
        <f>[5]kiadások!B40</f>
        <v>16045133</v>
      </c>
      <c r="F41" s="40">
        <f>D41-E41</f>
        <v>-16045133</v>
      </c>
      <c r="H41" s="36">
        <f>SUM(E2:E37)</f>
        <v>635398931.59000003</v>
      </c>
    </row>
    <row r="42" spans="1:9">
      <c r="A42" s="47"/>
      <c r="B42" s="43"/>
      <c r="C42" s="43"/>
      <c r="D42" s="43"/>
      <c r="E42" s="43"/>
      <c r="F42" s="43"/>
    </row>
    <row r="43" spans="1:9" ht="23.45" customHeight="1">
      <c r="A43" s="48" t="s">
        <v>104</v>
      </c>
      <c r="B43" s="40"/>
      <c r="C43" s="40">
        <f>[1]bevételek!B74+[1]bevételek!B72</f>
        <v>98297234</v>
      </c>
      <c r="D43" s="40">
        <f>B43+C43</f>
        <v>98297234</v>
      </c>
      <c r="E43" s="40">
        <f>[5]kiadások!B70+[5]kiadások!B69</f>
        <v>25000502</v>
      </c>
      <c r="F43" s="40">
        <f>D43-E43</f>
        <v>73296732</v>
      </c>
    </row>
    <row r="44" spans="1:9">
      <c r="A44" s="47"/>
      <c r="B44" s="43"/>
      <c r="C44" s="43"/>
      <c r="D44" s="43"/>
      <c r="E44" s="43"/>
      <c r="F44" s="43"/>
    </row>
    <row r="45" spans="1:9">
      <c r="A45" s="39" t="s">
        <v>40</v>
      </c>
      <c r="B45" s="40"/>
      <c r="C45" s="40"/>
      <c r="D45" s="40"/>
      <c r="E45" s="40">
        <f>[5]kiadások!B62</f>
        <v>18000000</v>
      </c>
      <c r="F45" s="40">
        <f>D45-E45</f>
        <v>-18000000</v>
      </c>
    </row>
    <row r="46" spans="1:9">
      <c r="A46" s="47"/>
      <c r="B46" s="43"/>
      <c r="C46" s="43"/>
      <c r="D46" s="43"/>
      <c r="E46" s="43"/>
      <c r="F46" s="43"/>
      <c r="H46" s="36">
        <f>C50-C43</f>
        <v>116900415.5</v>
      </c>
    </row>
    <row r="47" spans="1:9">
      <c r="A47" s="39" t="s">
        <v>100</v>
      </c>
      <c r="B47" s="40"/>
      <c r="C47" s="40"/>
      <c r="D47" s="40"/>
      <c r="E47" s="40"/>
      <c r="F47" s="40">
        <f>[1]bevételek!B11</f>
        <v>160470000</v>
      </c>
    </row>
    <row r="48" spans="1:9">
      <c r="A48" s="42"/>
      <c r="B48" s="43"/>
      <c r="C48" s="43"/>
      <c r="D48" s="43"/>
      <c r="E48" s="43"/>
      <c r="F48" s="43"/>
    </row>
    <row r="49" spans="1:6" ht="13.5" thickBot="1">
      <c r="A49" s="7"/>
      <c r="B49" s="62"/>
      <c r="C49" s="62"/>
      <c r="D49" s="62"/>
      <c r="E49" s="62"/>
      <c r="F49" s="62"/>
    </row>
    <row r="50" spans="1:6" ht="13.5" thickBot="1">
      <c r="A50" s="66" t="s">
        <v>44</v>
      </c>
      <c r="B50" s="67">
        <f>SUM(B2:B48)</f>
        <v>318776917</v>
      </c>
      <c r="C50" s="67">
        <f>SUM(C2:C49)</f>
        <v>215197649.5</v>
      </c>
      <c r="D50" s="67"/>
      <c r="E50" s="67">
        <f>SUM(E2:E48)</f>
        <v>694444566.59000003</v>
      </c>
      <c r="F50" s="68">
        <f>F39+F41+F43+F45+F47</f>
        <v>-9.0000003576278687E-2</v>
      </c>
    </row>
    <row r="51" spans="1:6">
      <c r="F51" s="36">
        <f>B50</f>
        <v>318776917</v>
      </c>
    </row>
    <row r="52" spans="1:6">
      <c r="C52" s="36">
        <f>B50+F47+C50</f>
        <v>694444566.5</v>
      </c>
      <c r="D52" s="5">
        <f>C52-E52</f>
        <v>-9.0000033378601074E-2</v>
      </c>
      <c r="E52" s="3">
        <f>[5]kiadások!B72</f>
        <v>694444566.59000003</v>
      </c>
    </row>
    <row r="53" spans="1:6">
      <c r="B53" s="36"/>
      <c r="C53" s="3"/>
      <c r="D53" s="5">
        <f>[1]bevételek!B86</f>
        <v>0</v>
      </c>
      <c r="E53" s="36"/>
    </row>
    <row r="54" spans="1:6">
      <c r="C54" s="36"/>
      <c r="D54" s="5">
        <f>D52-D53</f>
        <v>-9.0000033378601074E-2</v>
      </c>
    </row>
    <row r="55" spans="1:6">
      <c r="A55" s="94" t="s">
        <v>101</v>
      </c>
      <c r="B55" s="94"/>
      <c r="D55" s="5"/>
    </row>
    <row r="56" spans="1:6">
      <c r="D56" s="5"/>
    </row>
    <row r="57" spans="1:6">
      <c r="A57" s="6" t="s">
        <v>3</v>
      </c>
      <c r="B57" s="4" t="s">
        <v>93</v>
      </c>
      <c r="D57" s="5"/>
    </row>
    <row r="58" spans="1:6">
      <c r="A58" t="s">
        <v>11</v>
      </c>
      <c r="B58" s="36">
        <v>4258490</v>
      </c>
      <c r="C58" s="3"/>
      <c r="D58" s="5"/>
    </row>
    <row r="59" spans="1:6">
      <c r="A59" t="s">
        <v>72</v>
      </c>
      <c r="B59" s="5">
        <v>1134594</v>
      </c>
      <c r="C59" s="36"/>
      <c r="D59" s="5"/>
    </row>
    <row r="60" spans="1:6">
      <c r="A60" t="s">
        <v>8</v>
      </c>
      <c r="B60" s="5">
        <f>458843+124414+6714184-1284553</f>
        <v>6012888</v>
      </c>
      <c r="C60" s="69">
        <f>B81</f>
        <v>-2451331</v>
      </c>
      <c r="D60" s="69">
        <f>B60+C60</f>
        <v>3561557</v>
      </c>
    </row>
    <row r="61" spans="1:6">
      <c r="A61" t="s">
        <v>73</v>
      </c>
      <c r="B61" s="5">
        <v>3000000</v>
      </c>
    </row>
    <row r="62" spans="1:6">
      <c r="A62" t="s">
        <v>46</v>
      </c>
      <c r="B62" s="84">
        <f>1746228+2768271</f>
        <v>4514499</v>
      </c>
    </row>
    <row r="63" spans="1:6">
      <c r="A63" t="s">
        <v>74</v>
      </c>
      <c r="B63" s="5">
        <v>4396843</v>
      </c>
    </row>
    <row r="64" spans="1:6">
      <c r="A64" t="s">
        <v>75</v>
      </c>
      <c r="B64" s="5">
        <v>2447256</v>
      </c>
    </row>
    <row r="65" spans="1:2">
      <c r="A65" t="s">
        <v>76</v>
      </c>
      <c r="B65" s="5">
        <f>23144491-B64-B63-B62-B61-B60</f>
        <v>2773005</v>
      </c>
    </row>
    <row r="66" spans="1:2">
      <c r="A66" t="s">
        <v>77</v>
      </c>
      <c r="B66" s="5">
        <v>6752988</v>
      </c>
    </row>
    <row r="67" spans="1:2">
      <c r="A67" t="s">
        <v>78</v>
      </c>
      <c r="B67" s="5">
        <v>20839506</v>
      </c>
    </row>
    <row r="68" spans="1:2">
      <c r="A68" t="s">
        <v>79</v>
      </c>
      <c r="B68" s="5">
        <v>400068</v>
      </c>
    </row>
    <row r="69" spans="1:2">
      <c r="A69" t="s">
        <v>80</v>
      </c>
      <c r="B69" s="5">
        <v>9000000</v>
      </c>
    </row>
    <row r="70" spans="1:2">
      <c r="A70" t="s">
        <v>81</v>
      </c>
      <c r="B70" s="5">
        <f>3662412+2694566</f>
        <v>6356978</v>
      </c>
    </row>
    <row r="71" spans="1:2">
      <c r="A71" t="s">
        <v>82</v>
      </c>
      <c r="B71" s="84">
        <f>711468-692320+95000</f>
        <v>114148</v>
      </c>
    </row>
    <row r="72" spans="1:2">
      <c r="B72" s="85">
        <f>SUM(B58:B71)</f>
        <v>72001263</v>
      </c>
    </row>
    <row r="74" spans="1:2" ht="25.5">
      <c r="A74" s="90" t="s">
        <v>102</v>
      </c>
      <c r="B74" s="89" t="s">
        <v>94</v>
      </c>
    </row>
    <row r="75" spans="1:2">
      <c r="A75" t="s">
        <v>83</v>
      </c>
      <c r="B75" s="5">
        <v>-3145438</v>
      </c>
    </row>
    <row r="76" spans="1:2">
      <c r="A76" t="s">
        <v>84</v>
      </c>
      <c r="B76" s="5">
        <v>-19923</v>
      </c>
    </row>
    <row r="77" spans="1:2">
      <c r="A77" t="s">
        <v>2</v>
      </c>
      <c r="B77" s="5">
        <v>6201269</v>
      </c>
    </row>
    <row r="78" spans="1:2">
      <c r="A78" t="s">
        <v>85</v>
      </c>
      <c r="B78" s="5">
        <v>-8313765</v>
      </c>
    </row>
    <row r="79" spans="1:2">
      <c r="A79" t="s">
        <v>86</v>
      </c>
      <c r="B79" s="5">
        <f>-7828000+3601307+757609</f>
        <v>-3469084</v>
      </c>
    </row>
    <row r="80" spans="1:2">
      <c r="A80" t="s">
        <v>87</v>
      </c>
      <c r="B80" s="5">
        <v>3652281</v>
      </c>
    </row>
    <row r="81" spans="1:3">
      <c r="A81" t="s">
        <v>88</v>
      </c>
      <c r="B81" s="5">
        <f>-2313498-137833</f>
        <v>-2451331</v>
      </c>
    </row>
    <row r="82" spans="1:3">
      <c r="A82" t="s">
        <v>97</v>
      </c>
      <c r="B82" s="5">
        <v>-3682696</v>
      </c>
    </row>
    <row r="83" spans="1:3">
      <c r="A83" t="s">
        <v>89</v>
      </c>
      <c r="B83" s="5">
        <f>-18132022-B78-B79-B80-B81-B82</f>
        <v>-3867427</v>
      </c>
      <c r="C83" s="69">
        <f>SUM(B78:B83)</f>
        <v>-18132022</v>
      </c>
    </row>
    <row r="84" spans="1:3">
      <c r="A84" t="s">
        <v>90</v>
      </c>
      <c r="B84" s="5">
        <v>20000</v>
      </c>
    </row>
    <row r="85" spans="1:3">
      <c r="A85" t="s">
        <v>98</v>
      </c>
      <c r="B85" s="5">
        <f>10168502</f>
        <v>10168502</v>
      </c>
    </row>
    <row r="86" spans="1:3">
      <c r="A86" t="s">
        <v>91</v>
      </c>
      <c r="B86" s="5">
        <v>-195964</v>
      </c>
    </row>
    <row r="87" spans="1:3">
      <c r="B87" s="86">
        <f>SUM(B75:B86)</f>
        <v>-5103576</v>
      </c>
    </row>
    <row r="89" spans="1:3">
      <c r="A89" s="6" t="s">
        <v>4</v>
      </c>
      <c r="B89" s="85">
        <f>B72+B87</f>
        <v>66897687</v>
      </c>
    </row>
  </sheetData>
  <mergeCells count="1">
    <mergeCell ref="A55:B55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G26" sqref="G26"/>
    </sheetView>
  </sheetViews>
  <sheetFormatPr defaultRowHeight="12.75"/>
  <cols>
    <col min="1" max="1" width="33.7109375" customWidth="1"/>
    <col min="2" max="2" width="14.7109375" customWidth="1"/>
    <col min="3" max="3" width="12.42578125" customWidth="1"/>
    <col min="4" max="4" width="14.42578125" customWidth="1"/>
    <col min="5" max="5" width="24.140625" customWidth="1"/>
  </cols>
  <sheetData>
    <row r="1" spans="1:5">
      <c r="A1" s="95" t="s">
        <v>103</v>
      </c>
      <c r="B1" s="95"/>
      <c r="C1" s="95"/>
      <c r="D1" s="95"/>
      <c r="E1" s="95"/>
    </row>
    <row r="2" spans="1:5" ht="25.5">
      <c r="A2" s="73"/>
      <c r="B2" s="91" t="s">
        <v>68</v>
      </c>
      <c r="C2" s="91" t="s">
        <v>46</v>
      </c>
      <c r="D2" s="91" t="s">
        <v>1</v>
      </c>
      <c r="E2" s="92" t="s">
        <v>69</v>
      </c>
    </row>
    <row r="3" spans="1:5">
      <c r="A3" s="93" t="s">
        <v>54</v>
      </c>
      <c r="B3" s="73"/>
      <c r="C3" s="73"/>
      <c r="D3" s="73"/>
      <c r="E3" s="76"/>
    </row>
    <row r="4" spans="1:5">
      <c r="A4" s="73" t="s">
        <v>55</v>
      </c>
      <c r="B4" s="77"/>
      <c r="C4" s="77"/>
      <c r="D4" s="77">
        <f>C4+B4</f>
        <v>0</v>
      </c>
      <c r="E4" s="76"/>
    </row>
    <row r="5" spans="1:5">
      <c r="A5" s="78" t="s">
        <v>56</v>
      </c>
      <c r="B5" s="77"/>
      <c r="C5" s="77">
        <f>B5*0.27</f>
        <v>0</v>
      </c>
      <c r="D5" s="79">
        <f>SUM(B5:C5)</f>
        <v>0</v>
      </c>
      <c r="E5" s="80"/>
    </row>
    <row r="6" spans="1:5">
      <c r="A6" s="81" t="s">
        <v>57</v>
      </c>
      <c r="B6" s="77">
        <v>400000</v>
      </c>
      <c r="C6" s="77">
        <f>B6*0.27</f>
        <v>108000</v>
      </c>
      <c r="D6" s="79">
        <f>SUM(B6:C6)</f>
        <v>508000</v>
      </c>
      <c r="E6" s="87"/>
    </row>
    <row r="7" spans="1:5">
      <c r="A7" s="75" t="s">
        <v>0</v>
      </c>
      <c r="B7" s="77"/>
      <c r="C7" s="77"/>
      <c r="D7" s="82">
        <f>SUM(D5:D6)</f>
        <v>508000</v>
      </c>
      <c r="E7" s="87"/>
    </row>
    <row r="8" spans="1:5">
      <c r="A8" s="73"/>
      <c r="B8" s="77"/>
      <c r="C8" s="77"/>
      <c r="D8" s="77"/>
      <c r="E8" s="87"/>
    </row>
    <row r="9" spans="1:5">
      <c r="A9" s="93" t="s">
        <v>5</v>
      </c>
      <c r="B9" s="77"/>
      <c r="C9" s="77"/>
      <c r="D9" s="77"/>
      <c r="E9" s="87"/>
    </row>
    <row r="10" spans="1:5">
      <c r="A10" s="73" t="s">
        <v>58</v>
      </c>
      <c r="B10" s="77"/>
      <c r="C10" s="77">
        <f>B10*0.27</f>
        <v>0</v>
      </c>
      <c r="D10" s="77">
        <f>C10+B10</f>
        <v>0</v>
      </c>
      <c r="E10" s="87"/>
    </row>
    <row r="11" spans="1:5">
      <c r="A11" s="73" t="s">
        <v>59</v>
      </c>
      <c r="B11" s="77"/>
      <c r="C11" s="77">
        <f>B11*0.27</f>
        <v>0</v>
      </c>
      <c r="D11" s="77">
        <f>C11+B11</f>
        <v>0</v>
      </c>
      <c r="E11" s="88"/>
    </row>
    <row r="12" spans="1:5">
      <c r="A12" s="75" t="s">
        <v>0</v>
      </c>
      <c r="B12" s="77"/>
      <c r="C12" s="77"/>
      <c r="D12" s="82">
        <f>SUM(D10:D11)</f>
        <v>0</v>
      </c>
      <c r="E12" s="87"/>
    </row>
    <row r="13" spans="1:5">
      <c r="A13" s="73"/>
      <c r="B13" s="77"/>
      <c r="C13" s="77"/>
      <c r="D13" s="79"/>
      <c r="E13" s="87"/>
    </row>
    <row r="14" spans="1:5">
      <c r="A14" s="93" t="s">
        <v>6</v>
      </c>
      <c r="D14" s="77"/>
      <c r="E14" s="87"/>
    </row>
    <row r="15" spans="1:5">
      <c r="A15" s="78" t="s">
        <v>60</v>
      </c>
      <c r="B15" s="77">
        <v>200000</v>
      </c>
      <c r="C15" s="77">
        <f t="shared" ref="C15:C20" si="0">B15*0.27</f>
        <v>54000</v>
      </c>
      <c r="D15" s="77">
        <f>SUM(B15:C15)</f>
        <v>254000</v>
      </c>
      <c r="E15" s="87" t="s">
        <v>71</v>
      </c>
    </row>
    <row r="16" spans="1:5">
      <c r="A16" s="78" t="s">
        <v>7</v>
      </c>
      <c r="B16" s="77"/>
      <c r="C16" s="77">
        <f t="shared" si="0"/>
        <v>0</v>
      </c>
      <c r="D16" s="77">
        <f>SUM(B16:C16)</f>
        <v>0</v>
      </c>
      <c r="E16" s="87"/>
    </row>
    <row r="17" spans="1:5">
      <c r="A17" s="78" t="s">
        <v>61</v>
      </c>
      <c r="B17" s="77"/>
      <c r="C17" s="77">
        <f t="shared" si="0"/>
        <v>0</v>
      </c>
      <c r="D17" s="77">
        <f>C17+B17</f>
        <v>0</v>
      </c>
      <c r="E17" s="87"/>
    </row>
    <row r="18" spans="1:5">
      <c r="A18" s="78" t="s">
        <v>62</v>
      </c>
      <c r="B18" s="77">
        <v>276000</v>
      </c>
      <c r="C18" s="77">
        <f t="shared" si="0"/>
        <v>74520</v>
      </c>
      <c r="D18" s="77">
        <f>C18+B18</f>
        <v>350520</v>
      </c>
      <c r="E18" s="87" t="s">
        <v>70</v>
      </c>
    </row>
    <row r="19" spans="1:5">
      <c r="A19" s="78" t="s">
        <v>63</v>
      </c>
      <c r="B19" s="77">
        <v>80000</v>
      </c>
      <c r="C19" s="77">
        <f t="shared" si="0"/>
        <v>21600</v>
      </c>
      <c r="D19" s="77">
        <f>C19+B19</f>
        <v>101600</v>
      </c>
      <c r="E19" s="87" t="s">
        <v>96</v>
      </c>
    </row>
    <row r="20" spans="1:5">
      <c r="A20" s="78" t="s">
        <v>64</v>
      </c>
      <c r="B20" s="77"/>
      <c r="C20" s="77">
        <f t="shared" si="0"/>
        <v>0</v>
      </c>
      <c r="D20" s="77">
        <f>C20+B20</f>
        <v>0</v>
      </c>
      <c r="E20" s="87"/>
    </row>
    <row r="21" spans="1:5">
      <c r="A21" s="75" t="s">
        <v>0</v>
      </c>
      <c r="B21" s="77"/>
      <c r="C21" s="77"/>
      <c r="D21" s="82">
        <f>SUM(D15:D20)</f>
        <v>706120</v>
      </c>
      <c r="E21" s="87"/>
    </row>
    <row r="22" spans="1:5">
      <c r="A22" s="73"/>
      <c r="B22" s="77"/>
      <c r="C22" s="77"/>
      <c r="D22" s="82"/>
      <c r="E22" s="87"/>
    </row>
    <row r="23" spans="1:5">
      <c r="A23" s="93" t="s">
        <v>65</v>
      </c>
      <c r="B23" s="77"/>
      <c r="C23" s="77"/>
      <c r="D23" s="77"/>
      <c r="E23" s="87"/>
    </row>
    <row r="24" spans="1:5">
      <c r="A24" s="73" t="s">
        <v>66</v>
      </c>
      <c r="B24" s="77"/>
      <c r="C24" s="77">
        <f>B24*0.27</f>
        <v>0</v>
      </c>
      <c r="D24" s="77">
        <f>C24+B24</f>
        <v>0</v>
      </c>
      <c r="E24" s="87"/>
    </row>
    <row r="25" spans="1:5" ht="45">
      <c r="A25" s="73" t="s">
        <v>67</v>
      </c>
      <c r="B25" s="77">
        <f>160000+2*90000+300000</f>
        <v>640000</v>
      </c>
      <c r="C25" s="77">
        <f>B25*0.27</f>
        <v>172800</v>
      </c>
      <c r="D25" s="77">
        <f>C25+B25</f>
        <v>812800</v>
      </c>
      <c r="E25" s="87" t="s">
        <v>92</v>
      </c>
    </row>
    <row r="26" spans="1:5">
      <c r="A26" s="75" t="s">
        <v>0</v>
      </c>
      <c r="B26" s="77"/>
      <c r="C26" s="77"/>
      <c r="D26" s="82">
        <f>SUM(D24:D25)</f>
        <v>812800</v>
      </c>
      <c r="E26" s="87"/>
    </row>
    <row r="27" spans="1:5">
      <c r="A27" s="73"/>
      <c r="B27" s="77"/>
      <c r="C27" s="77"/>
      <c r="D27" s="82"/>
      <c r="E27" s="76"/>
    </row>
    <row r="28" spans="1:5">
      <c r="A28" s="93" t="s">
        <v>95</v>
      </c>
      <c r="B28" s="82"/>
      <c r="C28" s="82"/>
      <c r="D28" s="82">
        <f>D7+D12+D21+D26</f>
        <v>2026920</v>
      </c>
      <c r="E28" s="73"/>
    </row>
    <row r="29" spans="1:5">
      <c r="B29" s="83"/>
      <c r="C29" s="83"/>
      <c r="D29" s="83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C1" sqref="C1:F1"/>
    </sheetView>
  </sheetViews>
  <sheetFormatPr defaultRowHeight="12.75"/>
  <cols>
    <col min="1" max="1" width="41.85546875" customWidth="1"/>
    <col min="2" max="2" width="17.85546875" customWidth="1"/>
    <col min="3" max="3" width="18.42578125" customWidth="1"/>
    <col min="4" max="4" width="17" customWidth="1"/>
    <col min="5" max="5" width="17.85546875" customWidth="1"/>
    <col min="6" max="6" width="18.42578125" customWidth="1"/>
  </cols>
  <sheetData>
    <row r="1" spans="1:6">
      <c r="A1" s="1" t="s">
        <v>9</v>
      </c>
      <c r="B1" s="1"/>
      <c r="C1" s="97" t="s">
        <v>105</v>
      </c>
      <c r="D1" s="97"/>
      <c r="E1" s="97"/>
      <c r="F1" s="97"/>
    </row>
    <row r="2" spans="1:6">
      <c r="A2" s="1" t="s">
        <v>10</v>
      </c>
      <c r="B2" s="1"/>
      <c r="C2" s="1"/>
      <c r="D2" s="1"/>
      <c r="E2" s="1"/>
      <c r="F2" s="1"/>
    </row>
    <row r="3" spans="1:6">
      <c r="A3" s="96" t="s">
        <v>19</v>
      </c>
      <c r="B3" s="96"/>
      <c r="C3" s="96"/>
      <c r="D3" s="96"/>
      <c r="E3" s="96"/>
      <c r="F3" s="96"/>
    </row>
    <row r="4" spans="1:6">
      <c r="A4" s="1"/>
      <c r="B4" s="1"/>
      <c r="C4" s="1"/>
      <c r="D4" s="1"/>
      <c r="E4" s="1"/>
      <c r="F4" s="1"/>
    </row>
    <row r="5" spans="1:6">
      <c r="A5" s="35" t="s">
        <v>18</v>
      </c>
      <c r="B5" s="34" t="s">
        <v>17</v>
      </c>
      <c r="C5" s="33" t="s">
        <v>16</v>
      </c>
      <c r="D5" s="32" t="s">
        <v>15</v>
      </c>
      <c r="E5" s="31" t="s">
        <v>14</v>
      </c>
      <c r="F5" s="30" t="s">
        <v>50</v>
      </c>
    </row>
    <row r="6" spans="1:6">
      <c r="A6" s="29"/>
      <c r="B6" s="28"/>
      <c r="C6" s="27"/>
      <c r="D6" s="26"/>
      <c r="E6" s="25" t="s">
        <v>49</v>
      </c>
      <c r="F6" s="24" t="s">
        <v>13</v>
      </c>
    </row>
    <row r="7" spans="1:6">
      <c r="A7" s="23"/>
      <c r="B7" s="22"/>
      <c r="C7" s="21"/>
      <c r="D7" s="22"/>
      <c r="E7" s="22"/>
      <c r="F7" s="21"/>
    </row>
    <row r="8" spans="1:6">
      <c r="A8" s="18" t="s">
        <v>20</v>
      </c>
      <c r="B8" s="18"/>
      <c r="C8" s="16"/>
      <c r="D8" s="18"/>
      <c r="E8" s="17"/>
      <c r="F8" s="16"/>
    </row>
    <row r="9" spans="1:6">
      <c r="A9" s="18" t="s">
        <v>51</v>
      </c>
      <c r="B9" s="20">
        <v>42356</v>
      </c>
      <c r="C9" s="16">
        <v>296054260</v>
      </c>
      <c r="D9" s="20">
        <v>47207</v>
      </c>
      <c r="E9" s="16">
        <v>233336344</v>
      </c>
      <c r="F9" s="16">
        <v>14832000</v>
      </c>
    </row>
    <row r="10" spans="1:6">
      <c r="A10" s="18" t="s">
        <v>12</v>
      </c>
      <c r="B10" s="20"/>
      <c r="C10" s="16"/>
      <c r="D10" s="20"/>
      <c r="E10" s="17"/>
      <c r="F10" s="16">
        <v>10523000</v>
      </c>
    </row>
    <row r="11" spans="1:6">
      <c r="A11" s="15"/>
      <c r="B11" s="15"/>
      <c r="C11" s="19"/>
      <c r="D11" s="15"/>
      <c r="E11" s="14"/>
      <c r="F11" s="19"/>
    </row>
    <row r="12" spans="1:6">
      <c r="A12" s="8"/>
      <c r="B12" s="13"/>
      <c r="C12" s="11"/>
      <c r="D12" s="12"/>
      <c r="E12" s="11"/>
      <c r="F12" s="11"/>
    </row>
    <row r="13" spans="1:6">
      <c r="A13" s="1"/>
    </row>
    <row r="14" spans="1:6">
      <c r="A14" s="2" t="s">
        <v>52</v>
      </c>
      <c r="B14" s="10"/>
      <c r="C14" s="9"/>
      <c r="D14" s="10"/>
      <c r="E14" s="9"/>
      <c r="F14" s="9"/>
    </row>
    <row r="15" spans="1:6">
      <c r="A15" s="2"/>
      <c r="B15" s="1"/>
      <c r="C15" s="1"/>
      <c r="D15" s="1"/>
      <c r="E15" s="1"/>
      <c r="F15" s="1"/>
    </row>
    <row r="16" spans="1:6">
      <c r="A16" s="2"/>
    </row>
  </sheetData>
  <mergeCells count="2">
    <mergeCell ref="A3:F3"/>
    <mergeCell ref="C1:F1"/>
  </mergeCells>
  <pageMargins left="0.74803149606299213" right="0.74803149606299213" top="0.78740157480314965" bottom="0.78740157480314965" header="0.51181102362204722" footer="0.51181102362204722"/>
  <pageSetup paperSize="9" firstPageNumber="0" orientation="landscape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egyenlegek</vt:lpstr>
      <vt:lpstr>kisértékű</vt:lpstr>
      <vt:lpstr>11_sz_melléklet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</dc:creator>
  <cp:lastModifiedBy>Szaboné G. Ilona</cp:lastModifiedBy>
  <cp:lastPrinted>2017-02-17T07:04:54Z</cp:lastPrinted>
  <dcterms:created xsi:type="dcterms:W3CDTF">2010-01-06T13:04:50Z</dcterms:created>
  <dcterms:modified xsi:type="dcterms:W3CDTF">2017-02-24T09:59:13Z</dcterms:modified>
</cp:coreProperties>
</file>