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Titles" localSheetId="11">'12'!$3:$7</definedName>
    <definedName name="_xlnm.Print_Titles" localSheetId="13">'14'!$3:$4</definedName>
    <definedName name="_xlnm.Print_Titles" localSheetId="14">'15'!$1:$8</definedName>
    <definedName name="_xlnm.Print_Titles" localSheetId="2">'3'!$3:$9</definedName>
    <definedName name="_xlnm.Print_Titles" localSheetId="3">'4'!$6:$7</definedName>
    <definedName name="_xlnm.Print_Titles" localSheetId="4">'5'!$3:$8</definedName>
    <definedName name="_xlnm.Print_Titles" localSheetId="5">'6'!$3:$5</definedName>
    <definedName name="_xlnm.Print_Titles" localSheetId="6">'7'!$3:$7</definedName>
    <definedName name="_xlnm.Print_Area" localSheetId="14">'15'!$A$1:$F$19</definedName>
    <definedName name="_xlnm.Print_Area" localSheetId="17">'18'!$A$1:$K$19</definedName>
    <definedName name="_xlnm.Print_Area" localSheetId="6">'7'!$A$1:$F$97</definedName>
    <definedName name="_xlnm.Print_Area" localSheetId="8">'9'!$A$1:$E$38</definedName>
  </definedNames>
  <calcPr fullCalcOnLoad="1"/>
</workbook>
</file>

<file path=xl/sharedStrings.xml><?xml version="1.0" encoding="utf-8"?>
<sst xmlns="http://schemas.openxmlformats.org/spreadsheetml/2006/main" count="1765" uniqueCount="567">
  <si>
    <t>Önkormányzati vagyonnal való gazdálkodással kapcsolatos feladatok</t>
  </si>
  <si>
    <t>Közvilágítás</t>
  </si>
  <si>
    <t>Háziorvosi alapellátás</t>
  </si>
  <si>
    <t xml:space="preserve">Ifjuság-egészségügyi gondozás </t>
  </si>
  <si>
    <t>Közterület rendjének fenntartása</t>
  </si>
  <si>
    <t>költségvetési intézményeinek</t>
  </si>
  <si>
    <t>Intézmények összesen</t>
  </si>
  <si>
    <t>Intézmények összesen:</t>
  </si>
  <si>
    <t>Cegléd Város Önkormányzata összesen:</t>
  </si>
  <si>
    <t>I. Személyi juttatások</t>
  </si>
  <si>
    <t>III. Dologi kiadások</t>
  </si>
  <si>
    <t xml:space="preserve">Cegléd Város Önkormányzata  </t>
  </si>
  <si>
    <t xml:space="preserve">összesített </t>
  </si>
  <si>
    <t>Cegléd Város Önkormányzata</t>
  </si>
  <si>
    <t>Kiadások</t>
  </si>
  <si>
    <t>Megnevezés</t>
  </si>
  <si>
    <t>Összesen:</t>
  </si>
  <si>
    <t>Összesen</t>
  </si>
  <si>
    <t>Dologi kiadások</t>
  </si>
  <si>
    <t>Egyéb felhalmozási célú kiadások</t>
  </si>
  <si>
    <t>Széchenyi úti óvoda</t>
  </si>
  <si>
    <t xml:space="preserve"> Pesti úti óvoda</t>
  </si>
  <si>
    <t xml:space="preserve"> Lövész utcai óvoda</t>
  </si>
  <si>
    <t>Pesti úti óvoda</t>
  </si>
  <si>
    <t>Lövész utcai óvoda</t>
  </si>
  <si>
    <t>A. Finanszírozás</t>
  </si>
  <si>
    <t>Bevételek</t>
  </si>
  <si>
    <t>Működési mérleg</t>
  </si>
  <si>
    <t>Felhalmozási mérleg</t>
  </si>
  <si>
    <t xml:space="preserve">Cegléd Város Önkormányzata </t>
  </si>
  <si>
    <t>Cegléd Város Önkormányzata költségvetési intézményeinek</t>
  </si>
  <si>
    <t>Kossuth Múzeum</t>
  </si>
  <si>
    <t>Ceglédi Közös Önkormányzati Hivatal</t>
  </si>
  <si>
    <t>Eredeti előirányzat</t>
  </si>
  <si>
    <t xml:space="preserve">Kötelező </t>
  </si>
  <si>
    <t xml:space="preserve">Önként </t>
  </si>
  <si>
    <t xml:space="preserve">Feladat </t>
  </si>
  <si>
    <t xml:space="preserve">Munkaadókat terhelő járulékok és szociális hozzájárulási adó                                                                            </t>
  </si>
  <si>
    <t>Beruházások</t>
  </si>
  <si>
    <t>Felújítások</t>
  </si>
  <si>
    <t>I. Egyéb működési célú támogatások államháztartáson belülre</t>
  </si>
  <si>
    <t>II. Egyéb működési célú támogatások államháztartáson kívülre</t>
  </si>
  <si>
    <t xml:space="preserve">államháztartáson belülre és kívülre 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</si>
  <si>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</si>
  <si>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</si>
  <si>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</si>
  <si>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Felhalmozási célú önkormányzati támogatások</t>
  </si>
  <si>
    <t>Egyéb felhalmozási célú támogatások bevételei államháztartáson belülről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</si>
  <si>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</si>
  <si>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</si>
  <si>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</si>
  <si>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</si>
  <si>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</si>
  <si>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</si>
  <si>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>I. Önkormányzatok működési támogatásai</t>
  </si>
  <si>
    <t>III. Felhalmozási célú támogatások államháztartáson belülről</t>
  </si>
  <si>
    <t>VI.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</si>
  <si>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</si>
  <si>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</si>
  <si>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</si>
  <si>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</si>
  <si>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</si>
  <si>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</si>
  <si>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</si>
  <si>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</si>
  <si>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</si>
  <si>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VII. Felhalmozási bevételek</t>
  </si>
  <si>
    <t>VIII. Működési célú átvett pénzeszközök</t>
  </si>
  <si>
    <t xml:space="preserve">IX. Felhalmozási célú átvett pénzeszközök </t>
  </si>
  <si>
    <t>Egyéb működési célú támogatások bevételei államháztartáson belülről</t>
  </si>
  <si>
    <t>Önkormányzatok elszámolásai a központi költségvetéssel</t>
  </si>
  <si>
    <t>... melléklet a .../….. (… ...) önkormányzati rendelethez</t>
  </si>
  <si>
    <t>garancia-, és kezességvállalás valamint lekötött betétállományai</t>
  </si>
  <si>
    <t>Bruttó összeg</t>
  </si>
  <si>
    <t>CEGLÉD VÁROS ÖNKORMÁNYZATA</t>
  </si>
  <si>
    <t>EURÓPAI UNIÓS ÉS NEM EURÓPAI UNIÓS PÁLYÁZATI TÁMOGATÁSSAL MEGVALÓSULÓ PROGRAMOK BEVÉTELEI ÉS KIADÁSAI</t>
  </si>
  <si>
    <t>A program költségvetése</t>
  </si>
  <si>
    <t>Előző években pénzügyileg teljesített</t>
  </si>
  <si>
    <t>További évekre vállalt</t>
  </si>
  <si>
    <t>KIADÁS ÖSSZESEN</t>
  </si>
  <si>
    <t>EU forrás</t>
  </si>
  <si>
    <t>Hitelfelvétel</t>
  </si>
  <si>
    <t>BEVÉTEL ÖSSZESEN</t>
  </si>
  <si>
    <t>1980/2013. (XII. 29.) Korm. határozat Cegléd sportlétesítmény-fejlesztése</t>
  </si>
  <si>
    <t xml:space="preserve">Egyéb közhatalmi bevételek </t>
  </si>
  <si>
    <t>II. Működési célú támogatások államháztartáson belülről</t>
  </si>
  <si>
    <t xml:space="preserve">III. Termékek és szolgáltatások adói </t>
  </si>
  <si>
    <t>IV. Közhatalmi bevételek</t>
  </si>
  <si>
    <t>V. Működési bevételek</t>
  </si>
  <si>
    <t>VI. Működési célú átvett pénzeszközök</t>
  </si>
  <si>
    <t>VII. Felhalmozási célú támogatások államháztartáson belülről</t>
  </si>
  <si>
    <t>VIII. Felhalmozási bevételek</t>
  </si>
  <si>
    <t>B.) Felhalmozási bevétel összesen (VII.+VIII.+IX.)</t>
  </si>
  <si>
    <t>D.) Finanszírozási bevételek</t>
  </si>
  <si>
    <t>E.) Bevétel összesen (=C.)+D.))</t>
  </si>
  <si>
    <t>C.) Bevétel főösszege (=A.)+B.))</t>
  </si>
  <si>
    <t>a.) Önkormányzat</t>
  </si>
  <si>
    <t>b.) Intézmények</t>
  </si>
  <si>
    <t xml:space="preserve">XI. Munkaadókat terhelő járulékok és szociális hozzájárulási adó                                                                            </t>
  </si>
  <si>
    <t>XII. Dologi kiadások</t>
  </si>
  <si>
    <t>XIII. Ellátottak pénzbeli juttatásai</t>
  </si>
  <si>
    <t>XIV. Egyéb működési célú kiadások</t>
  </si>
  <si>
    <t>F.) Működési kiadás összesen (=X.+…+XIV.)</t>
  </si>
  <si>
    <t>XV. Beruházások</t>
  </si>
  <si>
    <t>XVI. Felújítások</t>
  </si>
  <si>
    <t>XVII. Egyéb felhalmozási célú kiadások</t>
  </si>
  <si>
    <t>G.) Felhalmozási kiadás összesen (=XV.+XVI.+XVII.)</t>
  </si>
  <si>
    <t>H.) Kiadás főösszege (=F.)+G.))</t>
  </si>
  <si>
    <t>J.) Kiadás összesen (H.)+I.))</t>
  </si>
  <si>
    <t>Üdülői szálláshely-szolgáltatás és étkeztetés</t>
  </si>
  <si>
    <t>Önkormányzatok és önkormányzati hivatalok jogalkotó és általános igazgatási tevékenysége</t>
  </si>
  <si>
    <t>Hulladékgazdálkodási igazgatás</t>
  </si>
  <si>
    <t>Szennyvízcsatorna építése, fenntartása, üzemeltetése</t>
  </si>
  <si>
    <t>Sportlétesítmények, edzőtáborok működtetése és fejlesztése</t>
  </si>
  <si>
    <t>IV. Termékek és szolgáltatások adói</t>
  </si>
  <si>
    <t>V. Közhatalmi bevételek</t>
  </si>
  <si>
    <t>B.) Finanszírozási bevételek</t>
  </si>
  <si>
    <t>C.) Önkormányzat bevételei összesen (=A.)+B.))</t>
  </si>
  <si>
    <t>A.) Költségvetési bevételek (=II.+III.+V.+…+IX.)</t>
  </si>
  <si>
    <t>II. Működési célú támogatások államháztartáson belülről (I.+II.)</t>
  </si>
  <si>
    <t>Gyermekvédelmi pénzbeli és természetbeni ellátások</t>
  </si>
  <si>
    <t>X. Személyi juttatások</t>
  </si>
  <si>
    <t>Személyi juttatások</t>
  </si>
  <si>
    <t xml:space="preserve">II. Munkaadókat terhelő járulékok és szociális hozzájárulási adó                                                                            </t>
  </si>
  <si>
    <t>Zöldterület-kezelés</t>
  </si>
  <si>
    <t>Város-, községgazdálkodási egyéb szolgáltatások</t>
  </si>
  <si>
    <t>Egyéb szociális pénzbeli és természetbeni ellátások, támogatások</t>
  </si>
  <si>
    <t>IV. Ellátottak pénzbeli juttatásai</t>
  </si>
  <si>
    <t>V. Egyéb működési célú kiadások</t>
  </si>
  <si>
    <t>Versenysport- és utánpótlás-nevelési tevékenység és támogatása</t>
  </si>
  <si>
    <t>Civil szervezetek működési támogatása</t>
  </si>
  <si>
    <t>Civil szervezetek programtámogatása</t>
  </si>
  <si>
    <t>A.) Működési kiadás összesen (=I.+…+V.)</t>
  </si>
  <si>
    <t>VI. Beruházások</t>
  </si>
  <si>
    <t>VII. Felújítások</t>
  </si>
  <si>
    <t>VIII. Egyéb felhalmozási célú kiadások</t>
  </si>
  <si>
    <t>B.) Felhalmozási kiadás összesen (=VI.+VII.+VIII.)</t>
  </si>
  <si>
    <t>C.) Kiadási főösszeg (=A.)+B.))</t>
  </si>
  <si>
    <t>I.) Finanszírozási kiadások</t>
  </si>
  <si>
    <t>A helyi önkormányzat adósságot keletkeztető ügyleteiből származó fizetési kötelezettségei és saját bevételei arányának kimutatása</t>
  </si>
  <si>
    <t>M e g n e v e z é s</t>
  </si>
  <si>
    <t>Sor-szám</t>
  </si>
  <si>
    <t>előirányzat</t>
  </si>
  <si>
    <t>01</t>
  </si>
  <si>
    <t>02</t>
  </si>
  <si>
    <t>03</t>
  </si>
  <si>
    <t>04</t>
  </si>
  <si>
    <t>05</t>
  </si>
  <si>
    <t>06</t>
  </si>
  <si>
    <t>Saját bevételek (01+…+06)</t>
  </si>
  <si>
    <t>07</t>
  </si>
  <si>
    <t>Előző év(ek)ben keletkezett tárgyévet terhelő fizetési kötelezettség (09+10)</t>
  </si>
  <si>
    <t>08</t>
  </si>
  <si>
    <t xml:space="preserve">Hosszú lejáratú hitelek, kötvény visszafizetése </t>
  </si>
  <si>
    <t>09</t>
  </si>
  <si>
    <t>Garancia és kezességvállalásból származó fizetési kötelezettség</t>
  </si>
  <si>
    <t>10</t>
  </si>
  <si>
    <t>11</t>
  </si>
  <si>
    <t>c.) ebből Tartalékok:</t>
  </si>
  <si>
    <t>Közutak, hidak, alagutak üzemeltetése, fenntartása</t>
  </si>
  <si>
    <t>Belföldi finanszírozás kiadásai</t>
  </si>
  <si>
    <t>D.) Finanszírozási kiadások</t>
  </si>
  <si>
    <t>Hazai finanszírozás</t>
  </si>
  <si>
    <t>Működési költségvetési egyenleg (=A.)-F.))</t>
  </si>
  <si>
    <t>Felhalmozási költségvetési egyenleg (=B.)-G.))</t>
  </si>
  <si>
    <t>Saját forrás</t>
  </si>
  <si>
    <t>Beruházás összesen:</t>
  </si>
  <si>
    <t>A.) Működési bevétel összesen (=II.+IV.+V.+VI.)</t>
  </si>
  <si>
    <t xml:space="preserve">                Cegléd Város Önkormányzata</t>
  </si>
  <si>
    <t>adatok főben</t>
  </si>
  <si>
    <t>Cím</t>
  </si>
  <si>
    <t>Alcím</t>
  </si>
  <si>
    <t>Intézmény neve</t>
  </si>
  <si>
    <t>1.</t>
  </si>
  <si>
    <t>Igazgatási ágazat</t>
  </si>
  <si>
    <t>ebből csökkent munkaképességű alkalmazott</t>
  </si>
  <si>
    <t>2.</t>
  </si>
  <si>
    <t>1. cím összesen:</t>
  </si>
  <si>
    <t>Köznevelési ágazat</t>
  </si>
  <si>
    <t>3.</t>
  </si>
  <si>
    <t>4.</t>
  </si>
  <si>
    <t>2. cím összesen:</t>
  </si>
  <si>
    <t>Szociális ágazat</t>
  </si>
  <si>
    <t>Bölcsödei Védőnői Igazgatóság</t>
  </si>
  <si>
    <t>3. cím összesen:</t>
  </si>
  <si>
    <t>4. cím összesen:</t>
  </si>
  <si>
    <t>2-4. cím összesen:</t>
  </si>
  <si>
    <t>1-4 cím összesen:</t>
  </si>
  <si>
    <t>NINCS</t>
  </si>
  <si>
    <t>Mezőgazdasági támogatások</t>
  </si>
  <si>
    <t>Állam-igazgatási</t>
  </si>
  <si>
    <t>2020. év</t>
  </si>
  <si>
    <t>Önkormányzatok funkcióra nem sorolható bevételei államháztartáson kívülről</t>
  </si>
  <si>
    <t>Készletértékesítés ellenértéke</t>
  </si>
  <si>
    <t>Közvetített szolgáltatások ellenértéke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</si>
  <si>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</si>
  <si>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</si>
  <si>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</si>
  <si>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</si>
  <si>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</si>
  <si>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Egyéb pénzügyi műveletek bevételei (=44+45)</t>
  </si>
  <si>
    <t>Biztosító által fizetett kártérítés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</si>
  <si>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</si>
  <si>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</si>
  <si>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</si>
  <si>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</si>
  <si>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</si>
  <si>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</si>
  <si>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</si>
  <si>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</si>
  <si>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Működési célú támogatások államháztartáson belülről (=07+…+12)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</si>
  <si>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</si>
  <si>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</si>
  <si>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</si>
  <si>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</si>
  <si>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</si>
  <si>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</si>
  <si>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</si>
  <si>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</si>
  <si>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</si>
  <si>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</si>
  <si>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</si>
  <si>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</si>
  <si>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</si>
  <si>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</si>
  <si>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</si>
  <si>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Termékek és szolgáltatások adói (=26+…+30) </t>
  </si>
  <si>
    <t>Közhatalmi bevételek (=22+...+25+31+32)</t>
  </si>
  <si>
    <t>Működési bevételek (=34+…+40+43+46+...+48)</t>
  </si>
  <si>
    <t>Felhalmozási bevételek (=50+…+54)</t>
  </si>
  <si>
    <t>Működési célú garancia- és kezességvállalásból származó megtérülések államháztartáson kívülről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</si>
  <si>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</si>
  <si>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</si>
  <si>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</si>
  <si>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Működési célú átvett pénzeszközök (=56+…+60)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</si>
  <si>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</si>
  <si>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</si>
  <si>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átvett pénzeszközök (=62+…+66)</t>
  </si>
  <si>
    <t>Költségvetési bevételek (=13+19+33+49+55+61+67)</t>
  </si>
  <si>
    <t>Sorszám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</si>
  <si>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</si>
  <si>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</si>
  <si>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</si>
  <si>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</si>
  <si>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</si>
  <si>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</si>
  <si>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</si>
  <si>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</si>
  <si>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</si>
  <si>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</si>
  <si>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</si>
  <si>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</si>
  <si>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</si>
  <si>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</si>
  <si>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</si>
  <si>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</si>
  <si>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</si>
  <si>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</si>
  <si>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</si>
  <si>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</si>
  <si>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</si>
  <si>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</si>
  <si>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</si>
  <si>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</si>
  <si>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</si>
  <si>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</si>
  <si>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</si>
  <si>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</si>
  <si>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</si>
  <si>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</si>
  <si>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</si>
  <si>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</si>
  <si>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</si>
  <si>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</si>
  <si>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</si>
  <si>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</si>
  <si>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</si>
  <si>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</si>
  <si>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</si>
  <si>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</si>
  <si>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</si>
  <si>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</si>
  <si>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</si>
  <si>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</si>
  <si>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</si>
  <si>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</si>
  <si>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</si>
  <si>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</si>
  <si>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</si>
  <si>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</si>
  <si>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</si>
  <si>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</si>
  <si>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</si>
  <si>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</si>
  <si>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</si>
  <si>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</si>
  <si>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</si>
  <si>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</si>
  <si>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</si>
  <si>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</si>
  <si>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</si>
  <si>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</si>
  <si>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</si>
  <si>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</si>
  <si>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</si>
  <si>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</si>
  <si>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</si>
  <si>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Finanszírozási bevételek</t>
  </si>
  <si>
    <t>Önkormányzat bevételei összesen (=68+69)</t>
  </si>
  <si>
    <t>79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</si>
  <si>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</si>
  <si>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</si>
  <si>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</si>
  <si>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</si>
  <si>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</si>
  <si>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</si>
  <si>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</si>
  <si>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Intézmények költségvetési bevételei összesen (=71+…77)</t>
  </si>
  <si>
    <t>Költségvetési kiadások összesen:</t>
  </si>
  <si>
    <t>1</t>
  </si>
  <si>
    <t>Működési célú támogatások államháztartáson belülről (=02)</t>
  </si>
  <si>
    <t>Közhatalmi bevételek (=04)</t>
  </si>
  <si>
    <t>Működési bevételek (=06+…+12+15+18+19+20)</t>
  </si>
  <si>
    <t>Működési célú átvett pénzeszközök (=22)</t>
  </si>
  <si>
    <t>Működési bevétel összesen (=03+05+21+23)</t>
  </si>
  <si>
    <t>Felhalmozási célú támogatások államháztartáson belülről (=25+26)</t>
  </si>
  <si>
    <t>Felhalmozási bevételek (=28)</t>
  </si>
  <si>
    <t>Felhalmozási célú átvett pénzeszközök (=30)</t>
  </si>
  <si>
    <t>Felhalmozási bevétel összesen (=27+29+31)</t>
  </si>
  <si>
    <t>Bevétel összesen (=01+24+32)</t>
  </si>
  <si>
    <t>2</t>
  </si>
  <si>
    <t>3</t>
  </si>
  <si>
    <t>4</t>
  </si>
  <si>
    <t>5</t>
  </si>
  <si>
    <t>6</t>
  </si>
  <si>
    <t>7</t>
  </si>
  <si>
    <t>8</t>
  </si>
  <si>
    <t>9</t>
  </si>
  <si>
    <t>Kamatbevételek és más nyereségjellegű bevételek (13+14)</t>
  </si>
  <si>
    <t>Egyéb pénzügyi műveletek bevételei (16+17)</t>
  </si>
  <si>
    <t>Ellátottak pénzbeli juttatásai</t>
  </si>
  <si>
    <t>Egyéb működési célú kiadások</t>
  </si>
  <si>
    <t>adatok forintban</t>
  </si>
  <si>
    <t>adatok: forintban</t>
  </si>
  <si>
    <t>III. Egyéb működési célú visszatérítendő támogatások államháztartáson kívülre</t>
  </si>
  <si>
    <t>VP6-7.2.1-7.4.1.2-16 - külterületi utak fejlesztése</t>
  </si>
  <si>
    <t>VEKOP-1.2.2-15-2016-00005 - Ipari területek bővítése az Északi Ipari-Kereskedelmi Övezetben Cegléden</t>
  </si>
  <si>
    <t>VEKOP-5.3.2-15-2016-00026 - Cegléd északi-ipari kereskedelmi övezetének becsatolása a városi kerékpárhálózatba</t>
  </si>
  <si>
    <t>A Stabilitási törvény 10. § (5) pontja szerinti megfelelési mutató (08/07)*100</t>
  </si>
  <si>
    <t>Ceglédi Városi Könyvtár</t>
  </si>
  <si>
    <t>Egyéb felhalmozási célú kiadások államháztartáson kívülre</t>
  </si>
  <si>
    <t>Egyéb felhalmozási célú kiadások összesen</t>
  </si>
  <si>
    <t>Bölcsődei és Védőnői Igazgatóság</t>
  </si>
  <si>
    <t>2021. év</t>
  </si>
  <si>
    <t>Kulturális ágazat</t>
  </si>
  <si>
    <t>Területfejlesztés igazgatása</t>
  </si>
  <si>
    <t xml:space="preserve">"Települési környezetvédelmi infrastuktúra-fejlesztések Cegléden" - PM_CSAPVIZGAZD_2017 </t>
  </si>
  <si>
    <t>a helyi adóból és a települési adóból származó bevétel</t>
  </si>
  <si>
    <t>az önkormányzati vagyon és az önkormányzatot megillető vagyoni értékű jog értékesítéséből és hasznosításából származó bevétel</t>
  </si>
  <si>
    <t>az 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</si>
  <si>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</si>
  <si>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</si>
  <si>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a kezesség-, illetve garanciavállalással kapcsolatos megtérülés</t>
  </si>
  <si>
    <t>Előirányzat</t>
  </si>
  <si>
    <t>Előirányzat-felhasználnálási ütemterv</t>
  </si>
  <si>
    <t>Eredeti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</si>
  <si>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</si>
  <si>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</si>
  <si>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</si>
  <si>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</si>
  <si>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</si>
  <si>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</si>
  <si>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</si>
  <si>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</si>
  <si>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</si>
  <si>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</si>
  <si>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</si>
  <si>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</si>
  <si>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Önkormányzatok működési támogatásai</t>
  </si>
  <si>
    <t xml:space="preserve">Termékek és szolgáltatások adói </t>
  </si>
  <si>
    <t xml:space="preserve">Felhalmozási célú átvett pénzeszközök </t>
  </si>
  <si>
    <t>Finanszírozási műveletek</t>
  </si>
  <si>
    <t>A támogatás jogcíme</t>
  </si>
  <si>
    <t>Adóelengedés</t>
  </si>
  <si>
    <t>Adókedvezmény</t>
  </si>
  <si>
    <t>Egyéb</t>
  </si>
  <si>
    <t xml:space="preserve">Összesen  </t>
  </si>
  <si>
    <t>jogcím</t>
  </si>
  <si>
    <t>mérték</t>
  </si>
  <si>
    <t>összeg</t>
  </si>
  <si>
    <t>magánszemélyek kommunális adója</t>
  </si>
  <si>
    <t>méltányosság</t>
  </si>
  <si>
    <t>egyedi</t>
  </si>
  <si>
    <t>építményadó</t>
  </si>
  <si>
    <t>gépjárműadó</t>
  </si>
  <si>
    <t>az ellátottak térítési díjának, kártérítésének méltányossági alapon történő elengedése</t>
  </si>
  <si>
    <t>a lakosság részére lakásépítéshez, lakásfelújításhoz nyújtott kölcsönök elengedése</t>
  </si>
  <si>
    <t>a helyiségek, eszközök hasznosításából származó bevételből nyújtott kedvezmény, mentesség összege</t>
  </si>
  <si>
    <t>egyéb nyújtott kedvezmény vagy kölcsön elengedése</t>
  </si>
  <si>
    <t>EU forrás és Hazai finanszírozás</t>
  </si>
  <si>
    <t>Egyéb működési célú kiadások (=I.+II.+III.)</t>
  </si>
  <si>
    <t>2022. év</t>
  </si>
  <si>
    <t>E.) Kiadás összesen (=C.)+D.))</t>
  </si>
  <si>
    <t>Mindösszesen: (=70+78)</t>
  </si>
  <si>
    <t>ebből: Tartalékok</t>
  </si>
  <si>
    <t>csapadékvíz-elvezetés</t>
  </si>
  <si>
    <t>Cegléd Város Roma Nemzetiségi Önkormányzata</t>
  </si>
  <si>
    <t>Intézményi NEAK támogatás (BÖVI)</t>
  </si>
  <si>
    <t>"Ceglédiek a Ceglédiekért" Közalapítvány - működési támogatás</t>
  </si>
  <si>
    <t>Környezetvédelmi alap</t>
  </si>
  <si>
    <t>városi tanulmányi ösztöndíj</t>
  </si>
  <si>
    <t>Bizottsági keret - GB</t>
  </si>
  <si>
    <t>Bizottsági keret - JÜP</t>
  </si>
  <si>
    <t>Civil szervezetek támogatása</t>
  </si>
  <si>
    <t>Falugondnoki egyesület támogatása</t>
  </si>
  <si>
    <t>polgárőr egyesületek támogatása</t>
  </si>
  <si>
    <t xml:space="preserve">XIII. felnőtt háziorvosi körzet helyettesítési díj </t>
  </si>
  <si>
    <t>IRMÁK - fogyatékos személyek nappali ellátásához kapcsolódó támogatás</t>
  </si>
  <si>
    <t xml:space="preserve">NEAK iskolaorvosi ellátás - (Losontzi EGYMI) </t>
  </si>
  <si>
    <t>Általános tartalék</t>
  </si>
  <si>
    <t>háziorvosok nyugdíjazása esetén tartalék önkormányzati működtetésre</t>
  </si>
  <si>
    <t>Pályázati keret</t>
  </si>
  <si>
    <t>Tervezési keret</t>
  </si>
  <si>
    <t>vis maior (belvíz) pályázathoz önerő</t>
  </si>
  <si>
    <t>egyéb beruházási, felújítási önerő keret</t>
  </si>
  <si>
    <t>PM_KEREKPARUT_2018 - "Kerékpár utak létesítése Cegléden" - Külső Kátai út; Pesti út - 255/2018. (IX. 20.) Ök.hat.</t>
  </si>
  <si>
    <t>VEKOP-1.2.2-15-2016-00005-Ipari területek bővítése az Északi</t>
  </si>
  <si>
    <t>VEKOP-5.3.2-15-2016-00026-C é-ip becsat.a városi kerékpárhál</t>
  </si>
  <si>
    <t xml:space="preserve">PM_CSAPVÍZGAZD_2018 </t>
  </si>
  <si>
    <t>Helyi piacok fejlesztése Pest megye területén PM_PIAC_2018 (C., berlterület 275/6 hrsz)</t>
  </si>
  <si>
    <t>PM_ONKORMUT_2018</t>
  </si>
  <si>
    <t>Szennyvízcsatorna elkülönített fejlesztési alapok</t>
  </si>
  <si>
    <t>VÁRVAG Nonprofit Közhasznú Kft. - önk.bérlakások felújítási költsége</t>
  </si>
  <si>
    <t>VÁRVAG Nonprofit Közhasznú Kft. - önk.épületek és közterületek felújítási költsége</t>
  </si>
  <si>
    <t>2017/2 hrsz sportcsarnok és 2241 hrsz közterület Ceglédi Gál József Sportcsarnok bővítése és felújítása TAO - Ceglédi Kék Cápák Sport Egyesület - (berendezések, felszerelések) - 116/2018. (IV. 19.) Ök.hat.</t>
  </si>
  <si>
    <t>Hosszabb időtartamú közfoglalkoztatás</t>
  </si>
  <si>
    <t>Támogatási célú finanszírozási műveletek</t>
  </si>
  <si>
    <t>Gál József Sportcsarnok felújítása érdekében támogatás (1818/2016. (XII. 22.) Korm. határozat )</t>
  </si>
  <si>
    <t>2020. évi összesített költségvetési mérlege</t>
  </si>
  <si>
    <r>
      <t>2018. év (tény) teljesítés</t>
    </r>
    <r>
      <rPr>
        <sz val="12"/>
        <rFont val="Times New Roman"/>
        <family val="1"/>
      </rPr>
      <t xml:space="preserve"> </t>
    </r>
  </si>
  <si>
    <r>
      <t>2019. év várható teljesítés</t>
    </r>
    <r>
      <rPr>
        <sz val="12"/>
        <rFont val="Times New Roman"/>
        <family val="1"/>
      </rPr>
      <t xml:space="preserve"> </t>
    </r>
  </si>
  <si>
    <t>2020. évi Eredeti előirányzat</t>
  </si>
  <si>
    <t>2020. évi költségvetési mérlege</t>
  </si>
  <si>
    <t>2020. évi bevételei forrásonként</t>
  </si>
  <si>
    <t>2020. évi bevételei kormányzati funkciónként</t>
  </si>
  <si>
    <t>2020. évi kiadásai kormányzati funkciónként</t>
  </si>
  <si>
    <t>2020. évi bevételei</t>
  </si>
  <si>
    <t>2020. évi kiadásai</t>
  </si>
  <si>
    <t xml:space="preserve">2020. évi tartalékai </t>
  </si>
  <si>
    <t>2020. évi  összesített beruházási kiadásai</t>
  </si>
  <si>
    <t>2020. évi  összesített felújítási kiadásai</t>
  </si>
  <si>
    <t>2020. évi összesített egyéb felhalmozási célú kiadásai</t>
  </si>
  <si>
    <t xml:space="preserve">2020. évi egyéb működési célú támogatásai </t>
  </si>
  <si>
    <t>2023. év</t>
  </si>
  <si>
    <t xml:space="preserve">           2020. évi létszámadatainak címrendje</t>
  </si>
  <si>
    <t>összesített 2020. évi költségvetési előirányzat-felhasználási ütemterve</t>
  </si>
  <si>
    <t>2020. évi közvetett támogatásai</t>
  </si>
  <si>
    <t>2019. évi teljesítés</t>
  </si>
  <si>
    <t>2020. évi várható</t>
  </si>
  <si>
    <t>bérleti díj emelés kedvezménye</t>
  </si>
  <si>
    <t xml:space="preserve">Ceglédi Sportcsarnok Kft. </t>
  </si>
  <si>
    <t>Bizottsági keret - HB</t>
  </si>
  <si>
    <t>Dobgála támogatása</t>
  </si>
  <si>
    <t>Sportcélú támogatások- Birkózók</t>
  </si>
  <si>
    <t>Sportcélú támogatások - Judo</t>
  </si>
  <si>
    <t>Sportcélú támogatások - Skate pálya</t>
  </si>
  <si>
    <t>Sportcélú támogatások - bizottsági keret</t>
  </si>
  <si>
    <t>Ceglédi Termálfürdő Üzemeltető Kft. - személyi jellegű kifizetések támogatása</t>
  </si>
  <si>
    <t>Ceglédi Városfejlesztési Kft. - személyi jellegű kiadások támogatása</t>
  </si>
  <si>
    <t>Ceglédi TV Közhasznú Nonprofit Kft. - személyi jellegű kiadások támogatása</t>
  </si>
  <si>
    <t xml:space="preserve">Kossuth Művelődési Központ Nonprofit Kulturális Kft. - személyi jellegű kiadások támogatás </t>
  </si>
  <si>
    <t xml:space="preserve">VÁRVAG Nonprofit Közhasznú Kft. - működési támogatás </t>
  </si>
  <si>
    <t>Egyéb működési célú visszatérítendő támogatások államháztartáson kívülre</t>
  </si>
  <si>
    <t>Egyházi támogatási alap</t>
  </si>
  <si>
    <t>Alapellátó szolgáltatók, orvosok támogatása</t>
  </si>
  <si>
    <t>Ceglédi reform., Sz. Márta- Településképi követelmények alkalmazása - 2019. évi nyertes átütemezése 2020-ra</t>
  </si>
  <si>
    <t>Toldy Ferenc kórház támogatása (felhalmozási célra)</t>
  </si>
  <si>
    <t>BMÖFT/7-1/2018 Kossuth F. utca</t>
  </si>
  <si>
    <t>Esőcsatorna csere, vakolathelyreállítás, festés</t>
  </si>
  <si>
    <t>Központi irattár penészmentesítés</t>
  </si>
  <si>
    <t>II. emeleti ablakcsere, folyosó, iroda (ebből:9KÖH, 8 járás)</t>
  </si>
  <si>
    <t>PM PIAC felújítása</t>
  </si>
  <si>
    <t>Családmentori szolgálat</t>
  </si>
  <si>
    <t>1980/2013.(XII.29.) Korm. labd.fejl.-1823/2016.(XII.22.)Korm. - pótmunka</t>
  </si>
  <si>
    <t>Temető bővítése</t>
  </si>
  <si>
    <t>PM_CSAPVIZGAZD_2018</t>
  </si>
  <si>
    <t>2db defibrillátor aksi telep, 1-szer használatos elektródapár</t>
  </si>
  <si>
    <t>Központi vízlágyító berendezés</t>
  </si>
  <si>
    <t>Trianoni emlékmű</t>
  </si>
  <si>
    <t>Trianon országzászló</t>
  </si>
  <si>
    <t>27db PC beszerzése</t>
  </si>
  <si>
    <t>Egyéb beszerzés</t>
  </si>
  <si>
    <t xml:space="preserve"> </t>
  </si>
  <si>
    <t>Kossuth Múzeum műtárgyak beszerzése</t>
  </si>
  <si>
    <t>Ceglédi Városi Könyvtár - porszívó, madárháló, könyvek, dvd</t>
  </si>
  <si>
    <t>Bölcsődei és Védőnői Igazgatóság -ipari szárítógép</t>
  </si>
  <si>
    <t>Lövész Utcai Óvoda - egyéb eszközök beszerzése</t>
  </si>
  <si>
    <t>Pesti Úti Óvoda - mosogatógép</t>
  </si>
  <si>
    <t>Széchenyi Úti Óvoda - egyéb eszközök beszerzése</t>
  </si>
  <si>
    <t>ingatlan vásárlások/visszavásárlások, ingatlan felújítások (GULAG GUPVI emlékhely 3MFt, Ölyv utca 1,5MFt, Nagykőrös-Cegléd kp. Út 1,5MFt, Szennyvíztelep bővítés)</t>
  </si>
  <si>
    <t>Trianoni emlékév keret</t>
  </si>
  <si>
    <t xml:space="preserve">Tartalékok összesen: </t>
  </si>
  <si>
    <t>Sebességmérő berendezés Kossuth F. utca</t>
  </si>
  <si>
    <t>Alkonykapcsoló közvilágítás</t>
  </si>
  <si>
    <t>Beruházások - útalapok készítése, lezárása</t>
  </si>
  <si>
    <t xml:space="preserve">Közvilágítás bővítése </t>
  </si>
  <si>
    <t>Térfigyelő kamerarendszer bővítése</t>
  </si>
  <si>
    <t>Irodai bútorzat 211-es szoba+jegyzői titkárság, 2500eFt, futószőnyeg 1000eFt, CO mérők 300eFt, egyéb kisértékű tárgyi eszközök beszerzése 2.100eFt, informatikai beruházások 1.765eFt, automata oltóberendezés szervezhez 2.500eFt.</t>
  </si>
  <si>
    <t>CTKT - önkormányzati támogatás (36.867 Fő x 10 Ft/lakos)</t>
  </si>
  <si>
    <t xml:space="preserve">Iskolaorvosi ellátás </t>
  </si>
  <si>
    <t>Magyar Máltai Szeretetszolgálat Egyesület-Tanyagondnoki szolgálat</t>
  </si>
  <si>
    <t>műszaki ellenőri keretszerződés</t>
  </si>
  <si>
    <t>Pesti út 23. fűtésjavítás, helyreállítás, kőműves munka</t>
  </si>
  <si>
    <t>Pesti út 65. riasztórendszer kialakítása, zuhanyzó kialakítása, kőműves burkoló munka</t>
  </si>
  <si>
    <t>Településképi követelmények alkalmazásának támogatása</t>
  </si>
  <si>
    <t>Beruházások (szennyvízcsatorna elkülönített alap)</t>
  </si>
  <si>
    <t>CTKT - önkormányzati támogatás állami+bepótlás (71.854.015 Ft)</t>
  </si>
  <si>
    <t>Rendőrség</t>
  </si>
  <si>
    <t>Katasztrófavédelem</t>
  </si>
  <si>
    <t>Művelődési Ház I. ütem Mosdó, jegypénztár, galéria előtér átalakítása</t>
  </si>
  <si>
    <t>Közterületfelügyelők 1db</t>
  </si>
  <si>
    <t>Céltartalékok</t>
  </si>
  <si>
    <t>ROMA Önkormányzat támogatása</t>
  </si>
  <si>
    <t>Ceglédi Termálfüdő fűtéskorszerűsítés</t>
  </si>
  <si>
    <t>CTV vetítőgép cseréje</t>
  </si>
  <si>
    <t>Szabadság tér 2. kapu</t>
  </si>
  <si>
    <t>Aszaló utca vízvezeték</t>
  </si>
  <si>
    <t>Köznevelési intézmények nem saját vagyonkezelésben lévő tornaterem használatának támogatása</t>
  </si>
  <si>
    <t>Nyári ifjúsági fesztivál</t>
  </si>
  <si>
    <t>Gyümölcskutató Intézet</t>
  </si>
  <si>
    <t>Önvédelmi továbbképzés mezőőröknek, közterület felügyelőknek</t>
  </si>
  <si>
    <t>Gyalogátkelőhelyek kivitelezése pl. Mizsei út</t>
  </si>
  <si>
    <t>Buszmegállók kivitelezése</t>
  </si>
  <si>
    <t>Temetőknél parkolás és csapadékvíz elvezetés</t>
  </si>
  <si>
    <t>Egyéb csapadékvíz elvezetés Páva u., József A. u., stb.</t>
  </si>
  <si>
    <t>Geodézia</t>
  </si>
  <si>
    <t>Vízjogi engedélyes tervek, tervezési költségek</t>
  </si>
  <si>
    <t>DPMG 9497/1 hrsz bérlet, ill. vásárlás</t>
  </si>
  <si>
    <t>Téglagyári u. rendezése</t>
  </si>
  <si>
    <t>GULÁG GUPVI történelmi emlékmű</t>
  </si>
  <si>
    <t>Balatonszárszó HÉSZ</t>
  </si>
  <si>
    <t>Kárpáti A. u. 9.-Kossth F. u. 17. javítás, karbantartás, ablaknyitás gépkocsi vezetők pihenőjén</t>
  </si>
  <si>
    <t>ECDL képzés</t>
  </si>
  <si>
    <t>Kárpáti A. u. 9 ablaknyitás, pólyázó, nedvesedés stb.</t>
  </si>
  <si>
    <t>Pesti Úti Óvoda 4 db klíma</t>
  </si>
  <si>
    <t>Honvédelem, polgárvédelem, katasztrófavédelem magánszemélyeknek</t>
  </si>
  <si>
    <t>Mozitető felújítása</t>
  </si>
  <si>
    <t>Intézményi felújítási keret (25M Ft-on felül) Könyvtár vízelvezetés, múzeumi felújítások stb. )</t>
  </si>
  <si>
    <t>Ceglédi Termálfürdő mosdó felújítás</t>
  </si>
  <si>
    <t>1. melléklet a 4/2020. (II. 20.) önkormányzati rendelethez</t>
  </si>
  <si>
    <t>2. melléklet a 4/2020. (II. 20.) önkormányzati rendelethez</t>
  </si>
  <si>
    <t>3. melléklet a 4/2020. (II. 20.) önkormányzati rendelethez</t>
  </si>
  <si>
    <t>4. melléklet a 4/2020. (II. 20.) önkormányzati rendelethez</t>
  </si>
  <si>
    <t>5. melléklet a 4/2020. (II. 20.) önkormányzati rendelethez</t>
  </si>
  <si>
    <t>6. melléklet a 4/2020. (II. 20.) önkormányzati rendelethez</t>
  </si>
  <si>
    <t>7. melléklet a 4/2020. (II. 20.) önkormányzati rendelethez</t>
  </si>
  <si>
    <t>8. melléklet a 4/2020. (II. 20.) önkormányzati rendelethez</t>
  </si>
  <si>
    <t>9. melléklet a 4/2020. (II. 20.) önkormányzati rendelethez</t>
  </si>
  <si>
    <t>10. melléklet a 4/2020. (II. 20.) önkormányzati rendelethez</t>
  </si>
  <si>
    <t>11. melléklet a 4/2020. (II. 20.) önkormányzati rendelethez</t>
  </si>
  <si>
    <t>12. mellékleta 4/2020. (II. 20.) önkormányzati rendelethez</t>
  </si>
  <si>
    <t>13. melléklet a 4/2020. (II. 20.) önkormányzati rendelethez</t>
  </si>
  <si>
    <t>14. melléklet a 4/2020. (II. 20.) önkormányzati rendelethez</t>
  </si>
  <si>
    <t>15. melléklet a 4/2020. (II. 20.) önkormányzati rendelethez</t>
  </si>
  <si>
    <t>16. melléklet a 4/2020. (II. 20.) önkormányzati rendelethez</t>
  </si>
  <si>
    <t>17. melléklet a 4/2020. (II. 20.) önkormányzati rendelethez</t>
  </si>
  <si>
    <t>18. melléklet a 4/2020. (II. 20.) önkormányzati rendelethez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</si>
</sst>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#,##0.0"/>
    <numFmt numFmtId="168" formatCode="0.0%"/>
    <numFmt numFmtId="169" formatCode="#,##0\ &quot;Ft&quot;"/>
    <numFmt numFmtId="170" formatCode="#,##0\ &quot;Ft&quot;;[Red]#,##0\ &quot;Ft&quot;"/>
    <numFmt numFmtId="171" formatCode="#,##0.00\ &quot;Ft&quot;;[Red]#,##0.00\ &quot;Ft&quot;"/>
    <numFmt numFmtId="172" formatCode="0.000"/>
    <numFmt numFmtId="173" formatCode="0.0000"/>
    <numFmt numFmtId="174" formatCode="mmm/yyyy"/>
    <numFmt numFmtId="175" formatCode="0.0"/>
    <numFmt numFmtId="176" formatCode="#&quot; &quot;?/2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0\ [$Ft-40E];[Red]#,##0.00\ [$Ft-40E]"/>
    <numFmt numFmtId="186" formatCode="#,##0.00\ &quot;Ft&quot;"/>
    <numFmt numFmtId="187" formatCode="[$-40E]yyyy\.\ mmmm\ d\."/>
    <numFmt numFmtId="188" formatCode="#,##0\ _F_t"/>
    <numFmt numFmtId="189" formatCode="[$-F400]h:mm:ss\ AM/PM"/>
    <numFmt numFmtId="190" formatCode="#,##0&quot;Ft&quot;;\-#,##0&quot;Ft&quot;"/>
    <numFmt numFmtId="191" formatCode="#,##0&quot;Ft&quot;;[Red]\-#,##0&quot;Ft&quot;"/>
    <numFmt numFmtId="192" formatCode="#,##0.00&quot;Ft&quot;;\-#,##0.00&quot;Ft&quot;"/>
    <numFmt numFmtId="193" formatCode="#,##0.00&quot;Ft&quot;;[Red]\-#,##0.00&quot;Ft&quot;"/>
    <numFmt numFmtId="194" formatCode="_-* #,##0&quot;Ft&quot;_-;\-* #,##0&quot;Ft&quot;_-;_-* &quot;-&quot;&quot;Ft&quot;_-;_-@_-"/>
    <numFmt numFmtId="195" formatCode="_-* #,##0_F_t_-;\-* #,##0_F_t_-;_-* &quot;-&quot;_F_t_-;_-@_-"/>
    <numFmt numFmtId="196" formatCode="_-* #,##0.00&quot;Ft&quot;_-;\-* #,##0.00&quot;Ft&quot;_-;_-* &quot;-&quot;??&quot;Ft&quot;_-;_-@_-"/>
    <numFmt numFmtId="197" formatCode="_-* #,##0.00_F_t_-;\-* #,##0.00_F_t_-;_-* &quot;-&quot;??_F_t_-;_-@_-"/>
    <numFmt numFmtId="198" formatCode="#,##0&quot; Ft&quot;;\-#,##0&quot; Ft&quot;"/>
    <numFmt numFmtId="199" formatCode="#,##0&quot; Ft&quot;;[Red]\-#,##0&quot; Ft&quot;"/>
    <numFmt numFmtId="200" formatCode="#,##0.00&quot; Ft&quot;;\-#,##0.00&quot; Ft&quot;"/>
    <numFmt numFmtId="201" formatCode="#,##0.00&quot; Ft&quot;;[Red]\-#,##0.00&quot; Ft&quot;"/>
    <numFmt numFmtId="202" formatCode="0__"/>
    <numFmt numFmtId="203" formatCode="&quot;Igen&quot;;&quot;Igen&quot;;&quot;Nem&quot;"/>
    <numFmt numFmtId="204" formatCode="&quot;Igaz&quot;;&quot;Igaz&quot;;&quot;Hamis&quot;"/>
    <numFmt numFmtId="205" formatCode="&quot;Be&quot;;&quot;Be&quot;;&quot;Ki&quot;"/>
    <numFmt numFmtId="206" formatCode="[$€-2]\ #\ ##,000_);[Red]\([$€-2]\ #\ ##,000\)"/>
    <numFmt numFmtId="207" formatCode="00"/>
    <numFmt numFmtId="208" formatCode="\ ##########"/>
    <numFmt numFmtId="209" formatCode="[$¥€-2]\ #\ ##,000_);[Red]\([$€-2]\ #\ ##,000\)"/>
    <numFmt numFmtId="210" formatCode="_-* #,##0.0\ _F_t_-;\-* #,##0.0\ _F_t_-;_-* &quot;-&quot;??\ _F_t_-;_-@_-"/>
    <numFmt numFmtId="211" formatCode="_-* #,##0\ _F_t_-;\-* #,##0\ _F_t_-;_-* &quot;-&quot;??\ _F_t_-;_-@_-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2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color rgb="FFFF0000"/>
      <name val="Times New Roman"/>
      <family val="1"/>
    </font>
    <font>
      <b/>
      <sz val="11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horizontal="right"/>
      <protection/>
    </xf>
    <xf numFmtId="3" fontId="7" fillId="32" borderId="12" xfId="68" applyNumberFormat="1" applyFont="1" applyFill="1" applyBorder="1" applyAlignment="1">
      <alignment wrapText="1"/>
      <protection/>
    </xf>
    <xf numFmtId="3" fontId="7" fillId="32" borderId="10" xfId="0" applyNumberFormat="1" applyFont="1" applyFill="1" applyBorder="1" applyAlignment="1">
      <alignment horizontal="right"/>
    </xf>
    <xf numFmtId="0" fontId="7" fillId="0" borderId="0" xfId="68" applyFont="1" applyAlignment="1">
      <alignment horizontal="center"/>
      <protection/>
    </xf>
    <xf numFmtId="0" fontId="6" fillId="32" borderId="13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6" fillId="0" borderId="0" xfId="68" applyFont="1">
      <alignment/>
      <protection/>
    </xf>
    <xf numFmtId="0" fontId="6" fillId="0" borderId="0" xfId="68" applyFont="1" applyAlignment="1">
      <alignment horizontal="center"/>
      <protection/>
    </xf>
    <xf numFmtId="3" fontId="6" fillId="0" borderId="0" xfId="68" applyNumberFormat="1" applyFont="1">
      <alignment/>
      <protection/>
    </xf>
    <xf numFmtId="3" fontId="6" fillId="0" borderId="0" xfId="68" applyNumberFormat="1" applyFont="1" applyAlignment="1">
      <alignment horizontal="right"/>
      <protection/>
    </xf>
    <xf numFmtId="3" fontId="7" fillId="0" borderId="10" xfId="68" applyNumberFormat="1" applyFont="1" applyBorder="1" applyAlignment="1">
      <alignment wrapText="1"/>
      <protection/>
    </xf>
    <xf numFmtId="0" fontId="6" fillId="0" borderId="0" xfId="68" applyFont="1" applyAlignment="1">
      <alignment wrapText="1"/>
      <protection/>
    </xf>
    <xf numFmtId="0" fontId="7" fillId="0" borderId="10" xfId="68" applyFont="1" applyBorder="1" applyAlignment="1">
      <alignment wrapText="1"/>
      <protection/>
    </xf>
    <xf numFmtId="0" fontId="6" fillId="0" borderId="10" xfId="68" applyFont="1" applyBorder="1" applyAlignment="1">
      <alignment wrapText="1"/>
      <protection/>
    </xf>
    <xf numFmtId="0" fontId="7" fillId="0" borderId="0" xfId="68" applyFont="1">
      <alignment/>
      <protection/>
    </xf>
    <xf numFmtId="3" fontId="7" fillId="0" borderId="0" xfId="68" applyNumberFormat="1" applyFont="1">
      <alignment/>
      <protection/>
    </xf>
    <xf numFmtId="3" fontId="7" fillId="0" borderId="10" xfId="65" applyNumberFormat="1" applyFont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wrapText="1"/>
    </xf>
    <xf numFmtId="0" fontId="7" fillId="0" borderId="0" xfId="68" applyFont="1" applyAlignment="1">
      <alignment horizontal="center" vertical="center" wrapText="1"/>
      <protection/>
    </xf>
    <xf numFmtId="3" fontId="6" fillId="0" borderId="10" xfId="68" applyNumberFormat="1" applyFont="1" applyBorder="1" applyAlignment="1">
      <alignment wrapText="1"/>
      <protection/>
    </xf>
    <xf numFmtId="3" fontId="7" fillId="0" borderId="10" xfId="0" applyNumberFormat="1" applyFont="1" applyBorder="1" applyAlignment="1">
      <alignment wrapText="1"/>
    </xf>
    <xf numFmtId="0" fontId="7" fillId="0" borderId="0" xfId="68" applyFont="1" applyAlignment="1">
      <alignment wrapText="1"/>
      <protection/>
    </xf>
    <xf numFmtId="3" fontId="7" fillId="0" borderId="14" xfId="68" applyNumberFormat="1" applyFont="1" applyBorder="1" applyAlignment="1">
      <alignment wrapText="1"/>
      <protection/>
    </xf>
    <xf numFmtId="0" fontId="7" fillId="32" borderId="13" xfId="0" applyFont="1" applyFill="1" applyBorder="1" applyAlignment="1">
      <alignment wrapText="1"/>
    </xf>
    <xf numFmtId="3" fontId="7" fillId="0" borderId="10" xfId="0" applyNumberFormat="1" applyFont="1" applyBorder="1" applyAlignment="1">
      <alignment horizontal="right"/>
    </xf>
    <xf numFmtId="3" fontId="6" fillId="0" borderId="10" xfId="67" applyNumberFormat="1" applyFont="1" applyBorder="1">
      <alignment/>
      <protection/>
    </xf>
    <xf numFmtId="3" fontId="7" fillId="0" borderId="10" xfId="68" applyNumberFormat="1" applyFont="1" applyBorder="1" applyAlignment="1">
      <alignment horizontal="right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wrapText="1"/>
    </xf>
    <xf numFmtId="3" fontId="6" fillId="32" borderId="12" xfId="68" applyNumberFormat="1" applyFont="1" applyFill="1" applyBorder="1" applyAlignment="1">
      <alignment wrapText="1"/>
      <protection/>
    </xf>
    <xf numFmtId="3" fontId="7" fillId="0" borderId="12" xfId="68" applyNumberFormat="1" applyFont="1" applyBorder="1" applyAlignment="1">
      <alignment wrapText="1"/>
      <protection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67" applyFont="1" applyAlignment="1">
      <alignment horizontal="center" wrapText="1"/>
      <protection/>
    </xf>
    <xf numFmtId="0" fontId="7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67" applyFont="1" applyAlignment="1">
      <alignment horizontal="center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67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7" fillId="0" borderId="0" xfId="0" applyFont="1" applyAlignment="1">
      <alignment horizontal="center" wrapText="1"/>
    </xf>
    <xf numFmtId="3" fontId="7" fillId="0" borderId="10" xfId="0" applyNumberFormat="1" applyFont="1" applyBorder="1" applyAlignment="1">
      <alignment horizontal="left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67" applyFont="1" applyAlignment="1">
      <alignment wrapText="1"/>
      <protection/>
    </xf>
    <xf numFmtId="3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left" wrapText="1"/>
    </xf>
    <xf numFmtId="0" fontId="9" fillId="0" borderId="0" xfId="70" applyFont="1">
      <alignment/>
      <protection/>
    </xf>
    <xf numFmtId="0" fontId="6" fillId="0" borderId="0" xfId="66" applyFont="1">
      <alignment/>
      <protection/>
    </xf>
    <xf numFmtId="0" fontId="7" fillId="0" borderId="0" xfId="66" applyFont="1" applyAlignment="1">
      <alignment horizontal="center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7" fillId="0" borderId="10" xfId="66" applyFont="1" applyBorder="1">
      <alignment/>
      <protection/>
    </xf>
    <xf numFmtId="3" fontId="7" fillId="0" borderId="10" xfId="66" applyNumberFormat="1" applyFont="1" applyBorder="1">
      <alignment/>
      <protection/>
    </xf>
    <xf numFmtId="0" fontId="6" fillId="0" borderId="0" xfId="70" applyFont="1">
      <alignment/>
      <protection/>
    </xf>
    <xf numFmtId="0" fontId="6" fillId="0" borderId="0" xfId="70" applyFont="1" applyAlignment="1">
      <alignment horizontal="right"/>
      <protection/>
    </xf>
    <xf numFmtId="0" fontId="7" fillId="0" borderId="0" xfId="70" applyFont="1" applyAlignment="1">
      <alignment horizontal="center" wrapText="1"/>
      <protection/>
    </xf>
    <xf numFmtId="0" fontId="7" fillId="0" borderId="0" xfId="70" applyFont="1">
      <alignment/>
      <protection/>
    </xf>
    <xf numFmtId="3" fontId="6" fillId="32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 vertical="center" wrapText="1"/>
    </xf>
    <xf numFmtId="0" fontId="7" fillId="32" borderId="13" xfId="0" applyFont="1" applyFill="1" applyBorder="1" applyAlignment="1">
      <alignment horizontal="left" wrapText="1"/>
    </xf>
    <xf numFmtId="3" fontId="6" fillId="0" borderId="10" xfId="68" applyNumberFormat="1" applyFont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13" xfId="0" applyFont="1" applyBorder="1" applyAlignment="1" quotePrefix="1">
      <alignment horizontal="centerContinuous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 quotePrefix="1">
      <alignment horizontal="centerContinuous" vertical="center"/>
    </xf>
    <xf numFmtId="0" fontId="15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 quotePrefix="1">
      <alignment horizontal="center" vertical="center"/>
    </xf>
    <xf numFmtId="202" fontId="14" fillId="0" borderId="0" xfId="0" applyNumberFormat="1" applyFont="1" applyAlignment="1">
      <alignment/>
    </xf>
    <xf numFmtId="0" fontId="7" fillId="0" borderId="10" xfId="68" applyFont="1" applyBorder="1" applyAlignment="1">
      <alignment horizontal="center" vertical="center" wrapText="1"/>
      <protection/>
    </xf>
    <xf numFmtId="3" fontId="7" fillId="32" borderId="10" xfId="68" applyNumberFormat="1" applyFont="1" applyFill="1" applyBorder="1" applyAlignment="1">
      <alignment wrapText="1"/>
      <protection/>
    </xf>
    <xf numFmtId="0" fontId="12" fillId="0" borderId="10" xfId="0" applyFont="1" applyBorder="1" applyAlignment="1">
      <alignment wrapText="1"/>
    </xf>
    <xf numFmtId="0" fontId="7" fillId="0" borderId="17" xfId="68" applyFont="1" applyBorder="1" applyAlignment="1">
      <alignment wrapText="1"/>
      <protection/>
    </xf>
    <xf numFmtId="3" fontId="7" fillId="0" borderId="17" xfId="68" applyNumberFormat="1" applyFont="1" applyBorder="1" applyAlignment="1">
      <alignment wrapText="1"/>
      <protection/>
    </xf>
    <xf numFmtId="3" fontId="7" fillId="0" borderId="18" xfId="68" applyNumberFormat="1" applyFont="1" applyBorder="1" applyAlignment="1">
      <alignment wrapText="1"/>
      <protection/>
    </xf>
    <xf numFmtId="3" fontId="6" fillId="0" borderId="10" xfId="66" applyNumberFormat="1" applyFont="1" applyBorder="1" applyAlignment="1">
      <alignment horizontal="right"/>
      <protection/>
    </xf>
    <xf numFmtId="0" fontId="7" fillId="0" borderId="13" xfId="68" applyFont="1" applyBorder="1" applyAlignment="1">
      <alignment wrapText="1"/>
      <protection/>
    </xf>
    <xf numFmtId="3" fontId="7" fillId="0" borderId="12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 horizontal="right" wrapText="1"/>
    </xf>
    <xf numFmtId="3" fontId="7" fillId="0" borderId="13" xfId="68" applyNumberFormat="1" applyFont="1" applyBorder="1" applyAlignment="1">
      <alignment wrapText="1"/>
      <protection/>
    </xf>
    <xf numFmtId="3" fontId="7" fillId="0" borderId="18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3" fontId="7" fillId="0" borderId="11" xfId="65" applyNumberFormat="1" applyFont="1" applyBorder="1" applyAlignment="1">
      <alignment horizontal="right" wrapText="1"/>
      <protection/>
    </xf>
    <xf numFmtId="0" fontId="6" fillId="0" borderId="0" xfId="72" applyFont="1">
      <alignment/>
      <protection/>
    </xf>
    <xf numFmtId="3" fontId="6" fillId="0" borderId="0" xfId="72" applyNumberFormat="1" applyFont="1" applyAlignment="1">
      <alignment horizontal="right"/>
      <protection/>
    </xf>
    <xf numFmtId="0" fontId="6" fillId="0" borderId="10" xfId="66" applyFont="1" applyBorder="1" applyAlignment="1">
      <alignment horizontal="center" wrapText="1"/>
      <protection/>
    </xf>
    <xf numFmtId="0" fontId="9" fillId="0" borderId="0" xfId="68" applyFont="1" applyAlignment="1">
      <alignment vertical="center"/>
      <protection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32" borderId="13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3" fontId="7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58" applyFont="1" applyBorder="1">
      <alignment/>
      <protection/>
    </xf>
    <xf numFmtId="0" fontId="6" fillId="0" borderId="10" xfId="58" applyFont="1" applyBorder="1">
      <alignment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9" xfId="58" applyFont="1" applyBorder="1" applyAlignment="1">
      <alignment horizontal="center" vertical="center"/>
      <protection/>
    </xf>
    <xf numFmtId="0" fontId="10" fillId="0" borderId="10" xfId="58" applyFont="1" applyBorder="1">
      <alignment/>
      <protection/>
    </xf>
    <xf numFmtId="3" fontId="6" fillId="0" borderId="10" xfId="58" applyNumberFormat="1" applyFont="1" applyBorder="1" applyAlignment="1">
      <alignment horizontal="center"/>
      <protection/>
    </xf>
    <xf numFmtId="0" fontId="6" fillId="0" borderId="10" xfId="58" applyFont="1" applyBorder="1" applyAlignment="1">
      <alignment vertical="center"/>
      <protection/>
    </xf>
    <xf numFmtId="0" fontId="11" fillId="0" borderId="13" xfId="58" applyFont="1" applyBorder="1" applyAlignment="1">
      <alignment wrapText="1"/>
      <protection/>
    </xf>
    <xf numFmtId="3" fontId="11" fillId="0" borderId="10" xfId="58" applyNumberFormat="1" applyFont="1" applyBorder="1" applyAlignment="1">
      <alignment wrapText="1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 horizontal="center" wrapText="1"/>
      <protection/>
    </xf>
    <xf numFmtId="3" fontId="7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wrapText="1"/>
      <protection/>
    </xf>
    <xf numFmtId="3" fontId="6" fillId="0" borderId="10" xfId="58" applyNumberFormat="1" applyFont="1" applyBorder="1">
      <alignment/>
      <protection/>
    </xf>
    <xf numFmtId="3" fontId="7" fillId="0" borderId="10" xfId="58" applyNumberFormat="1" applyFont="1" applyBorder="1" applyAlignment="1">
      <alignment horizontal="left" wrapText="1"/>
      <protection/>
    </xf>
    <xf numFmtId="0" fontId="6" fillId="0" borderId="10" xfId="58" applyFont="1" applyBorder="1" applyAlignment="1">
      <alignment wrapText="1"/>
      <protection/>
    </xf>
    <xf numFmtId="3" fontId="7" fillId="0" borderId="10" xfId="58" applyNumberFormat="1" applyFont="1" applyBorder="1">
      <alignment/>
      <protection/>
    </xf>
    <xf numFmtId="0" fontId="7" fillId="0" borderId="10" xfId="58" applyFont="1" applyBorder="1" applyAlignment="1">
      <alignment wrapText="1"/>
      <protection/>
    </xf>
    <xf numFmtId="3" fontId="7" fillId="0" borderId="10" xfId="58" applyNumberFormat="1" applyFont="1" applyBorder="1" applyAlignment="1">
      <alignment horizontal="center" vertical="center"/>
      <protection/>
    </xf>
    <xf numFmtId="49" fontId="7" fillId="0" borderId="10" xfId="58" applyNumberFormat="1" applyFont="1" applyBorder="1" applyAlignment="1">
      <alignment horizontal="center"/>
      <protection/>
    </xf>
    <xf numFmtId="0" fontId="7" fillId="0" borderId="10" xfId="58" applyFont="1" applyBorder="1" applyAlignment="1">
      <alignment horizontal="left" vertical="center"/>
      <protection/>
    </xf>
    <xf numFmtId="49" fontId="6" fillId="0" borderId="10" xfId="58" applyNumberFormat="1" applyFont="1" applyBorder="1" applyAlignment="1">
      <alignment horizontal="center"/>
      <protection/>
    </xf>
    <xf numFmtId="0" fontId="11" fillId="0" borderId="10" xfId="58" applyFont="1" applyBorder="1">
      <alignment/>
      <protection/>
    </xf>
    <xf numFmtId="0" fontId="7" fillId="0" borderId="10" xfId="0" applyFont="1" applyBorder="1" applyAlignment="1">
      <alignment horizontal="left" vertical="center" wrapText="1"/>
    </xf>
    <xf numFmtId="0" fontId="12" fillId="0" borderId="10" xfId="58" applyFont="1" applyBorder="1" applyAlignment="1">
      <alignment wrapText="1"/>
      <protection/>
    </xf>
    <xf numFmtId="0" fontId="12" fillId="0" borderId="10" xfId="58" applyFont="1" applyBorder="1">
      <alignment/>
      <protection/>
    </xf>
    <xf numFmtId="0" fontId="7" fillId="0" borderId="16" xfId="58" applyFont="1" applyBorder="1" applyAlignment="1">
      <alignment horizontal="left" vertical="center" wrapText="1"/>
      <protection/>
    </xf>
    <xf numFmtId="0" fontId="7" fillId="0" borderId="10" xfId="58" applyFont="1" applyBorder="1" applyAlignment="1">
      <alignment vertical="center"/>
      <protection/>
    </xf>
    <xf numFmtId="0" fontId="10" fillId="32" borderId="13" xfId="58" applyFont="1" applyFill="1" applyBorder="1" applyAlignment="1">
      <alignment wrapText="1"/>
      <protection/>
    </xf>
    <xf numFmtId="3" fontId="10" fillId="32" borderId="10" xfId="58" applyNumberFormat="1" applyFont="1" applyFill="1" applyBorder="1">
      <alignment/>
      <protection/>
    </xf>
    <xf numFmtId="3" fontId="10" fillId="0" borderId="10" xfId="58" applyNumberFormat="1" applyFont="1" applyBorder="1">
      <alignment/>
      <protection/>
    </xf>
    <xf numFmtId="0" fontId="6" fillId="32" borderId="10" xfId="58" applyFont="1" applyFill="1" applyBorder="1" applyAlignment="1">
      <alignment wrapText="1"/>
      <protection/>
    </xf>
    <xf numFmtId="3" fontId="6" fillId="32" borderId="10" xfId="58" applyNumberFormat="1" applyFont="1" applyFill="1" applyBorder="1">
      <alignment/>
      <protection/>
    </xf>
    <xf numFmtId="3" fontId="7" fillId="0" borderId="10" xfId="58" applyNumberFormat="1" applyFont="1" applyBorder="1" applyAlignment="1">
      <alignment horizontal="left" vertical="center" wrapText="1"/>
      <protection/>
    </xf>
    <xf numFmtId="3" fontId="7" fillId="32" borderId="10" xfId="58" applyNumberFormat="1" applyFont="1" applyFill="1" applyBorder="1">
      <alignment/>
      <protection/>
    </xf>
    <xf numFmtId="0" fontId="12" fillId="0" borderId="13" xfId="58" applyFont="1" applyBorder="1" applyAlignment="1">
      <alignment wrapText="1"/>
      <protection/>
    </xf>
    <xf numFmtId="0" fontId="9" fillId="32" borderId="10" xfId="58" applyFont="1" applyFill="1" applyBorder="1" applyAlignment="1">
      <alignment horizontal="left" wrapText="1"/>
      <protection/>
    </xf>
    <xf numFmtId="3" fontId="9" fillId="32" borderId="10" xfId="58" applyNumberFormat="1" applyFont="1" applyFill="1" applyBorder="1">
      <alignment/>
      <protection/>
    </xf>
    <xf numFmtId="0" fontId="6" fillId="0" borderId="13" xfId="58" applyFont="1" applyBorder="1" applyAlignment="1">
      <alignment vertical="center" wrapText="1"/>
      <protection/>
    </xf>
    <xf numFmtId="0" fontId="7" fillId="0" borderId="13" xfId="58" applyFont="1" applyBorder="1" applyAlignment="1">
      <alignment vertical="center" wrapText="1"/>
      <protection/>
    </xf>
    <xf numFmtId="0" fontId="12" fillId="0" borderId="13" xfId="58" applyFont="1" applyBorder="1" applyAlignment="1">
      <alignment vertical="center" wrapText="1"/>
      <protection/>
    </xf>
    <xf numFmtId="0" fontId="7" fillId="32" borderId="13" xfId="58" applyFont="1" applyFill="1" applyBorder="1" applyAlignment="1">
      <alignment wrapText="1"/>
      <protection/>
    </xf>
    <xf numFmtId="3" fontId="6" fillId="0" borderId="13" xfId="58" applyNumberFormat="1" applyFont="1" applyBorder="1" applyAlignment="1">
      <alignment horizontal="left" vertical="center" wrapText="1"/>
      <protection/>
    </xf>
    <xf numFmtId="3" fontId="7" fillId="0" borderId="13" xfId="58" applyNumberFormat="1" applyFont="1" applyBorder="1" applyAlignment="1">
      <alignment horizontal="left" vertical="center" wrapText="1"/>
      <protection/>
    </xf>
    <xf numFmtId="0" fontId="7" fillId="32" borderId="16" xfId="58" applyFont="1" applyFill="1" applyBorder="1" applyAlignment="1">
      <alignment wrapText="1"/>
      <protection/>
    </xf>
    <xf numFmtId="0" fontId="7" fillId="32" borderId="16" xfId="58" applyFont="1" applyFill="1" applyBorder="1" applyAlignment="1">
      <alignment horizontal="left" vertical="center" wrapText="1"/>
      <protection/>
    </xf>
    <xf numFmtId="3" fontId="18" fillId="0" borderId="10" xfId="58" applyNumberFormat="1" applyFont="1" applyBorder="1" applyAlignment="1">
      <alignment horizontal="center" vertical="center"/>
      <protection/>
    </xf>
    <xf numFmtId="0" fontId="18" fillId="0" borderId="10" xfId="67" applyFont="1" applyBorder="1" applyAlignment="1">
      <alignment horizontal="center" vertical="center" wrapText="1"/>
      <protection/>
    </xf>
    <xf numFmtId="3" fontId="20" fillId="0" borderId="10" xfId="67" applyNumberFormat="1" applyFont="1" applyBorder="1">
      <alignment/>
      <protection/>
    </xf>
    <xf numFmtId="0" fontId="18" fillId="0" borderId="10" xfId="67" applyFont="1" applyBorder="1" applyAlignment="1">
      <alignment wrapText="1"/>
      <protection/>
    </xf>
    <xf numFmtId="3" fontId="18" fillId="0" borderId="10" xfId="67" applyNumberFormat="1" applyFont="1" applyBorder="1">
      <alignment/>
      <protection/>
    </xf>
    <xf numFmtId="0" fontId="18" fillId="0" borderId="16" xfId="58" applyFont="1" applyBorder="1" applyAlignment="1">
      <alignment horizontal="left" vertical="center"/>
      <protection/>
    </xf>
    <xf numFmtId="0" fontId="18" fillId="0" borderId="10" xfId="67" applyFont="1" applyBorder="1">
      <alignment/>
      <protection/>
    </xf>
    <xf numFmtId="0" fontId="6" fillId="0" borderId="0" xfId="69" applyFont="1">
      <alignment/>
      <protection/>
    </xf>
    <xf numFmtId="0" fontId="7" fillId="0" borderId="0" xfId="69" applyFont="1" applyAlignment="1">
      <alignment horizontal="center"/>
      <protection/>
    </xf>
    <xf numFmtId="169" fontId="0" fillId="0" borderId="0" xfId="0" applyNumberFormat="1" applyAlignment="1">
      <alignment/>
    </xf>
    <xf numFmtId="0" fontId="6" fillId="0" borderId="10" xfId="69" applyFont="1" applyBorder="1">
      <alignment/>
      <protection/>
    </xf>
    <xf numFmtId="0" fontId="6" fillId="0" borderId="10" xfId="69" applyFont="1" applyBorder="1" applyAlignment="1">
      <alignment wrapText="1"/>
      <protection/>
    </xf>
    <xf numFmtId="0" fontId="7" fillId="0" borderId="10" xfId="69" applyFont="1" applyBorder="1">
      <alignment/>
      <protection/>
    </xf>
    <xf numFmtId="49" fontId="7" fillId="0" borderId="10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3" fontId="7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13" xfId="68" applyFont="1" applyBorder="1">
      <alignment/>
      <protection/>
    </xf>
    <xf numFmtId="0" fontId="7" fillId="0" borderId="10" xfId="70" applyFont="1" applyBorder="1" applyAlignment="1">
      <alignment horizontal="center" vertical="center" wrapText="1"/>
      <protection/>
    </xf>
    <xf numFmtId="3" fontId="6" fillId="0" borderId="10" xfId="70" applyNumberFormat="1" applyFont="1" applyBorder="1">
      <alignment/>
      <protection/>
    </xf>
    <xf numFmtId="3" fontId="7" fillId="0" borderId="10" xfId="70" applyNumberFormat="1" applyFont="1" applyBorder="1">
      <alignment/>
      <protection/>
    </xf>
    <xf numFmtId="0" fontId="6" fillId="0" borderId="10" xfId="70" applyFont="1" applyBorder="1">
      <alignment/>
      <protection/>
    </xf>
    <xf numFmtId="0" fontId="7" fillId="0" borderId="10" xfId="70" applyFont="1" applyBorder="1">
      <alignment/>
      <protection/>
    </xf>
    <xf numFmtId="0" fontId="11" fillId="0" borderId="13" xfId="58" applyFont="1" applyBorder="1">
      <alignment/>
      <protection/>
    </xf>
    <xf numFmtId="0" fontId="6" fillId="0" borderId="13" xfId="58" applyFont="1" applyBorder="1" applyAlignment="1">
      <alignment wrapText="1"/>
      <protection/>
    </xf>
    <xf numFmtId="3" fontId="6" fillId="0" borderId="10" xfId="58" applyNumberFormat="1" applyFont="1" applyBorder="1" applyAlignment="1">
      <alignment horizontal="left" wrapText="1"/>
      <protection/>
    </xf>
    <xf numFmtId="3" fontId="7" fillId="0" borderId="0" xfId="70" applyNumberFormat="1" applyFont="1">
      <alignment/>
      <protection/>
    </xf>
    <xf numFmtId="3" fontId="7" fillId="33" borderId="10" xfId="70" applyNumberFormat="1" applyFont="1" applyFill="1" applyBorder="1">
      <alignment/>
      <protection/>
    </xf>
    <xf numFmtId="0" fontId="20" fillId="0" borderId="16" xfId="58" applyFont="1" applyBorder="1" applyAlignment="1">
      <alignment horizontal="left" vertical="center"/>
      <protection/>
    </xf>
    <xf numFmtId="3" fontId="57" fillId="0" borderId="10" xfId="70" applyNumberFormat="1" applyFont="1" applyBorder="1">
      <alignment/>
      <protection/>
    </xf>
    <xf numFmtId="0" fontId="57" fillId="0" borderId="0" xfId="70" applyFont="1">
      <alignment/>
      <protection/>
    </xf>
    <xf numFmtId="3" fontId="57" fillId="0" borderId="10" xfId="58" applyNumberFormat="1" applyFont="1" applyBorder="1" applyAlignment="1">
      <alignment wrapText="1"/>
      <protection/>
    </xf>
    <xf numFmtId="3" fontId="58" fillId="0" borderId="10" xfId="70" applyNumberFormat="1" applyFont="1" applyBorder="1">
      <alignment/>
      <protection/>
    </xf>
    <xf numFmtId="3" fontId="57" fillId="0" borderId="10" xfId="58" applyNumberFormat="1" applyFont="1" applyBorder="1">
      <alignment/>
      <protection/>
    </xf>
    <xf numFmtId="3" fontId="58" fillId="33" borderId="10" xfId="70" applyNumberFormat="1" applyFont="1" applyFill="1" applyBorder="1">
      <alignment/>
      <protection/>
    </xf>
    <xf numFmtId="3" fontId="6" fillId="33" borderId="10" xfId="58" applyNumberFormat="1" applyFont="1" applyFill="1" applyBorder="1">
      <alignment/>
      <protection/>
    </xf>
    <xf numFmtId="0" fontId="6" fillId="33" borderId="0" xfId="0" applyFont="1" applyFill="1" applyAlignment="1">
      <alignment/>
    </xf>
    <xf numFmtId="3" fontId="7" fillId="33" borderId="10" xfId="58" applyNumberFormat="1" applyFont="1" applyFill="1" applyBorder="1">
      <alignment/>
      <protection/>
    </xf>
    <xf numFmtId="0" fontId="6" fillId="33" borderId="10" xfId="58" applyFont="1" applyFill="1" applyBorder="1">
      <alignment/>
      <protection/>
    </xf>
    <xf numFmtId="3" fontId="10" fillId="33" borderId="10" xfId="58" applyNumberFormat="1" applyFont="1" applyFill="1" applyBorder="1">
      <alignment/>
      <protection/>
    </xf>
    <xf numFmtId="0" fontId="10" fillId="33" borderId="10" xfId="58" applyFont="1" applyFill="1" applyBorder="1">
      <alignment/>
      <protection/>
    </xf>
    <xf numFmtId="3" fontId="9" fillId="33" borderId="10" xfId="58" applyNumberFormat="1" applyFont="1" applyFill="1" applyBorder="1">
      <alignment/>
      <protection/>
    </xf>
    <xf numFmtId="0" fontId="7" fillId="33" borderId="0" xfId="69" applyFont="1" applyFill="1" applyAlignment="1">
      <alignment horizontal="center"/>
      <protection/>
    </xf>
    <xf numFmtId="0" fontId="6" fillId="33" borderId="0" xfId="69" applyFont="1" applyFill="1">
      <alignment/>
      <protection/>
    </xf>
    <xf numFmtId="49" fontId="6" fillId="33" borderId="10" xfId="69" applyNumberFormat="1" applyFont="1" applyFill="1" applyBorder="1" applyAlignment="1">
      <alignment horizontal="center" wrapText="1"/>
      <protection/>
    </xf>
    <xf numFmtId="0" fontId="6" fillId="33" borderId="10" xfId="69" applyFont="1" applyFill="1" applyBorder="1" applyAlignment="1">
      <alignment horizontal="center"/>
      <protection/>
    </xf>
    <xf numFmtId="3" fontId="6" fillId="33" borderId="10" xfId="69" applyNumberFormat="1" applyFont="1" applyFill="1" applyBorder="1">
      <alignment/>
      <protection/>
    </xf>
    <xf numFmtId="0" fontId="6" fillId="33" borderId="10" xfId="69" applyFont="1" applyFill="1" applyBorder="1" applyAlignment="1">
      <alignment horizontal="left" wrapText="1"/>
      <protection/>
    </xf>
    <xf numFmtId="9" fontId="6" fillId="33" borderId="10" xfId="69" applyNumberFormat="1" applyFont="1" applyFill="1" applyBorder="1">
      <alignment/>
      <protection/>
    </xf>
    <xf numFmtId="0" fontId="6" fillId="33" borderId="10" xfId="69" applyFont="1" applyFill="1" applyBorder="1">
      <alignment/>
      <protection/>
    </xf>
    <xf numFmtId="3" fontId="7" fillId="33" borderId="10" xfId="69" applyNumberFormat="1" applyFont="1" applyFill="1" applyBorder="1">
      <alignment/>
      <protection/>
    </xf>
    <xf numFmtId="0" fontId="6" fillId="33" borderId="10" xfId="69" applyFont="1" applyFill="1" applyBorder="1" applyAlignment="1">
      <alignment wrapText="1"/>
      <protection/>
    </xf>
    <xf numFmtId="169" fontId="0" fillId="33" borderId="0" xfId="0" applyNumberFormat="1" applyFill="1" applyAlignment="1">
      <alignment/>
    </xf>
    <xf numFmtId="0" fontId="6" fillId="33" borderId="0" xfId="58" applyFont="1" applyFill="1" applyAlignment="1">
      <alignment horizontal="center"/>
      <protection/>
    </xf>
    <xf numFmtId="0" fontId="6" fillId="33" borderId="0" xfId="58" applyFont="1" applyFill="1" applyAlignment="1">
      <alignment horizontal="right"/>
      <protection/>
    </xf>
    <xf numFmtId="0" fontId="7" fillId="33" borderId="18" xfId="58" applyFont="1" applyFill="1" applyBorder="1" applyAlignment="1">
      <alignment horizontal="center" wrapText="1"/>
      <protection/>
    </xf>
    <xf numFmtId="3" fontId="7" fillId="33" borderId="10" xfId="65" applyNumberFormat="1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/>
      <protection/>
    </xf>
    <xf numFmtId="0" fontId="7" fillId="33" borderId="10" xfId="58" applyFont="1" applyFill="1" applyBorder="1">
      <alignment/>
      <protection/>
    </xf>
    <xf numFmtId="3" fontId="7" fillId="33" borderId="10" xfId="58" applyNumberFormat="1" applyFont="1" applyFill="1" applyBorder="1" applyAlignment="1">
      <alignment horizontal="center"/>
      <protection/>
    </xf>
    <xf numFmtId="3" fontId="6" fillId="33" borderId="10" xfId="58" applyNumberFormat="1" applyFont="1" applyFill="1" applyBorder="1" applyAlignment="1">
      <alignment horizontal="center"/>
      <protection/>
    </xf>
    <xf numFmtId="3" fontId="11" fillId="33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10" fontId="12" fillId="33" borderId="10" xfId="0" applyNumberFormat="1" applyFont="1" applyFill="1" applyBorder="1" applyAlignment="1">
      <alignment horizontal="right"/>
    </xf>
    <xf numFmtId="0" fontId="7" fillId="33" borderId="0" xfId="58" applyFont="1" applyFill="1" applyAlignment="1">
      <alignment horizontal="center"/>
      <protection/>
    </xf>
    <xf numFmtId="0" fontId="6" fillId="33" borderId="0" xfId="67" applyFont="1" applyFill="1" applyAlignment="1">
      <alignment horizontal="right"/>
      <protection/>
    </xf>
    <xf numFmtId="3" fontId="7" fillId="33" borderId="11" xfId="65" applyNumberFormat="1" applyFont="1" applyFill="1" applyBorder="1" applyAlignment="1">
      <alignment horizontal="center" vertical="center" wrapText="1"/>
      <protection/>
    </xf>
    <xf numFmtId="3" fontId="7" fillId="33" borderId="11" xfId="65" applyNumberFormat="1" applyFont="1" applyFill="1" applyBorder="1" applyAlignment="1">
      <alignment horizontal="right" wrapText="1"/>
      <protection/>
    </xf>
    <xf numFmtId="3" fontId="11" fillId="33" borderId="10" xfId="58" applyNumberFormat="1" applyFont="1" applyFill="1" applyBorder="1" applyAlignment="1">
      <alignment wrapText="1"/>
      <protection/>
    </xf>
    <xf numFmtId="3" fontId="19" fillId="33" borderId="10" xfId="58" applyNumberFormat="1" applyFont="1" applyFill="1" applyBorder="1" applyAlignment="1">
      <alignment wrapText="1"/>
      <protection/>
    </xf>
    <xf numFmtId="3" fontId="20" fillId="33" borderId="10" xfId="67" applyNumberFormat="1" applyFont="1" applyFill="1" applyBorder="1">
      <alignment/>
      <protection/>
    </xf>
    <xf numFmtId="3" fontId="18" fillId="33" borderId="10" xfId="67" applyNumberFormat="1" applyFont="1" applyFill="1" applyBorder="1">
      <alignment/>
      <protection/>
    </xf>
    <xf numFmtId="3" fontId="7" fillId="33" borderId="10" xfId="0" applyNumberFormat="1" applyFont="1" applyFill="1" applyBorder="1" applyAlignment="1">
      <alignment/>
    </xf>
    <xf numFmtId="211" fontId="6" fillId="33" borderId="0" xfId="46" applyNumberFormat="1" applyFont="1" applyFill="1" applyAlignment="1">
      <alignment/>
    </xf>
    <xf numFmtId="3" fontId="18" fillId="0" borderId="10" xfId="65" applyNumberFormat="1" applyFont="1" applyBorder="1" applyAlignment="1">
      <alignment horizontal="center" vertical="center" wrapText="1"/>
      <protection/>
    </xf>
    <xf numFmtId="0" fontId="20" fillId="0" borderId="0" xfId="67" applyFont="1">
      <alignment/>
      <protection/>
    </xf>
    <xf numFmtId="0" fontId="20" fillId="0" borderId="0" xfId="67" applyFont="1" applyAlignment="1">
      <alignment horizontal="right"/>
      <protection/>
    </xf>
    <xf numFmtId="3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3" fontId="20" fillId="33" borderId="10" xfId="0" applyNumberFormat="1" applyFont="1" applyFill="1" applyBorder="1" applyAlignment="1">
      <alignment/>
    </xf>
    <xf numFmtId="3" fontId="20" fillId="33" borderId="10" xfId="58" applyNumberFormat="1" applyFont="1" applyFill="1" applyBorder="1">
      <alignment/>
      <protection/>
    </xf>
    <xf numFmtId="0" fontId="59" fillId="33" borderId="10" xfId="0" applyFont="1" applyFill="1" applyBorder="1" applyAlignment="1">
      <alignment wrapText="1"/>
    </xf>
    <xf numFmtId="0" fontId="7" fillId="0" borderId="0" xfId="67" applyFont="1" applyBorder="1" applyAlignment="1">
      <alignment horizontal="center" wrapText="1"/>
      <protection/>
    </xf>
    <xf numFmtId="3" fontId="18" fillId="0" borderId="10" xfId="65" applyNumberFormat="1" applyFont="1" applyBorder="1" applyAlignment="1">
      <alignment horizontal="right" wrapText="1"/>
      <protection/>
    </xf>
    <xf numFmtId="0" fontId="6" fillId="33" borderId="10" xfId="69" applyFont="1" applyFill="1" applyBorder="1" applyAlignment="1">
      <alignment horizontal="center" vertical="center"/>
      <protection/>
    </xf>
    <xf numFmtId="3" fontId="6" fillId="33" borderId="10" xfId="69" applyNumberFormat="1" applyFont="1" applyFill="1" applyBorder="1" applyAlignment="1">
      <alignment vertical="center"/>
      <protection/>
    </xf>
    <xf numFmtId="9" fontId="6" fillId="33" borderId="10" xfId="69" applyNumberFormat="1" applyFont="1" applyFill="1" applyBorder="1" applyAlignment="1">
      <alignment vertical="center"/>
      <protection/>
    </xf>
    <xf numFmtId="0" fontId="6" fillId="33" borderId="10" xfId="69" applyFont="1" applyFill="1" applyBorder="1" applyAlignment="1">
      <alignment vertical="center"/>
      <protection/>
    </xf>
    <xf numFmtId="3" fontId="7" fillId="33" borderId="10" xfId="69" applyNumberFormat="1" applyFont="1" applyFill="1" applyBorder="1" applyAlignment="1">
      <alignment vertical="center"/>
      <protection/>
    </xf>
    <xf numFmtId="3" fontId="6" fillId="33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67" applyFont="1" applyFill="1" applyAlignment="1">
      <alignment horizontal="right"/>
      <protection/>
    </xf>
    <xf numFmtId="0" fontId="6" fillId="0" borderId="0" xfId="67" applyFont="1" applyFill="1">
      <alignment/>
      <protection/>
    </xf>
    <xf numFmtId="3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3" fontId="12" fillId="0" borderId="10" xfId="56" applyNumberFormat="1" applyFont="1" applyFill="1" applyBorder="1">
      <alignment/>
      <protection/>
    </xf>
    <xf numFmtId="3" fontId="7" fillId="0" borderId="10" xfId="0" applyNumberFormat="1" applyFont="1" applyFill="1" applyBorder="1" applyAlignment="1">
      <alignment/>
    </xf>
    <xf numFmtId="3" fontId="6" fillId="0" borderId="10" xfId="65" applyNumberFormat="1" applyFont="1" applyFill="1" applyBorder="1" applyAlignment="1">
      <alignment horizontal="right" wrapText="1"/>
      <protection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18" fillId="0" borderId="0" xfId="72" applyFont="1" applyAlignment="1">
      <alignment horizontal="center"/>
      <protection/>
    </xf>
    <xf numFmtId="0" fontId="20" fillId="0" borderId="0" xfId="72" applyFont="1">
      <alignment/>
      <protection/>
    </xf>
    <xf numFmtId="3" fontId="18" fillId="0" borderId="11" xfId="65" applyNumberFormat="1" applyFont="1" applyBorder="1" applyAlignment="1">
      <alignment horizontal="center" vertical="center" wrapText="1"/>
      <protection/>
    </xf>
    <xf numFmtId="3" fontId="20" fillId="33" borderId="10" xfId="65" applyNumberFormat="1" applyFont="1" applyFill="1" applyBorder="1">
      <alignment/>
      <protection/>
    </xf>
    <xf numFmtId="0" fontId="20" fillId="33" borderId="10" xfId="72" applyFont="1" applyFill="1" applyBorder="1">
      <alignment/>
      <protection/>
    </xf>
    <xf numFmtId="0" fontId="20" fillId="0" borderId="10" xfId="72" applyFont="1" applyBorder="1">
      <alignment/>
      <protection/>
    </xf>
    <xf numFmtId="3" fontId="20" fillId="0" borderId="10" xfId="72" applyNumberFormat="1" applyFont="1" applyBorder="1">
      <alignment/>
      <protection/>
    </xf>
    <xf numFmtId="3" fontId="20" fillId="0" borderId="0" xfId="72" applyNumberFormat="1" applyFont="1" applyBorder="1">
      <alignment/>
      <protection/>
    </xf>
    <xf numFmtId="0" fontId="20" fillId="0" borderId="0" xfId="67" applyFont="1" applyBorder="1">
      <alignment/>
      <protection/>
    </xf>
    <xf numFmtId="3" fontId="20" fillId="33" borderId="0" xfId="67" applyNumberFormat="1" applyFont="1" applyFill="1" applyBorder="1">
      <alignment/>
      <protection/>
    </xf>
    <xf numFmtId="0" fontId="6" fillId="0" borderId="0" xfId="67" applyFont="1" applyBorder="1">
      <alignment/>
      <protection/>
    </xf>
    <xf numFmtId="0" fontId="20" fillId="33" borderId="10" xfId="67" applyFont="1" applyFill="1" applyBorder="1" applyAlignment="1">
      <alignment wrapText="1"/>
      <protection/>
    </xf>
    <xf numFmtId="3" fontId="20" fillId="33" borderId="10" xfId="65" applyNumberFormat="1" applyFont="1" applyFill="1" applyBorder="1" applyAlignment="1">
      <alignment horizontal="right" wrapText="1"/>
      <protection/>
    </xf>
    <xf numFmtId="0" fontId="60" fillId="0" borderId="13" xfId="58" applyFont="1" applyBorder="1">
      <alignment/>
      <protection/>
    </xf>
    <xf numFmtId="3" fontId="60" fillId="0" borderId="10" xfId="70" applyNumberFormat="1" applyFont="1" applyBorder="1">
      <alignment/>
      <protection/>
    </xf>
    <xf numFmtId="3" fontId="60" fillId="0" borderId="10" xfId="58" applyNumberFormat="1" applyFont="1" applyBorder="1" applyAlignment="1">
      <alignment wrapText="1"/>
      <protection/>
    </xf>
    <xf numFmtId="0" fontId="60" fillId="0" borderId="10" xfId="70" applyFont="1" applyBorder="1">
      <alignment/>
      <protection/>
    </xf>
    <xf numFmtId="3" fontId="60" fillId="0" borderId="10" xfId="58" applyNumberFormat="1" applyFont="1" applyBorder="1">
      <alignment/>
      <protection/>
    </xf>
    <xf numFmtId="3" fontId="18" fillId="33" borderId="10" xfId="58" applyNumberFormat="1" applyFont="1" applyFill="1" applyBorder="1">
      <alignment/>
      <protection/>
    </xf>
    <xf numFmtId="3" fontId="6" fillId="0" borderId="0" xfId="68" applyNumberFormat="1" applyFont="1" applyAlignment="1">
      <alignment wrapText="1"/>
      <protection/>
    </xf>
    <xf numFmtId="0" fontId="11" fillId="34" borderId="10" xfId="58" applyFont="1" applyFill="1" applyBorder="1" applyAlignment="1">
      <alignment wrapText="1"/>
      <protection/>
    </xf>
    <xf numFmtId="3" fontId="11" fillId="34" borderId="10" xfId="58" applyNumberFormat="1" applyFont="1" applyFill="1" applyBorder="1" applyAlignment="1">
      <alignment wrapText="1"/>
      <protection/>
    </xf>
    <xf numFmtId="0" fontId="0" fillId="0" borderId="21" xfId="0" applyBorder="1" applyAlignment="1">
      <alignment wrapText="1"/>
    </xf>
    <xf numFmtId="3" fontId="0" fillId="0" borderId="22" xfId="0" applyNumberFormat="1" applyBorder="1" applyAlignment="1">
      <alignment/>
    </xf>
    <xf numFmtId="0" fontId="48" fillId="0" borderId="21" xfId="0" applyFont="1" applyBorder="1" applyAlignment="1">
      <alignment wrapText="1"/>
    </xf>
    <xf numFmtId="3" fontId="48" fillId="0" borderId="22" xfId="0" applyNumberFormat="1" applyFont="1" applyBorder="1" applyAlignment="1">
      <alignment/>
    </xf>
    <xf numFmtId="0" fontId="48" fillId="34" borderId="21" xfId="0" applyFont="1" applyFill="1" applyBorder="1" applyAlignment="1">
      <alignment wrapText="1"/>
    </xf>
    <xf numFmtId="3" fontId="48" fillId="34" borderId="22" xfId="0" applyNumberFormat="1" applyFont="1" applyFill="1" applyBorder="1" applyAlignment="1">
      <alignment/>
    </xf>
    <xf numFmtId="211" fontId="6" fillId="0" borderId="0" xfId="46" applyNumberFormat="1" applyFont="1" applyAlignment="1">
      <alignment/>
    </xf>
    <xf numFmtId="211" fontId="20" fillId="0" borderId="0" xfId="46" applyNumberFormat="1" applyFont="1" applyAlignment="1">
      <alignment/>
    </xf>
    <xf numFmtId="211" fontId="18" fillId="0" borderId="11" xfId="46" applyNumberFormat="1" applyFont="1" applyBorder="1" applyAlignment="1">
      <alignment horizontal="center" vertical="center" wrapText="1"/>
    </xf>
    <xf numFmtId="211" fontId="20" fillId="33" borderId="10" xfId="46" applyNumberFormat="1" applyFont="1" applyFill="1" applyBorder="1" applyAlignment="1">
      <alignment/>
    </xf>
    <xf numFmtId="211" fontId="20" fillId="0" borderId="10" xfId="46" applyNumberFormat="1" applyFont="1" applyBorder="1" applyAlignment="1">
      <alignment/>
    </xf>
    <xf numFmtId="0" fontId="7" fillId="0" borderId="0" xfId="68" applyFont="1" applyAlignment="1">
      <alignment horizontal="center"/>
      <protection/>
    </xf>
    <xf numFmtId="0" fontId="7" fillId="0" borderId="10" xfId="68" applyFont="1" applyBorder="1" applyAlignment="1">
      <alignment horizontal="center"/>
      <protection/>
    </xf>
    <xf numFmtId="0" fontId="9" fillId="0" borderId="0" xfId="68" applyFont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 wrapText="1"/>
      <protection/>
    </xf>
    <xf numFmtId="3" fontId="7" fillId="0" borderId="10" xfId="65" applyNumberFormat="1" applyFont="1" applyBorder="1" applyAlignment="1">
      <alignment horizontal="center" vertical="center" wrapText="1"/>
      <protection/>
    </xf>
    <xf numFmtId="0" fontId="7" fillId="0" borderId="13" xfId="68" applyFont="1" applyBorder="1" applyAlignment="1">
      <alignment horizontal="center"/>
      <protection/>
    </xf>
    <xf numFmtId="0" fontId="7" fillId="0" borderId="17" xfId="68" applyFont="1" applyBorder="1" applyAlignment="1">
      <alignment horizontal="center"/>
      <protection/>
    </xf>
    <xf numFmtId="0" fontId="7" fillId="0" borderId="18" xfId="68" applyFont="1" applyBorder="1" applyAlignment="1">
      <alignment horizontal="center"/>
      <protection/>
    </xf>
    <xf numFmtId="3" fontId="7" fillId="0" borderId="13" xfId="65" applyNumberFormat="1" applyFont="1" applyBorder="1" applyAlignment="1">
      <alignment horizontal="center" vertical="center" wrapText="1"/>
      <protection/>
    </xf>
    <xf numFmtId="3" fontId="7" fillId="0" borderId="17" xfId="65" applyNumberFormat="1" applyFont="1" applyBorder="1" applyAlignment="1">
      <alignment horizontal="center" vertical="center" wrapText="1"/>
      <protection/>
    </xf>
    <xf numFmtId="3" fontId="7" fillId="0" borderId="18" xfId="65" applyNumberFormat="1" applyFont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0" fontId="7" fillId="0" borderId="12" xfId="67" applyFont="1" applyBorder="1" applyAlignment="1">
      <alignment horizontal="center" vertical="center" wrapText="1"/>
      <protection/>
    </xf>
    <xf numFmtId="3" fontId="7" fillId="0" borderId="11" xfId="58" applyNumberFormat="1" applyFont="1" applyBorder="1" applyAlignment="1">
      <alignment horizontal="center" vertical="center" wrapText="1"/>
      <protection/>
    </xf>
    <xf numFmtId="3" fontId="7" fillId="0" borderId="12" xfId="58" applyNumberFormat="1" applyFont="1" applyBorder="1" applyAlignment="1">
      <alignment horizontal="center" vertical="center" wrapText="1"/>
      <protection/>
    </xf>
    <xf numFmtId="3" fontId="7" fillId="0" borderId="10" xfId="58" applyNumberFormat="1" applyFont="1" applyBorder="1" applyAlignment="1">
      <alignment horizontal="center" vertical="center" wrapText="1"/>
      <protection/>
    </xf>
    <xf numFmtId="3" fontId="18" fillId="0" borderId="13" xfId="65" applyNumberFormat="1" applyFont="1" applyBorder="1" applyAlignment="1">
      <alignment horizontal="center" vertical="center" wrapText="1"/>
      <protection/>
    </xf>
    <xf numFmtId="3" fontId="18" fillId="0" borderId="17" xfId="65" applyNumberFormat="1" applyFont="1" applyBorder="1" applyAlignment="1">
      <alignment horizontal="center" vertical="center" wrapText="1"/>
      <protection/>
    </xf>
    <xf numFmtId="3" fontId="18" fillId="0" borderId="18" xfId="65" applyNumberFormat="1" applyFont="1" applyBorder="1" applyAlignment="1">
      <alignment horizontal="center" vertical="center" wrapText="1"/>
      <protection/>
    </xf>
    <xf numFmtId="0" fontId="18" fillId="0" borderId="11" xfId="67" applyFont="1" applyBorder="1" applyAlignment="1">
      <alignment horizontal="center" vertical="center" wrapText="1"/>
      <protection/>
    </xf>
    <xf numFmtId="0" fontId="18" fillId="0" borderId="12" xfId="67" applyFont="1" applyBorder="1" applyAlignment="1">
      <alignment horizontal="center" vertical="center" wrapText="1"/>
      <protection/>
    </xf>
    <xf numFmtId="0" fontId="7" fillId="0" borderId="0" xfId="72" applyFont="1" applyAlignment="1">
      <alignment horizontal="center"/>
      <protection/>
    </xf>
    <xf numFmtId="0" fontId="61" fillId="0" borderId="13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7" fillId="0" borderId="0" xfId="67" applyFont="1" applyAlignment="1">
      <alignment horizontal="center"/>
      <protection/>
    </xf>
    <xf numFmtId="3" fontId="18" fillId="0" borderId="10" xfId="65" applyNumberFormat="1" applyFont="1" applyBorder="1" applyAlignment="1">
      <alignment horizontal="center" vertical="center" wrapText="1"/>
      <protection/>
    </xf>
    <xf numFmtId="0" fontId="18" fillId="0" borderId="10" xfId="67" applyFont="1" applyBorder="1" applyAlignment="1">
      <alignment horizontal="center" vertical="center" wrapText="1"/>
      <protection/>
    </xf>
    <xf numFmtId="0" fontId="7" fillId="0" borderId="0" xfId="67" applyFont="1" applyAlignment="1">
      <alignment horizontal="center" wrapText="1"/>
      <protection/>
    </xf>
    <xf numFmtId="0" fontId="7" fillId="0" borderId="0" xfId="58" applyFont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7" fillId="0" borderId="13" xfId="58" applyFont="1" applyBorder="1" applyAlignment="1">
      <alignment horizontal="center" wrapText="1"/>
      <protection/>
    </xf>
    <xf numFmtId="0" fontId="7" fillId="0" borderId="17" xfId="58" applyFont="1" applyBorder="1" applyAlignment="1">
      <alignment horizontal="center" wrapText="1"/>
      <protection/>
    </xf>
    <xf numFmtId="0" fontId="7" fillId="0" borderId="18" xfId="58" applyFont="1" applyBorder="1" applyAlignment="1">
      <alignment horizontal="center" wrapText="1"/>
      <protection/>
    </xf>
    <xf numFmtId="0" fontId="7" fillId="0" borderId="0" xfId="70" applyFont="1" applyAlignment="1">
      <alignment horizontal="center" wrapText="1"/>
      <protection/>
    </xf>
    <xf numFmtId="0" fontId="7" fillId="0" borderId="0" xfId="70" applyFont="1" applyAlignment="1">
      <alignment horizontal="center"/>
      <protection/>
    </xf>
    <xf numFmtId="0" fontId="13" fillId="0" borderId="0" xfId="68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7" fillId="0" borderId="11" xfId="58" applyFont="1" applyBorder="1" applyAlignment="1">
      <alignment horizontal="center" vertical="center"/>
      <protection/>
    </xf>
    <xf numFmtId="0" fontId="7" fillId="0" borderId="19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1" xfId="69" applyFont="1" applyBorder="1" applyAlignment="1">
      <alignment vertical="center" wrapText="1"/>
      <protection/>
    </xf>
    <xf numFmtId="0" fontId="7" fillId="0" borderId="12" xfId="69" applyFont="1" applyBorder="1" applyAlignment="1">
      <alignment vertical="center" wrapText="1"/>
      <protection/>
    </xf>
    <xf numFmtId="0" fontId="7" fillId="33" borderId="10" xfId="69" applyFont="1" applyFill="1" applyBorder="1" applyAlignment="1">
      <alignment horizontal="center"/>
      <protection/>
    </xf>
    <xf numFmtId="0" fontId="7" fillId="33" borderId="11" xfId="69" applyFont="1" applyFill="1" applyBorder="1" applyAlignment="1">
      <alignment horizontal="center" vertical="center" wrapText="1"/>
      <protection/>
    </xf>
    <xf numFmtId="0" fontId="7" fillId="33" borderId="12" xfId="69" applyFont="1" applyFill="1" applyBorder="1" applyAlignment="1">
      <alignment vertical="center"/>
      <protection/>
    </xf>
    <xf numFmtId="0" fontId="7" fillId="0" borderId="0" xfId="69" applyFont="1" applyAlignment="1">
      <alignment horizontal="center"/>
      <protection/>
    </xf>
    <xf numFmtId="0" fontId="6" fillId="33" borderId="23" xfId="69" applyFont="1" applyFill="1" applyBorder="1" applyAlignment="1">
      <alignment horizontal="right"/>
      <protection/>
    </xf>
    <xf numFmtId="211" fontId="53" fillId="0" borderId="24" xfId="46" applyNumberFormat="1" applyFont="1" applyFill="1" applyBorder="1" applyAlignment="1">
      <alignment/>
    </xf>
    <xf numFmtId="211" fontId="53" fillId="0" borderId="10" xfId="46" applyNumberFormat="1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211" fontId="41" fillId="0" borderId="24" xfId="46" applyNumberFormat="1" applyFont="1" applyFill="1" applyBorder="1" applyAlignment="1">
      <alignment/>
    </xf>
    <xf numFmtId="211" fontId="41" fillId="0" borderId="10" xfId="46" applyNumberFormat="1" applyFont="1" applyFill="1" applyBorder="1" applyAlignment="1">
      <alignment wrapText="1"/>
    </xf>
    <xf numFmtId="0" fontId="59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/>
    </xf>
    <xf numFmtId="3" fontId="19" fillId="0" borderId="10" xfId="58" applyNumberFormat="1" applyFont="1" applyFill="1" applyBorder="1" applyAlignment="1">
      <alignment wrapText="1"/>
      <protection/>
    </xf>
    <xf numFmtId="3" fontId="20" fillId="0" borderId="10" xfId="67" applyNumberFormat="1" applyFont="1" applyFill="1" applyBorder="1">
      <alignment/>
      <protection/>
    </xf>
    <xf numFmtId="0" fontId="59" fillId="0" borderId="10" xfId="0" applyFont="1" applyFill="1" applyBorder="1" applyAlignment="1">
      <alignment wrapText="1"/>
    </xf>
    <xf numFmtId="3" fontId="20" fillId="0" borderId="10" xfId="58" applyNumberFormat="1" applyFont="1" applyFill="1" applyBorder="1">
      <alignment/>
      <protection/>
    </xf>
    <xf numFmtId="0" fontId="20" fillId="0" borderId="0" xfId="67" applyFont="1" applyFill="1" applyBorder="1">
      <alignment/>
      <protection/>
    </xf>
    <xf numFmtId="0" fontId="11" fillId="0" borderId="10" xfId="58" applyFont="1" applyFill="1" applyBorder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3" fontId="6" fillId="0" borderId="10" xfId="58" applyNumberFormat="1" applyFont="1" applyFill="1" applyBorder="1" applyAlignment="1">
      <alignment wrapText="1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Normál 4" xfId="60"/>
    <cellStyle name="Normál 4 2" xfId="61"/>
    <cellStyle name="Normál 5" xfId="62"/>
    <cellStyle name="Normál 6" xfId="63"/>
    <cellStyle name="Normál 7" xfId="64"/>
    <cellStyle name="Normál_1-22.ktgv.táblák" xfId="65"/>
    <cellStyle name="Normál_17. garancia, kez.váll." xfId="66"/>
    <cellStyle name="Normál_2010Költségvetés" xfId="67"/>
    <cellStyle name="Normál_3 évi mérleg" xfId="68"/>
    <cellStyle name="Normál_6Rendelet1-26Mellékletei" xfId="69"/>
    <cellStyle name="Normál_adatlap" xfId="70"/>
    <cellStyle name="Normal_KTRSZJ" xfId="71"/>
    <cellStyle name="Normál_tartalék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3"/>
  <sheetViews>
    <sheetView zoomScale="87" zoomScaleNormal="87" zoomScalePageLayoutView="0" workbookViewId="0" topLeftCell="A1">
      <selection activeCell="A10" sqref="A10"/>
    </sheetView>
  </sheetViews>
  <sheetFormatPr defaultColWidth="8.00390625" defaultRowHeight="12.75"/>
  <cols>
    <col min="1" max="1" width="40.25390625" style="16" customWidth="1"/>
    <col min="2" max="2" width="14.25390625" style="16" bestFit="1" customWidth="1"/>
    <col min="3" max="3" width="12.75390625" style="16" bestFit="1" customWidth="1"/>
    <col min="4" max="4" width="10.75390625" style="16" customWidth="1"/>
    <col min="5" max="5" width="16.125" style="16" customWidth="1"/>
    <col min="6" max="6" width="14.25390625" style="16" bestFit="1" customWidth="1"/>
    <col min="7" max="7" width="12.375" style="16" bestFit="1" customWidth="1"/>
    <col min="8" max="8" width="10.75390625" style="16" customWidth="1"/>
    <col min="9" max="9" width="15.375" style="16" bestFit="1" customWidth="1"/>
    <col min="10" max="10" width="15.375" style="18" bestFit="1" customWidth="1"/>
    <col min="11" max="11" width="12.75390625" style="18" bestFit="1" customWidth="1"/>
    <col min="12" max="12" width="10.625" style="18" customWidth="1"/>
    <col min="13" max="13" width="16.25390625" style="18" bestFit="1" customWidth="1"/>
    <col min="14" max="14" width="41.75390625" style="16" customWidth="1"/>
    <col min="15" max="15" width="15.375" style="16" customWidth="1"/>
    <col min="16" max="16" width="13.875" style="16" customWidth="1"/>
    <col min="17" max="17" width="10.875" style="16" customWidth="1"/>
    <col min="18" max="18" width="16.875" style="16" customWidth="1"/>
    <col min="19" max="19" width="15.00390625" style="16" customWidth="1"/>
    <col min="20" max="20" width="12.375" style="16" bestFit="1" customWidth="1"/>
    <col min="21" max="21" width="10.25390625" style="16" customWidth="1"/>
    <col min="22" max="22" width="16.75390625" style="16" customWidth="1"/>
    <col min="23" max="23" width="16.25390625" style="16" bestFit="1" customWidth="1"/>
    <col min="24" max="24" width="13.25390625" style="16" bestFit="1" customWidth="1"/>
    <col min="25" max="25" width="10.375" style="16" customWidth="1"/>
    <col min="26" max="26" width="16.25390625" style="16" bestFit="1" customWidth="1"/>
    <col min="27" max="29" width="8.00390625" style="16" customWidth="1"/>
    <col min="30" max="30" width="14.625" style="16" bestFit="1" customWidth="1"/>
    <col min="31" max="16384" width="8.00390625" style="16" customWidth="1"/>
  </cols>
  <sheetData>
    <row r="1" spans="1:26" ht="15.75">
      <c r="A1" s="319" t="s">
        <v>549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5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</row>
    <row r="3" spans="1:26" ht="15" customHeight="1">
      <c r="A3" s="317" t="s">
        <v>29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 t="s">
        <v>29</v>
      </c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</row>
    <row r="4" spans="1:26" ht="15.75">
      <c r="A4" s="317" t="s">
        <v>438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 t="s">
        <v>438</v>
      </c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</row>
    <row r="5" spans="1:26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4:26" ht="13.5" customHeight="1">
      <c r="N6" s="19"/>
      <c r="O6" s="19"/>
      <c r="P6" s="19"/>
      <c r="Q6" s="19"/>
      <c r="R6" s="19"/>
      <c r="S6" s="19"/>
      <c r="T6" s="19"/>
      <c r="U6" s="19"/>
      <c r="V6" s="19"/>
      <c r="W6" s="6"/>
      <c r="X6" s="18"/>
      <c r="Z6" s="10" t="s">
        <v>342</v>
      </c>
    </row>
    <row r="7" spans="1:26" ht="15.75">
      <c r="A7" s="318" t="s">
        <v>26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 t="s">
        <v>14</v>
      </c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 t="s">
        <v>27</v>
      </c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spans="1:26" s="28" customFormat="1" ht="33.75" customHeight="1">
      <c r="A9" s="95" t="s">
        <v>15</v>
      </c>
      <c r="B9" s="320" t="s">
        <v>439</v>
      </c>
      <c r="C9" s="320"/>
      <c r="D9" s="320"/>
      <c r="E9" s="320"/>
      <c r="F9" s="320" t="s">
        <v>440</v>
      </c>
      <c r="G9" s="320"/>
      <c r="H9" s="320"/>
      <c r="I9" s="320"/>
      <c r="J9" s="321" t="s">
        <v>441</v>
      </c>
      <c r="K9" s="321"/>
      <c r="L9" s="321"/>
      <c r="M9" s="321"/>
      <c r="N9" s="95" t="s">
        <v>15</v>
      </c>
      <c r="O9" s="320" t="s">
        <v>439</v>
      </c>
      <c r="P9" s="320"/>
      <c r="Q9" s="320"/>
      <c r="R9" s="320"/>
      <c r="S9" s="320" t="s">
        <v>440</v>
      </c>
      <c r="T9" s="320"/>
      <c r="U9" s="320"/>
      <c r="V9" s="320"/>
      <c r="W9" s="321" t="s">
        <v>441</v>
      </c>
      <c r="X9" s="321"/>
      <c r="Y9" s="321"/>
      <c r="Z9" s="321"/>
    </row>
    <row r="10" spans="1:26" s="28" customFormat="1" ht="47.25">
      <c r="A10" s="41" t="s">
        <v>36</v>
      </c>
      <c r="B10" s="26" t="s">
        <v>34</v>
      </c>
      <c r="C10" s="37" t="s">
        <v>35</v>
      </c>
      <c r="D10" s="37" t="s">
        <v>190</v>
      </c>
      <c r="E10" s="37" t="s">
        <v>17</v>
      </c>
      <c r="F10" s="26" t="s">
        <v>34</v>
      </c>
      <c r="G10" s="37" t="s">
        <v>35</v>
      </c>
      <c r="H10" s="37" t="s">
        <v>190</v>
      </c>
      <c r="I10" s="37" t="s">
        <v>17</v>
      </c>
      <c r="J10" s="26" t="s">
        <v>34</v>
      </c>
      <c r="K10" s="37" t="s">
        <v>35</v>
      </c>
      <c r="L10" s="37" t="s">
        <v>190</v>
      </c>
      <c r="M10" s="37" t="s">
        <v>17</v>
      </c>
      <c r="N10" s="41" t="s">
        <v>36</v>
      </c>
      <c r="O10" s="26" t="s">
        <v>34</v>
      </c>
      <c r="P10" s="37" t="s">
        <v>35</v>
      </c>
      <c r="Q10" s="37" t="s">
        <v>190</v>
      </c>
      <c r="R10" s="37" t="s">
        <v>17</v>
      </c>
      <c r="S10" s="26" t="s">
        <v>34</v>
      </c>
      <c r="T10" s="37" t="s">
        <v>35</v>
      </c>
      <c r="U10" s="37" t="s">
        <v>190</v>
      </c>
      <c r="V10" s="37" t="s">
        <v>17</v>
      </c>
      <c r="W10" s="26" t="s">
        <v>34</v>
      </c>
      <c r="X10" s="37" t="s">
        <v>35</v>
      </c>
      <c r="Y10" s="37" t="s">
        <v>190</v>
      </c>
      <c r="Z10" s="47" t="s">
        <v>17</v>
      </c>
    </row>
    <row r="11" spans="1:26" s="21" customFormat="1" ht="15.75" customHeight="1">
      <c r="A11" s="52" t="s">
        <v>54</v>
      </c>
      <c r="B11" s="103">
        <f>SUM(B12:B13)</f>
        <v>2004660913</v>
      </c>
      <c r="C11" s="103">
        <f>SUM(C12:C13)</f>
        <v>0</v>
      </c>
      <c r="D11" s="103">
        <f>SUM(D12:D13)</f>
        <v>0</v>
      </c>
      <c r="E11" s="103">
        <f>SUM(E12:E13)</f>
        <v>2004660913</v>
      </c>
      <c r="F11" s="103">
        <f aca="true" t="shared" si="0" ref="F11:M11">SUM(F12:F13)</f>
        <v>2264368092</v>
      </c>
      <c r="G11" s="103">
        <f t="shared" si="0"/>
        <v>0</v>
      </c>
      <c r="H11" s="103">
        <f t="shared" si="0"/>
        <v>0</v>
      </c>
      <c r="I11" s="103">
        <f t="shared" si="0"/>
        <v>2264368092</v>
      </c>
      <c r="J11" s="11">
        <f t="shared" si="0"/>
        <v>2024145247</v>
      </c>
      <c r="K11" s="11">
        <f t="shared" si="0"/>
        <v>0</v>
      </c>
      <c r="L11" s="11">
        <f t="shared" si="0"/>
        <v>0</v>
      </c>
      <c r="M11" s="11">
        <f t="shared" si="0"/>
        <v>2024145247</v>
      </c>
      <c r="N11" s="49" t="s">
        <v>121</v>
      </c>
      <c r="O11" s="103">
        <f>SUM(O12:O13)</f>
        <v>1411207283</v>
      </c>
      <c r="P11" s="103">
        <f>SUM(P12:P13)</f>
        <v>5680000</v>
      </c>
      <c r="Q11" s="103">
        <f>SUM(Q12:Q13)</f>
        <v>0</v>
      </c>
      <c r="R11" s="103">
        <f>SUM(R12:R13)</f>
        <v>1416887283</v>
      </c>
      <c r="S11" s="103">
        <f aca="true" t="shared" si="1" ref="S11:Z11">SUM(S12:S13)</f>
        <v>1427556837</v>
      </c>
      <c r="T11" s="103">
        <f t="shared" si="1"/>
        <v>1800000</v>
      </c>
      <c r="U11" s="103">
        <f t="shared" si="1"/>
        <v>0</v>
      </c>
      <c r="V11" s="103">
        <f t="shared" si="1"/>
        <v>1429356837</v>
      </c>
      <c r="W11" s="20">
        <f t="shared" si="1"/>
        <v>1567283002</v>
      </c>
      <c r="X11" s="20">
        <f t="shared" si="1"/>
        <v>1920000</v>
      </c>
      <c r="Y11" s="20">
        <f t="shared" si="1"/>
        <v>0</v>
      </c>
      <c r="Z11" s="20">
        <f t="shared" si="1"/>
        <v>1569203002</v>
      </c>
    </row>
    <row r="12" spans="1:26" s="21" customFormat="1" ht="15.75">
      <c r="A12" s="23" t="s">
        <v>96</v>
      </c>
      <c r="B12" s="29">
        <v>2004660913</v>
      </c>
      <c r="C12" s="29">
        <v>0</v>
      </c>
      <c r="D12" s="29">
        <v>0</v>
      </c>
      <c r="E12" s="29">
        <f>SUM(B12:D12)</f>
        <v>2004660913</v>
      </c>
      <c r="F12" s="29">
        <v>2264368092</v>
      </c>
      <c r="G12" s="29">
        <v>0</v>
      </c>
      <c r="H12" s="29">
        <v>0</v>
      </c>
      <c r="I12" s="29">
        <f>SUM(F12:H12)</f>
        <v>2264368092</v>
      </c>
      <c r="J12" s="29">
        <f>4!B10</f>
        <v>2024145247</v>
      </c>
      <c r="K12" s="29">
        <f>4!C10</f>
        <v>0</v>
      </c>
      <c r="L12" s="29">
        <f>4!D10</f>
        <v>0</v>
      </c>
      <c r="M12" s="29">
        <f>4!E10</f>
        <v>2024145247</v>
      </c>
      <c r="N12" s="23" t="s">
        <v>96</v>
      </c>
      <c r="O12" s="29">
        <v>91798884</v>
      </c>
      <c r="P12" s="29">
        <v>1680000</v>
      </c>
      <c r="Q12" s="29">
        <v>0</v>
      </c>
      <c r="R12" s="29">
        <f>SUM(O12:Q12)</f>
        <v>93478884</v>
      </c>
      <c r="S12" s="29">
        <f>96605978</f>
        <v>96605978</v>
      </c>
      <c r="T12" s="29">
        <v>1800000</v>
      </c>
      <c r="U12" s="29">
        <v>0</v>
      </c>
      <c r="V12" s="29">
        <f>SUM(S12:U12)</f>
        <v>98405978</v>
      </c>
      <c r="W12" s="29">
        <f>5!B12</f>
        <v>122862803</v>
      </c>
      <c r="X12" s="29">
        <f>5!C12</f>
        <v>1920000</v>
      </c>
      <c r="Y12" s="29">
        <f>5!D12</f>
        <v>0</v>
      </c>
      <c r="Z12" s="29">
        <f>SUM(W12:Y12)</f>
        <v>124782803</v>
      </c>
    </row>
    <row r="13" spans="1:26" s="21" customFormat="1" ht="15.75">
      <c r="A13" s="23" t="s">
        <v>97</v>
      </c>
      <c r="B13" s="29">
        <v>0</v>
      </c>
      <c r="C13" s="29">
        <v>0</v>
      </c>
      <c r="D13" s="29">
        <v>0</v>
      </c>
      <c r="E13" s="29">
        <f>SUM(B13:D13)</f>
        <v>0</v>
      </c>
      <c r="F13" s="29">
        <v>0</v>
      </c>
      <c r="G13" s="29">
        <v>0</v>
      </c>
      <c r="H13" s="29">
        <v>0</v>
      </c>
      <c r="I13" s="29">
        <f>SUM(F13:H13)</f>
        <v>0</v>
      </c>
      <c r="J13" s="29">
        <v>0</v>
      </c>
      <c r="K13" s="29">
        <v>0</v>
      </c>
      <c r="L13" s="29">
        <v>0</v>
      </c>
      <c r="M13" s="39">
        <f>SUM(J13:L13)</f>
        <v>0</v>
      </c>
      <c r="N13" s="23" t="s">
        <v>97</v>
      </c>
      <c r="O13" s="29">
        <v>1319408399</v>
      </c>
      <c r="P13" s="29">
        <v>4000000</v>
      </c>
      <c r="Q13" s="29">
        <v>0</v>
      </c>
      <c r="R13" s="29">
        <f>SUM(O13:Q13)</f>
        <v>1323408399</v>
      </c>
      <c r="S13" s="29">
        <v>1330950859</v>
      </c>
      <c r="T13" s="29">
        <v>0</v>
      </c>
      <c r="U13" s="29">
        <v>0</v>
      </c>
      <c r="V13" s="29">
        <f>SUM(S13:U13)</f>
        <v>1330950859</v>
      </c>
      <c r="W13" s="29">
        <f>7!C89</f>
        <v>1444420199</v>
      </c>
      <c r="X13" s="29">
        <f>7!D89</f>
        <v>0</v>
      </c>
      <c r="Y13" s="29">
        <f>7!E89</f>
        <v>0</v>
      </c>
      <c r="Z13" s="29">
        <f>SUM(W13:Y13)</f>
        <v>1444420199</v>
      </c>
    </row>
    <row r="14" spans="1:26" s="21" customFormat="1" ht="31.5">
      <c r="A14" s="57" t="s">
        <v>85</v>
      </c>
      <c r="B14" s="103">
        <f>SUM(B15:B16)</f>
        <v>2269769384</v>
      </c>
      <c r="C14" s="103">
        <f>SUM(C15:C16)</f>
        <v>11320777</v>
      </c>
      <c r="D14" s="103">
        <f>SUM(D15:D16)</f>
        <v>0</v>
      </c>
      <c r="E14" s="103">
        <f>SUM(E15:E16)</f>
        <v>2281090161</v>
      </c>
      <c r="F14" s="103">
        <f aca="true" t="shared" si="2" ref="F14:L14">SUM(F15:F16)</f>
        <v>2362599559</v>
      </c>
      <c r="G14" s="103">
        <f t="shared" si="2"/>
        <v>11249439</v>
      </c>
      <c r="H14" s="103">
        <f t="shared" si="2"/>
        <v>0</v>
      </c>
      <c r="I14" s="103">
        <f t="shared" si="2"/>
        <v>2373848998</v>
      </c>
      <c r="J14" s="20">
        <f t="shared" si="2"/>
        <v>2379301836</v>
      </c>
      <c r="K14" s="20">
        <f t="shared" si="2"/>
        <v>11812500</v>
      </c>
      <c r="L14" s="20">
        <f t="shared" si="2"/>
        <v>0</v>
      </c>
      <c r="M14" s="20">
        <f>SUM(M15:M16)</f>
        <v>2391114336</v>
      </c>
      <c r="N14" s="49" t="s">
        <v>98</v>
      </c>
      <c r="O14" s="103">
        <f>SUM(O15:O16)</f>
        <v>283945269</v>
      </c>
      <c r="P14" s="103">
        <f>SUM(P15:P16)</f>
        <v>1107600</v>
      </c>
      <c r="Q14" s="103">
        <f>SUM(Q15:Q16)</f>
        <v>0</v>
      </c>
      <c r="R14" s="103">
        <f>SUM(R15:R16)</f>
        <v>285052869</v>
      </c>
      <c r="S14" s="103">
        <f aca="true" t="shared" si="3" ref="S14:Z14">SUM(S15:S16)</f>
        <v>263747015</v>
      </c>
      <c r="T14" s="103">
        <f t="shared" si="3"/>
        <v>351000</v>
      </c>
      <c r="U14" s="103">
        <f t="shared" si="3"/>
        <v>0</v>
      </c>
      <c r="V14" s="103">
        <f t="shared" si="3"/>
        <v>264098015</v>
      </c>
      <c r="W14" s="20">
        <f t="shared" si="3"/>
        <v>289356530</v>
      </c>
      <c r="X14" s="20">
        <f t="shared" si="3"/>
        <v>336000</v>
      </c>
      <c r="Y14" s="20">
        <f t="shared" si="3"/>
        <v>0</v>
      </c>
      <c r="Z14" s="20">
        <f t="shared" si="3"/>
        <v>289692530</v>
      </c>
    </row>
    <row r="15" spans="1:30" s="21" customFormat="1" ht="15.75">
      <c r="A15" s="23" t="s">
        <v>96</v>
      </c>
      <c r="B15" s="29">
        <v>2152065334</v>
      </c>
      <c r="C15" s="29">
        <v>11320777</v>
      </c>
      <c r="D15" s="29">
        <v>0</v>
      </c>
      <c r="E15" s="29">
        <f>SUM(B15:D15)</f>
        <v>2163386111</v>
      </c>
      <c r="F15" s="29">
        <f>2263848558-G15</f>
        <v>2252599119</v>
      </c>
      <c r="G15" s="29">
        <v>11249439</v>
      </c>
      <c r="H15" s="29">
        <v>0</v>
      </c>
      <c r="I15" s="29">
        <f>SUM(F15:H15)</f>
        <v>2263848558</v>
      </c>
      <c r="J15" s="29">
        <f>4!B20</f>
        <v>2200528243</v>
      </c>
      <c r="K15" s="29">
        <f>4!C20</f>
        <v>11812500</v>
      </c>
      <c r="L15" s="29">
        <f>4!D20</f>
        <v>0</v>
      </c>
      <c r="M15" s="39">
        <f>SUM(J15:L15)</f>
        <v>2212340743</v>
      </c>
      <c r="N15" s="23" t="s">
        <v>96</v>
      </c>
      <c r="O15" s="29">
        <v>18012112</v>
      </c>
      <c r="P15" s="29">
        <v>327600</v>
      </c>
      <c r="Q15" s="29">
        <v>0</v>
      </c>
      <c r="R15" s="29">
        <f>SUM(O15:Q15)</f>
        <v>18339712</v>
      </c>
      <c r="S15" s="29">
        <f>17872106-T15</f>
        <v>17521106</v>
      </c>
      <c r="T15" s="29">
        <v>351000</v>
      </c>
      <c r="U15" s="29">
        <v>0</v>
      </c>
      <c r="V15" s="29">
        <f>SUM(S15:U15)</f>
        <v>17872106</v>
      </c>
      <c r="W15" s="29">
        <v>21053037</v>
      </c>
      <c r="X15" s="29">
        <f>5!C16</f>
        <v>336000</v>
      </c>
      <c r="Y15" s="29">
        <f>5!D16</f>
        <v>0</v>
      </c>
      <c r="Z15" s="29">
        <f>SUM(W15:Y15)</f>
        <v>21389037</v>
      </c>
      <c r="AD15" s="303"/>
    </row>
    <row r="16" spans="1:26" s="21" customFormat="1" ht="15" customHeight="1">
      <c r="A16" s="23" t="s">
        <v>97</v>
      </c>
      <c r="B16" s="29">
        <v>117704050</v>
      </c>
      <c r="C16" s="29">
        <v>0</v>
      </c>
      <c r="D16" s="29">
        <v>0</v>
      </c>
      <c r="E16" s="29">
        <f>SUM(B16:D16)</f>
        <v>117704050</v>
      </c>
      <c r="F16" s="29">
        <v>110000440</v>
      </c>
      <c r="G16" s="29">
        <v>0</v>
      </c>
      <c r="H16" s="29">
        <v>0</v>
      </c>
      <c r="I16" s="29">
        <f>SUM(F16:H16)</f>
        <v>110000440</v>
      </c>
      <c r="J16" s="29">
        <f>6!C257</f>
        <v>178773593</v>
      </c>
      <c r="K16" s="29">
        <f>6!D257</f>
        <v>0</v>
      </c>
      <c r="L16" s="29">
        <f>6!E257</f>
        <v>0</v>
      </c>
      <c r="M16" s="29">
        <f>6!F257</f>
        <v>178773593</v>
      </c>
      <c r="N16" s="23" t="s">
        <v>97</v>
      </c>
      <c r="O16" s="29">
        <v>265933157</v>
      </c>
      <c r="P16" s="29">
        <v>780000</v>
      </c>
      <c r="Q16" s="29">
        <v>0</v>
      </c>
      <c r="R16" s="29">
        <f>SUM(O16:Q16)</f>
        <v>266713157</v>
      </c>
      <c r="S16" s="29">
        <v>246225909</v>
      </c>
      <c r="T16" s="29">
        <v>0</v>
      </c>
      <c r="U16" s="29">
        <v>0</v>
      </c>
      <c r="V16" s="29">
        <f>SUM(S16:U16)</f>
        <v>246225909</v>
      </c>
      <c r="W16" s="29">
        <f>7!C90</f>
        <v>268303493</v>
      </c>
      <c r="X16" s="29">
        <f>7!D90</f>
        <v>0</v>
      </c>
      <c r="Y16" s="29">
        <f>7!E90</f>
        <v>0</v>
      </c>
      <c r="Z16" s="29">
        <f>SUM(W16:Y16)</f>
        <v>268303493</v>
      </c>
    </row>
    <row r="17" spans="1:26" s="21" customFormat="1" ht="15.75">
      <c r="A17" s="54" t="s">
        <v>86</v>
      </c>
      <c r="B17" s="103">
        <f>SUM(B18:B19)</f>
        <v>2146465344</v>
      </c>
      <c r="C17" s="103">
        <f>SUM(C18:C19)</f>
        <v>9500000</v>
      </c>
      <c r="D17" s="103">
        <f>SUM(D18:D19)</f>
        <v>0</v>
      </c>
      <c r="E17" s="103">
        <f>SUM(E18:E19)</f>
        <v>2155965344</v>
      </c>
      <c r="F17" s="103">
        <f aca="true" t="shared" si="4" ref="F17:L17">SUM(F18:F19)</f>
        <v>2244290232</v>
      </c>
      <c r="G17" s="103">
        <f t="shared" si="4"/>
        <v>0</v>
      </c>
      <c r="H17" s="103">
        <f t="shared" si="4"/>
        <v>0</v>
      </c>
      <c r="I17" s="103">
        <f t="shared" si="4"/>
        <v>2244290232</v>
      </c>
      <c r="J17" s="20">
        <f t="shared" si="4"/>
        <v>2612000000</v>
      </c>
      <c r="K17" s="20">
        <f t="shared" si="4"/>
        <v>0</v>
      </c>
      <c r="L17" s="20">
        <f t="shared" si="4"/>
        <v>0</v>
      </c>
      <c r="M17" s="20">
        <f>SUM(M18:M19)</f>
        <v>2612000000</v>
      </c>
      <c r="N17" s="49" t="s">
        <v>99</v>
      </c>
      <c r="O17" s="103">
        <f>SUM(O18:O19)</f>
        <v>1800262401</v>
      </c>
      <c r="P17" s="103">
        <f>SUM(P18:P19)</f>
        <v>34783786</v>
      </c>
      <c r="Q17" s="103">
        <f>SUM(Q18:Q19)</f>
        <v>0</v>
      </c>
      <c r="R17" s="103">
        <f>SUM(R18:R19)</f>
        <v>1835046187</v>
      </c>
      <c r="S17" s="103">
        <f aca="true" t="shared" si="5" ref="S17:Z17">SUM(S18:S19)</f>
        <v>1689144402</v>
      </c>
      <c r="T17" s="103">
        <f t="shared" si="5"/>
        <v>46010146</v>
      </c>
      <c r="U17" s="103">
        <f t="shared" si="5"/>
        <v>0</v>
      </c>
      <c r="V17" s="103">
        <f t="shared" si="5"/>
        <v>1735154548</v>
      </c>
      <c r="W17" s="20">
        <f t="shared" si="5"/>
        <v>1716569186</v>
      </c>
      <c r="X17" s="20">
        <f t="shared" si="5"/>
        <v>82141304</v>
      </c>
      <c r="Y17" s="20">
        <f t="shared" si="5"/>
        <v>0</v>
      </c>
      <c r="Z17" s="20">
        <f t="shared" si="5"/>
        <v>1798710490</v>
      </c>
    </row>
    <row r="18" spans="1:26" s="21" customFormat="1" ht="15.75">
      <c r="A18" s="23" t="s">
        <v>96</v>
      </c>
      <c r="B18" s="29">
        <v>2145615344</v>
      </c>
      <c r="C18" s="29">
        <v>9500000</v>
      </c>
      <c r="D18" s="29">
        <v>0</v>
      </c>
      <c r="E18" s="29">
        <f>SUM(B18:D18)</f>
        <v>2155115344</v>
      </c>
      <c r="F18" s="29">
        <v>2244290232</v>
      </c>
      <c r="G18" s="29">
        <v>0</v>
      </c>
      <c r="H18" s="29">
        <v>0</v>
      </c>
      <c r="I18" s="29">
        <f>SUM(F18:H18)</f>
        <v>2244290232</v>
      </c>
      <c r="J18" s="29">
        <f>4!B30</f>
        <v>2612000000</v>
      </c>
      <c r="K18" s="29">
        <f>4!C30</f>
        <v>0</v>
      </c>
      <c r="L18" s="29">
        <f>4!D30</f>
        <v>0</v>
      </c>
      <c r="M18" s="29">
        <f>SUM(J18:L18)</f>
        <v>2612000000</v>
      </c>
      <c r="N18" s="23" t="s">
        <v>96</v>
      </c>
      <c r="O18" s="29">
        <v>1117819337</v>
      </c>
      <c r="P18" s="29">
        <v>32305163</v>
      </c>
      <c r="Q18" s="29">
        <v>0</v>
      </c>
      <c r="R18" s="29">
        <f>SUM(O18:Q18)</f>
        <v>1150124500</v>
      </c>
      <c r="S18" s="29">
        <v>994837254</v>
      </c>
      <c r="T18" s="29">
        <v>46010146</v>
      </c>
      <c r="U18" s="29">
        <v>0</v>
      </c>
      <c r="V18" s="29">
        <f>SUM(S18:U18)</f>
        <v>1040847400</v>
      </c>
      <c r="W18" s="29">
        <f>5!B31</f>
        <v>815849763</v>
      </c>
      <c r="X18" s="29">
        <f>5!C31</f>
        <v>82141304</v>
      </c>
      <c r="Y18" s="29">
        <f>5!D31</f>
        <v>0</v>
      </c>
      <c r="Z18" s="29">
        <f>SUM(W18:Y18)</f>
        <v>897991067</v>
      </c>
    </row>
    <row r="19" spans="1:26" s="21" customFormat="1" ht="15.75">
      <c r="A19" s="23" t="s">
        <v>97</v>
      </c>
      <c r="B19" s="29">
        <v>850000</v>
      </c>
      <c r="C19" s="29">
        <v>0</v>
      </c>
      <c r="D19" s="29">
        <v>0</v>
      </c>
      <c r="E19" s="29">
        <f>SUM(B19:D19)</f>
        <v>850000</v>
      </c>
      <c r="F19" s="29">
        <v>0</v>
      </c>
      <c r="G19" s="29">
        <v>0</v>
      </c>
      <c r="H19" s="29">
        <v>0</v>
      </c>
      <c r="I19" s="29">
        <f>SUM(F19:H19)</f>
        <v>0</v>
      </c>
      <c r="J19" s="29">
        <v>0</v>
      </c>
      <c r="K19" s="29">
        <v>0</v>
      </c>
      <c r="L19" s="29">
        <v>0</v>
      </c>
      <c r="M19" s="29">
        <f>SUM(J19:L19)</f>
        <v>0</v>
      </c>
      <c r="N19" s="23" t="s">
        <v>97</v>
      </c>
      <c r="O19" s="29">
        <v>682443064</v>
      </c>
      <c r="P19" s="29">
        <v>2478623</v>
      </c>
      <c r="Q19" s="29">
        <v>0</v>
      </c>
      <c r="R19" s="29">
        <f>SUM(O19:Q19)</f>
        <v>684921687</v>
      </c>
      <c r="S19" s="29">
        <v>694307148</v>
      </c>
      <c r="T19" s="29">
        <v>0</v>
      </c>
      <c r="U19" s="29">
        <v>0</v>
      </c>
      <c r="V19" s="29">
        <f>SUM(S19:U19)</f>
        <v>694307148</v>
      </c>
      <c r="W19" s="29">
        <f>7!C91</f>
        <v>900719423</v>
      </c>
      <c r="X19" s="29">
        <f>7!D91</f>
        <v>0</v>
      </c>
      <c r="Y19" s="29">
        <f>7!E91</f>
        <v>0</v>
      </c>
      <c r="Z19" s="29">
        <f>SUM(W19:Y19)</f>
        <v>900719423</v>
      </c>
    </row>
    <row r="20" spans="1:26" s="21" customFormat="1" ht="15.75">
      <c r="A20" s="49" t="s">
        <v>87</v>
      </c>
      <c r="B20" s="103">
        <f>SUM(B21:B22)</f>
        <v>687358886</v>
      </c>
      <c r="C20" s="103">
        <f>SUM(C21:C22)</f>
        <v>14327586</v>
      </c>
      <c r="D20" s="103">
        <f>SUM(D21:D22)</f>
        <v>0</v>
      </c>
      <c r="E20" s="103">
        <f>SUM(E21:E22)</f>
        <v>701686472</v>
      </c>
      <c r="F20" s="103">
        <f aca="true" t="shared" si="6" ref="F20:L20">SUM(F21:F22)</f>
        <v>21066759</v>
      </c>
      <c r="G20" s="103">
        <f t="shared" si="6"/>
        <v>9500000</v>
      </c>
      <c r="H20" s="103">
        <f t="shared" si="6"/>
        <v>0</v>
      </c>
      <c r="I20" s="103">
        <f t="shared" si="6"/>
        <v>30566759</v>
      </c>
      <c r="J20" s="20">
        <f t="shared" si="6"/>
        <v>8800000</v>
      </c>
      <c r="K20" s="20">
        <f t="shared" si="6"/>
        <v>9500000</v>
      </c>
      <c r="L20" s="20">
        <f t="shared" si="6"/>
        <v>0</v>
      </c>
      <c r="M20" s="20">
        <f>SUM(M21:M22)</f>
        <v>18300000</v>
      </c>
      <c r="N20" s="43" t="s">
        <v>100</v>
      </c>
      <c r="O20" s="103">
        <f>SUM(O21:O22)</f>
        <v>75913000</v>
      </c>
      <c r="P20" s="103">
        <f>SUM(P21:P22)</f>
        <v>8500000</v>
      </c>
      <c r="Q20" s="103">
        <f>SUM(Q21:Q22)</f>
        <v>0</v>
      </c>
      <c r="R20" s="103">
        <f>SUM(R21:R22)</f>
        <v>84413000</v>
      </c>
      <c r="S20" s="103">
        <f aca="true" t="shared" si="7" ref="S20:Z20">SUM(S21:S22)</f>
        <v>30129497</v>
      </c>
      <c r="T20" s="103">
        <f t="shared" si="7"/>
        <v>16000000</v>
      </c>
      <c r="U20" s="103">
        <f t="shared" si="7"/>
        <v>0</v>
      </c>
      <c r="V20" s="103">
        <f t="shared" si="7"/>
        <v>46129497</v>
      </c>
      <c r="W20" s="20">
        <f t="shared" si="7"/>
        <v>9700000</v>
      </c>
      <c r="X20" s="20">
        <f t="shared" si="7"/>
        <v>40674600</v>
      </c>
      <c r="Y20" s="20">
        <f t="shared" si="7"/>
        <v>0</v>
      </c>
      <c r="Z20" s="20">
        <f t="shared" si="7"/>
        <v>50374600</v>
      </c>
    </row>
    <row r="21" spans="1:26" s="21" customFormat="1" ht="15.75">
      <c r="A21" s="23" t="s">
        <v>96</v>
      </c>
      <c r="B21" s="29">
        <v>533241195</v>
      </c>
      <c r="C21" s="29">
        <v>13413186</v>
      </c>
      <c r="D21" s="29">
        <v>0</v>
      </c>
      <c r="E21" s="29">
        <f>SUM(B21:D21)</f>
        <v>546654381</v>
      </c>
      <c r="F21" s="29">
        <f>30566759-G21</f>
        <v>21066759</v>
      </c>
      <c r="G21" s="29">
        <v>9500000</v>
      </c>
      <c r="H21" s="29">
        <v>0</v>
      </c>
      <c r="I21" s="29">
        <f>SUM(F21:H21)</f>
        <v>30566759</v>
      </c>
      <c r="J21" s="29">
        <f>4!B34</f>
        <v>8800000</v>
      </c>
      <c r="K21" s="29">
        <f>4!C34</f>
        <v>9500000</v>
      </c>
      <c r="L21" s="29">
        <f>4!D34</f>
        <v>0</v>
      </c>
      <c r="M21" s="39">
        <f>SUM(J21:L21)</f>
        <v>18300000</v>
      </c>
      <c r="N21" s="23" t="s">
        <v>96</v>
      </c>
      <c r="O21" s="29">
        <v>75913000</v>
      </c>
      <c r="P21" s="29">
        <v>8500000</v>
      </c>
      <c r="Q21" s="29">
        <v>0</v>
      </c>
      <c r="R21" s="29">
        <f>SUM(O21:Q21)</f>
        <v>84413000</v>
      </c>
      <c r="S21" s="29">
        <f>46129497-16000000</f>
        <v>30129497</v>
      </c>
      <c r="T21" s="29">
        <v>16000000</v>
      </c>
      <c r="U21" s="29">
        <v>0</v>
      </c>
      <c r="V21" s="29">
        <f>SUM(S21:U21)</f>
        <v>46129497</v>
      </c>
      <c r="W21" s="29">
        <f>5!B34</f>
        <v>9700000</v>
      </c>
      <c r="X21" s="29">
        <f>5!C34</f>
        <v>40674600</v>
      </c>
      <c r="Y21" s="29">
        <f>5!D34</f>
        <v>0</v>
      </c>
      <c r="Z21" s="29">
        <f>SUM(W21:Y21)</f>
        <v>50374600</v>
      </c>
    </row>
    <row r="22" spans="1:26" s="21" customFormat="1" ht="15.75">
      <c r="A22" s="23" t="s">
        <v>97</v>
      </c>
      <c r="B22" s="29">
        <v>154117691</v>
      </c>
      <c r="C22" s="29">
        <v>914400</v>
      </c>
      <c r="D22" s="29">
        <v>0</v>
      </c>
      <c r="E22" s="29">
        <f>SUM(B22:D22)</f>
        <v>155032091</v>
      </c>
      <c r="F22" s="29">
        <v>0</v>
      </c>
      <c r="G22" s="29">
        <v>0</v>
      </c>
      <c r="H22" s="29">
        <v>0</v>
      </c>
      <c r="I22" s="29">
        <f>SUM(F22:H22)</f>
        <v>0</v>
      </c>
      <c r="J22" s="29">
        <f>6!C259</f>
        <v>0</v>
      </c>
      <c r="K22" s="29">
        <f>6!D259</f>
        <v>0</v>
      </c>
      <c r="L22" s="29">
        <f>6!E259</f>
        <v>0</v>
      </c>
      <c r="M22" s="29">
        <f>6!F259</f>
        <v>0</v>
      </c>
      <c r="N22" s="23" t="s">
        <v>97</v>
      </c>
      <c r="O22" s="29">
        <v>0</v>
      </c>
      <c r="P22" s="29">
        <v>0</v>
      </c>
      <c r="Q22" s="29">
        <v>0</v>
      </c>
      <c r="R22" s="29">
        <f>SUM(O22:Q22)</f>
        <v>0</v>
      </c>
      <c r="S22" s="29">
        <v>0</v>
      </c>
      <c r="T22" s="29">
        <v>0</v>
      </c>
      <c r="U22" s="29">
        <v>0</v>
      </c>
      <c r="V22" s="29">
        <f>SUM(S22:U22)</f>
        <v>0</v>
      </c>
      <c r="W22" s="29">
        <f>7!C92</f>
        <v>0</v>
      </c>
      <c r="X22" s="29">
        <f>7!D92</f>
        <v>0</v>
      </c>
      <c r="Y22" s="29">
        <f>7!E92</f>
        <v>0</v>
      </c>
      <c r="Z22" s="29">
        <f>SUM(W22:Y22)</f>
        <v>0</v>
      </c>
    </row>
    <row r="23" spans="1:26" s="21" customFormat="1" ht="15.75">
      <c r="A23" s="55" t="s">
        <v>88</v>
      </c>
      <c r="B23" s="103">
        <f>SUM(B24:B25)</f>
        <v>500000</v>
      </c>
      <c r="C23" s="103">
        <f>SUM(C24:C25)</f>
        <v>89560000</v>
      </c>
      <c r="D23" s="103">
        <f>SUM(D24:D25)</f>
        <v>0</v>
      </c>
      <c r="E23" s="103">
        <f>SUM(E24:E25)</f>
        <v>90060000</v>
      </c>
      <c r="F23" s="103">
        <f aca="true" t="shared" si="8" ref="F23:L23">SUM(F24:F25)</f>
        <v>401999574</v>
      </c>
      <c r="G23" s="103">
        <f t="shared" si="8"/>
        <v>14638469</v>
      </c>
      <c r="H23" s="103">
        <f t="shared" si="8"/>
        <v>0</v>
      </c>
      <c r="I23" s="103">
        <f t="shared" si="8"/>
        <v>416638043</v>
      </c>
      <c r="J23" s="20">
        <f t="shared" si="8"/>
        <v>667856312</v>
      </c>
      <c r="K23" s="20">
        <f t="shared" si="8"/>
        <v>15458092</v>
      </c>
      <c r="L23" s="20">
        <f t="shared" si="8"/>
        <v>0</v>
      </c>
      <c r="M23" s="20">
        <f>SUM(M24:M25)</f>
        <v>683314404</v>
      </c>
      <c r="N23" s="43" t="s">
        <v>101</v>
      </c>
      <c r="O23" s="103">
        <f>SUM(O24:O25)</f>
        <v>1257731826</v>
      </c>
      <c r="P23" s="103">
        <f>SUM(P24:P25)</f>
        <v>108629570</v>
      </c>
      <c r="Q23" s="103">
        <f>SUM(Q24:Q25)</f>
        <v>0</v>
      </c>
      <c r="R23" s="103">
        <f>SUM(R24:R25)</f>
        <v>1366361396</v>
      </c>
      <c r="S23" s="103">
        <f aca="true" t="shared" si="9" ref="S23:Y23">SUM(S24:S25)</f>
        <v>1251668053</v>
      </c>
      <c r="T23" s="103">
        <f t="shared" si="9"/>
        <v>78762000</v>
      </c>
      <c r="U23" s="103">
        <f t="shared" si="9"/>
        <v>0</v>
      </c>
      <c r="V23" s="103">
        <f t="shared" si="9"/>
        <v>1330430053</v>
      </c>
      <c r="W23" s="20">
        <f t="shared" si="9"/>
        <v>1770663554</v>
      </c>
      <c r="X23" s="20">
        <f t="shared" si="9"/>
        <v>166415000</v>
      </c>
      <c r="Y23" s="20">
        <f t="shared" si="9"/>
        <v>0</v>
      </c>
      <c r="Z23" s="20">
        <f>SUM(Z24:Z25)</f>
        <v>1937078554</v>
      </c>
    </row>
    <row r="24" spans="1:26" s="21" customFormat="1" ht="15.75">
      <c r="A24" s="23" t="s">
        <v>96</v>
      </c>
      <c r="B24" s="29"/>
      <c r="C24" s="29">
        <v>89560000</v>
      </c>
      <c r="D24" s="29">
        <v>0</v>
      </c>
      <c r="E24" s="29">
        <f>SUM(B24:D24)</f>
        <v>89560000</v>
      </c>
      <c r="F24" s="29">
        <f>207938043-G24</f>
        <v>193299574</v>
      </c>
      <c r="G24" s="29">
        <v>14638469</v>
      </c>
      <c r="H24" s="29">
        <v>0</v>
      </c>
      <c r="I24" s="29">
        <f>SUM(F24:H24)</f>
        <v>207938043</v>
      </c>
      <c r="J24" s="29">
        <f>4!B45</f>
        <v>445012876</v>
      </c>
      <c r="K24" s="29">
        <f>4!C45</f>
        <v>15458092</v>
      </c>
      <c r="L24" s="29">
        <f>4!D45</f>
        <v>0</v>
      </c>
      <c r="M24" s="29">
        <f>SUM(J24:L24)</f>
        <v>460470968</v>
      </c>
      <c r="N24" s="23" t="s">
        <v>96</v>
      </c>
      <c r="O24" s="29">
        <v>1189621205</v>
      </c>
      <c r="P24" s="29">
        <v>108629570</v>
      </c>
      <c r="Q24" s="29">
        <v>0</v>
      </c>
      <c r="R24" s="29">
        <f>SUM(O24:Q24)</f>
        <v>1298250775</v>
      </c>
      <c r="S24" s="29">
        <f>1330430053-T24</f>
        <v>1251668053</v>
      </c>
      <c r="T24" s="29">
        <v>78762000</v>
      </c>
      <c r="U24" s="29">
        <v>0</v>
      </c>
      <c r="V24" s="29">
        <f>SUM(S24:U24)</f>
        <v>1330430053</v>
      </c>
      <c r="W24" s="29">
        <f>5!B45</f>
        <v>1770663554</v>
      </c>
      <c r="X24" s="29">
        <f>5!C45</f>
        <v>166415000</v>
      </c>
      <c r="Y24" s="29">
        <f>5!D45</f>
        <v>0</v>
      </c>
      <c r="Z24" s="29">
        <f>SUM(W24:Y24)</f>
        <v>1937078554</v>
      </c>
    </row>
    <row r="25" spans="1:26" s="21" customFormat="1" ht="15.75">
      <c r="A25" s="23" t="s">
        <v>97</v>
      </c>
      <c r="B25" s="29">
        <v>500000</v>
      </c>
      <c r="C25" s="29">
        <v>0</v>
      </c>
      <c r="D25" s="29">
        <v>0</v>
      </c>
      <c r="E25" s="29">
        <f>SUM(B25:D25)</f>
        <v>500000</v>
      </c>
      <c r="F25" s="29">
        <v>208700000</v>
      </c>
      <c r="G25" s="29">
        <v>0</v>
      </c>
      <c r="H25" s="29">
        <v>0</v>
      </c>
      <c r="I25" s="29">
        <f>SUM(F25:H25)</f>
        <v>208700000</v>
      </c>
      <c r="J25" s="29">
        <f>6!C275</f>
        <v>222843436</v>
      </c>
      <c r="K25" s="29">
        <f>6!D275</f>
        <v>0</v>
      </c>
      <c r="L25" s="29">
        <f>6!E275</f>
        <v>0</v>
      </c>
      <c r="M25" s="29">
        <f>6!F275</f>
        <v>222843436</v>
      </c>
      <c r="N25" s="23" t="s">
        <v>97</v>
      </c>
      <c r="O25" s="29">
        <v>68110621</v>
      </c>
      <c r="P25" s="29">
        <v>0</v>
      </c>
      <c r="Q25" s="29">
        <v>0</v>
      </c>
      <c r="R25" s="29">
        <f>SUM(O25:Q25)</f>
        <v>68110621</v>
      </c>
      <c r="S25" s="29">
        <v>0</v>
      </c>
      <c r="T25" s="29">
        <v>0</v>
      </c>
      <c r="U25" s="29">
        <v>0</v>
      </c>
      <c r="V25" s="29">
        <f>SUM(S25:U25)</f>
        <v>0</v>
      </c>
      <c r="W25" s="29">
        <f>7!C93</f>
        <v>0</v>
      </c>
      <c r="X25" s="29">
        <f>7!D93</f>
        <v>0</v>
      </c>
      <c r="Y25" s="29">
        <f>7!E93</f>
        <v>0</v>
      </c>
      <c r="Z25" s="29">
        <f>SUM(W25:Y25)</f>
        <v>0</v>
      </c>
    </row>
    <row r="26" spans="1:26" s="21" customFormat="1" ht="15.75">
      <c r="A26" s="54" t="s">
        <v>89</v>
      </c>
      <c r="B26" s="103">
        <f>SUM(B27:B28)</f>
        <v>0</v>
      </c>
      <c r="C26" s="103">
        <f>SUM(C27:C28)</f>
        <v>0</v>
      </c>
      <c r="D26" s="103">
        <f>SUM(D27:D28)</f>
        <v>0</v>
      </c>
      <c r="E26" s="103">
        <f>SUM(E27:E28)</f>
        <v>0</v>
      </c>
      <c r="F26" s="103">
        <f aca="true" t="shared" si="10" ref="F26:M26">SUM(F27:F28)</f>
        <v>13081164</v>
      </c>
      <c r="G26" s="103">
        <f t="shared" si="10"/>
        <v>0</v>
      </c>
      <c r="H26" s="103">
        <f t="shared" si="10"/>
        <v>0</v>
      </c>
      <c r="I26" s="103">
        <f t="shared" si="10"/>
        <v>13081164</v>
      </c>
      <c r="J26" s="20">
        <f t="shared" si="10"/>
        <v>0</v>
      </c>
      <c r="K26" s="20">
        <f t="shared" si="10"/>
        <v>70680000</v>
      </c>
      <c r="L26" s="20">
        <f t="shared" si="10"/>
        <v>0</v>
      </c>
      <c r="M26" s="20">
        <f t="shared" si="10"/>
        <v>70680000</v>
      </c>
      <c r="N26" s="23" t="s">
        <v>158</v>
      </c>
      <c r="O26" s="104">
        <v>54183467</v>
      </c>
      <c r="P26" s="104">
        <v>1200000</v>
      </c>
      <c r="Q26" s="104">
        <f>SUM(Q27:Q28)</f>
        <v>0</v>
      </c>
      <c r="R26" s="104">
        <f>SUM(O26:Q26)</f>
        <v>55383467</v>
      </c>
      <c r="S26" s="104">
        <v>12000000</v>
      </c>
      <c r="T26" s="104">
        <v>0</v>
      </c>
      <c r="U26" s="104">
        <f>SUM(U27:U28)</f>
        <v>0</v>
      </c>
      <c r="V26" s="104">
        <f>SUM(S26:U26)</f>
        <v>12000000</v>
      </c>
      <c r="W26" s="29">
        <f>5!B46</f>
        <v>500167807</v>
      </c>
      <c r="X26" s="29">
        <f>5!C46</f>
        <v>12000000</v>
      </c>
      <c r="Y26" s="29">
        <f>5!D46</f>
        <v>0</v>
      </c>
      <c r="Z26" s="29">
        <f>5!E46</f>
        <v>512167807</v>
      </c>
    </row>
    <row r="27" spans="1:26" s="21" customFormat="1" ht="15.75">
      <c r="A27" s="23" t="s">
        <v>96</v>
      </c>
      <c r="B27" s="29">
        <v>0</v>
      </c>
      <c r="C27" s="29">
        <v>0</v>
      </c>
      <c r="D27" s="29">
        <v>0</v>
      </c>
      <c r="E27" s="29">
        <f>SUM(B27:D27)</f>
        <v>0</v>
      </c>
      <c r="F27" s="29">
        <v>13081164</v>
      </c>
      <c r="G27" s="29">
        <v>0</v>
      </c>
      <c r="H27" s="29">
        <v>0</v>
      </c>
      <c r="I27" s="29">
        <f>SUM(F27:H27)</f>
        <v>13081164</v>
      </c>
      <c r="J27" s="29">
        <f>4!B50</f>
        <v>0</v>
      </c>
      <c r="K27" s="29">
        <f>4!C50</f>
        <v>70680000</v>
      </c>
      <c r="L27" s="29">
        <f>4!D50</f>
        <v>0</v>
      </c>
      <c r="M27" s="29">
        <f>SUM(J27:L27)</f>
        <v>70680000</v>
      </c>
      <c r="N27" s="23"/>
      <c r="O27" s="29"/>
      <c r="P27" s="29"/>
      <c r="Q27" s="29"/>
      <c r="R27" s="29"/>
      <c r="S27" s="29"/>
      <c r="T27" s="29"/>
      <c r="U27" s="29"/>
      <c r="V27" s="29"/>
      <c r="W27" s="71"/>
      <c r="X27" s="71"/>
      <c r="Y27" s="71"/>
      <c r="Z27" s="29"/>
    </row>
    <row r="28" spans="1:26" s="21" customFormat="1" ht="15.75">
      <c r="A28" s="23" t="s">
        <v>97</v>
      </c>
      <c r="B28" s="29">
        <v>0</v>
      </c>
      <c r="C28" s="29">
        <v>0</v>
      </c>
      <c r="D28" s="29">
        <v>0</v>
      </c>
      <c r="E28" s="29">
        <f>SUM(B28:D28)</f>
        <v>0</v>
      </c>
      <c r="F28" s="29">
        <v>0</v>
      </c>
      <c r="G28" s="29">
        <v>0</v>
      </c>
      <c r="H28" s="29">
        <v>0</v>
      </c>
      <c r="I28" s="29">
        <f>SUM(F28:H28)</f>
        <v>0</v>
      </c>
      <c r="J28" s="29">
        <f>6!C277</f>
        <v>0</v>
      </c>
      <c r="K28" s="29">
        <f>6!D277</f>
        <v>0</v>
      </c>
      <c r="L28" s="29">
        <f>6!E277</f>
        <v>0</v>
      </c>
      <c r="M28" s="29">
        <f>SUM(J28:L28)</f>
        <v>0</v>
      </c>
      <c r="N28" s="23"/>
      <c r="O28" s="29"/>
      <c r="P28" s="29"/>
      <c r="Q28" s="29"/>
      <c r="R28" s="29"/>
      <c r="S28" s="29"/>
      <c r="T28" s="29"/>
      <c r="U28" s="29"/>
      <c r="V28" s="29"/>
      <c r="W28" s="71"/>
      <c r="X28" s="71"/>
      <c r="Y28" s="71"/>
      <c r="Z28" s="29"/>
    </row>
    <row r="29" spans="1:26" s="31" customFormat="1" ht="31.5">
      <c r="A29" s="22" t="s">
        <v>167</v>
      </c>
      <c r="B29" s="20">
        <f>B14+B20+B23+B26+B17</f>
        <v>5104093614</v>
      </c>
      <c r="C29" s="20">
        <f>C14+C20+C23+C26+C17</f>
        <v>124708363</v>
      </c>
      <c r="D29" s="20">
        <f aca="true" t="shared" si="11" ref="D29:L29">D14+D20+D23+D26+D17</f>
        <v>0</v>
      </c>
      <c r="E29" s="20">
        <f t="shared" si="11"/>
        <v>5228801977</v>
      </c>
      <c r="F29" s="20">
        <f t="shared" si="11"/>
        <v>5043037288</v>
      </c>
      <c r="G29" s="20">
        <f t="shared" si="11"/>
        <v>35387908</v>
      </c>
      <c r="H29" s="20">
        <f t="shared" si="11"/>
        <v>0</v>
      </c>
      <c r="I29" s="20">
        <f t="shared" si="11"/>
        <v>5078425196</v>
      </c>
      <c r="J29" s="20">
        <f>J14+J20+J23+J26+J17</f>
        <v>5667958148</v>
      </c>
      <c r="K29" s="20">
        <f t="shared" si="11"/>
        <v>107450592</v>
      </c>
      <c r="L29" s="20">
        <f t="shared" si="11"/>
        <v>0</v>
      </c>
      <c r="M29" s="20">
        <f>M14+M20+M23+M26+M17</f>
        <v>5775408740</v>
      </c>
      <c r="N29" s="22" t="s">
        <v>102</v>
      </c>
      <c r="O29" s="20">
        <f>O11+O14+O17+O20+O23</f>
        <v>4829059779</v>
      </c>
      <c r="P29" s="20">
        <f>P11+P14+P17+P20+P23</f>
        <v>158700956</v>
      </c>
      <c r="Q29" s="20">
        <f>Q11+Q14+Q17+Q20+Q23</f>
        <v>0</v>
      </c>
      <c r="R29" s="20">
        <f>R11+R14+R17+R20+R23</f>
        <v>4987760735</v>
      </c>
      <c r="S29" s="20">
        <f aca="true" t="shared" si="12" ref="S29:Z29">S11+S14+S17+S20+S23</f>
        <v>4662245804</v>
      </c>
      <c r="T29" s="20">
        <f t="shared" si="12"/>
        <v>142923146</v>
      </c>
      <c r="U29" s="20">
        <f t="shared" si="12"/>
        <v>0</v>
      </c>
      <c r="V29" s="20">
        <f t="shared" si="12"/>
        <v>4805168950</v>
      </c>
      <c r="W29" s="20">
        <f t="shared" si="12"/>
        <v>5353572272</v>
      </c>
      <c r="X29" s="20">
        <f t="shared" si="12"/>
        <v>291486904</v>
      </c>
      <c r="Y29" s="20">
        <f t="shared" si="12"/>
        <v>0</v>
      </c>
      <c r="Z29" s="20">
        <f t="shared" si="12"/>
        <v>5645059176</v>
      </c>
    </row>
    <row r="30" spans="1:26" s="31" customFormat="1" ht="15.75">
      <c r="A30" s="195" t="s">
        <v>163</v>
      </c>
      <c r="B30" s="98"/>
      <c r="C30" s="98"/>
      <c r="D30" s="98"/>
      <c r="E30" s="98"/>
      <c r="F30" s="98"/>
      <c r="G30" s="98"/>
      <c r="H30" s="98"/>
      <c r="I30" s="98"/>
      <c r="J30" s="99"/>
      <c r="K30" s="99"/>
      <c r="L30" s="99"/>
      <c r="M30" s="99"/>
      <c r="N30" s="98"/>
      <c r="O30" s="98"/>
      <c r="P30" s="98"/>
      <c r="Q30" s="98"/>
      <c r="R30" s="100">
        <f>E29-R29</f>
        <v>241041242</v>
      </c>
      <c r="S30" s="102"/>
      <c r="T30" s="98"/>
      <c r="U30" s="98"/>
      <c r="V30" s="100">
        <f>I29-V29</f>
        <v>273256246</v>
      </c>
      <c r="W30" s="105"/>
      <c r="X30" s="99"/>
      <c r="Y30" s="99"/>
      <c r="Z30" s="100">
        <f>M29-Z29</f>
        <v>130349564</v>
      </c>
    </row>
    <row r="31" spans="1:26" s="31" customFormat="1" ht="15.75">
      <c r="A31" s="318" t="s">
        <v>28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 t="s">
        <v>28</v>
      </c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 s="21" customFormat="1" ht="31.5">
      <c r="A32" s="57" t="s">
        <v>90</v>
      </c>
      <c r="B32" s="103">
        <f>SUM(B33:B34)</f>
        <v>1545719196</v>
      </c>
      <c r="C32" s="103">
        <f>SUM(C33:C34)</f>
        <v>0</v>
      </c>
      <c r="D32" s="103">
        <f>SUM(D33:D34)</f>
        <v>0</v>
      </c>
      <c r="E32" s="103">
        <f>SUM(E33:E34)</f>
        <v>1545719196</v>
      </c>
      <c r="F32" s="103">
        <f aca="true" t="shared" si="13" ref="F32:M32">SUM(F33:F34)</f>
        <v>220133220</v>
      </c>
      <c r="G32" s="103">
        <f t="shared" si="13"/>
        <v>0</v>
      </c>
      <c r="H32" s="103">
        <f t="shared" si="13"/>
        <v>0</v>
      </c>
      <c r="I32" s="103">
        <f t="shared" si="13"/>
        <v>220133220</v>
      </c>
      <c r="J32" s="40">
        <f t="shared" si="13"/>
        <v>1381731499</v>
      </c>
      <c r="K32" s="40">
        <f t="shared" si="13"/>
        <v>0</v>
      </c>
      <c r="L32" s="40">
        <f t="shared" si="13"/>
        <v>0</v>
      </c>
      <c r="M32" s="40">
        <f t="shared" si="13"/>
        <v>1381731499</v>
      </c>
      <c r="N32" s="50" t="s">
        <v>103</v>
      </c>
      <c r="O32" s="103">
        <f>SUM(O33:O34)</f>
        <v>1467694085</v>
      </c>
      <c r="P32" s="103">
        <f>SUM(P33:P34)</f>
        <v>0</v>
      </c>
      <c r="Q32" s="103">
        <f>SUM(Q33:Q34)</f>
        <v>0</v>
      </c>
      <c r="R32" s="103">
        <f>SUM(R33:R34)</f>
        <v>1467694085</v>
      </c>
      <c r="S32" s="103">
        <f aca="true" t="shared" si="14" ref="S32:Z32">SUM(S33:S34)</f>
        <v>352672252</v>
      </c>
      <c r="T32" s="103">
        <f t="shared" si="14"/>
        <v>254000</v>
      </c>
      <c r="U32" s="103">
        <f t="shared" si="14"/>
        <v>0</v>
      </c>
      <c r="V32" s="103">
        <f t="shared" si="14"/>
        <v>352926252</v>
      </c>
      <c r="W32" s="40">
        <f t="shared" si="14"/>
        <v>2092654618</v>
      </c>
      <c r="X32" s="40">
        <f t="shared" si="14"/>
        <v>50700236</v>
      </c>
      <c r="Y32" s="40">
        <f t="shared" si="14"/>
        <v>0</v>
      </c>
      <c r="Z32" s="40">
        <f t="shared" si="14"/>
        <v>2143354854</v>
      </c>
    </row>
    <row r="33" spans="1:26" s="21" customFormat="1" ht="15.75">
      <c r="A33" s="23" t="s">
        <v>96</v>
      </c>
      <c r="B33" s="29">
        <v>1545719196</v>
      </c>
      <c r="C33" s="29">
        <v>0</v>
      </c>
      <c r="D33" s="29">
        <v>0</v>
      </c>
      <c r="E33" s="29">
        <f>SUM(B33:D33)</f>
        <v>1545719196</v>
      </c>
      <c r="F33" s="29">
        <v>220133220</v>
      </c>
      <c r="G33" s="29">
        <v>0</v>
      </c>
      <c r="H33" s="29">
        <v>0</v>
      </c>
      <c r="I33" s="29">
        <f>SUM(F33:H33)</f>
        <v>220133220</v>
      </c>
      <c r="J33" s="29">
        <f>4!B28</f>
        <v>1381731499</v>
      </c>
      <c r="K33" s="29">
        <f>4!C28</f>
        <v>0</v>
      </c>
      <c r="L33" s="29">
        <f>4!D28</f>
        <v>0</v>
      </c>
      <c r="M33" s="29">
        <f>SUM(J33:L33)</f>
        <v>1381731499</v>
      </c>
      <c r="N33" s="23" t="s">
        <v>96</v>
      </c>
      <c r="O33" s="29">
        <v>1449341737</v>
      </c>
      <c r="P33" s="29"/>
      <c r="Q33" s="29">
        <v>0</v>
      </c>
      <c r="R33" s="29">
        <f>SUM(O33:Q33)</f>
        <v>1449341737</v>
      </c>
      <c r="S33" s="29">
        <f>330296235-T33</f>
        <v>330042235</v>
      </c>
      <c r="T33" s="29">
        <v>254000</v>
      </c>
      <c r="U33" s="29">
        <v>0</v>
      </c>
      <c r="V33" s="29">
        <f>SUM(S33:U33)</f>
        <v>330296235</v>
      </c>
      <c r="W33" s="29">
        <f>5!B58</f>
        <v>2066655068</v>
      </c>
      <c r="X33" s="29">
        <f>5!C58</f>
        <v>50700236</v>
      </c>
      <c r="Y33" s="29">
        <f>5!D58</f>
        <v>0</v>
      </c>
      <c r="Z33" s="29">
        <f>SUM(W33:Y33)</f>
        <v>2117355304</v>
      </c>
    </row>
    <row r="34" spans="1:26" s="21" customFormat="1" ht="15.75">
      <c r="A34" s="23" t="s">
        <v>97</v>
      </c>
      <c r="B34" s="29">
        <v>0</v>
      </c>
      <c r="C34" s="29">
        <v>0</v>
      </c>
      <c r="D34" s="29">
        <v>0</v>
      </c>
      <c r="E34" s="29">
        <f>SUM(B34:D34)</f>
        <v>0</v>
      </c>
      <c r="F34" s="29">
        <v>0</v>
      </c>
      <c r="G34" s="29">
        <v>0</v>
      </c>
      <c r="H34" s="29">
        <v>0</v>
      </c>
      <c r="I34" s="29">
        <f>SUM(F34:H34)</f>
        <v>0</v>
      </c>
      <c r="J34" s="29">
        <f>6!C281</f>
        <v>0</v>
      </c>
      <c r="K34" s="29">
        <f>6!D281</f>
        <v>0</v>
      </c>
      <c r="L34" s="29">
        <f>6!E281</f>
        <v>0</v>
      </c>
      <c r="M34" s="29">
        <f>6!F281</f>
        <v>0</v>
      </c>
      <c r="N34" s="23" t="s">
        <v>97</v>
      </c>
      <c r="O34" s="29">
        <v>18352348</v>
      </c>
      <c r="P34" s="29">
        <v>0</v>
      </c>
      <c r="Q34" s="29">
        <v>0</v>
      </c>
      <c r="R34" s="29">
        <f>SUM(O34:Q34)</f>
        <v>18352348</v>
      </c>
      <c r="S34" s="29">
        <v>22630017</v>
      </c>
      <c r="T34" s="29">
        <v>0</v>
      </c>
      <c r="U34" s="29">
        <v>0</v>
      </c>
      <c r="V34" s="29">
        <f>SUM(S34:U34)</f>
        <v>22630017</v>
      </c>
      <c r="W34" s="29">
        <f>7!C94</f>
        <v>25999550</v>
      </c>
      <c r="X34" s="29">
        <f>7!D94</f>
        <v>0</v>
      </c>
      <c r="Y34" s="29">
        <f>7!E94</f>
        <v>0</v>
      </c>
      <c r="Z34" s="29">
        <f>SUM(W34:Y34)</f>
        <v>25999550</v>
      </c>
    </row>
    <row r="35" spans="1:26" s="21" customFormat="1" ht="15.75">
      <c r="A35" s="54" t="s">
        <v>91</v>
      </c>
      <c r="B35" s="103">
        <f>SUM(B36:B37)</f>
        <v>503899834</v>
      </c>
      <c r="C35" s="103">
        <f>SUM(C36:C37)</f>
        <v>0</v>
      </c>
      <c r="D35" s="103">
        <f>SUM(D36:D37)</f>
        <v>0</v>
      </c>
      <c r="E35" s="103">
        <f>SUM(E36:E37)</f>
        <v>503899834</v>
      </c>
      <c r="F35" s="103">
        <f>SUM(F36:F37)</f>
        <v>85294848</v>
      </c>
      <c r="G35" s="103">
        <f aca="true" t="shared" si="15" ref="G35:M35">SUM(G36:G37)</f>
        <v>0</v>
      </c>
      <c r="H35" s="103">
        <f t="shared" si="15"/>
        <v>0</v>
      </c>
      <c r="I35" s="103">
        <f t="shared" si="15"/>
        <v>85294848</v>
      </c>
      <c r="J35" s="20">
        <f t="shared" si="15"/>
        <v>4000000</v>
      </c>
      <c r="K35" s="20">
        <f t="shared" si="15"/>
        <v>392124466</v>
      </c>
      <c r="L35" s="20">
        <f t="shared" si="15"/>
        <v>0</v>
      </c>
      <c r="M35" s="20">
        <f t="shared" si="15"/>
        <v>396124466</v>
      </c>
      <c r="N35" s="38" t="s">
        <v>104</v>
      </c>
      <c r="O35" s="103">
        <f>SUM(O36:O37)</f>
        <v>1145642763</v>
      </c>
      <c r="P35" s="103">
        <f>SUM(P36:P37)</f>
        <v>13192413</v>
      </c>
      <c r="Q35" s="103">
        <f>SUM(Q36:Q37)</f>
        <v>0</v>
      </c>
      <c r="R35" s="103">
        <f>SUM(R36:R37)</f>
        <v>1158835176</v>
      </c>
      <c r="S35" s="103">
        <f aca="true" t="shared" si="16" ref="S35:Z35">SUM(S36:S37)</f>
        <v>977056822</v>
      </c>
      <c r="T35" s="103">
        <f t="shared" si="16"/>
        <v>0</v>
      </c>
      <c r="U35" s="103">
        <f t="shared" si="16"/>
        <v>0</v>
      </c>
      <c r="V35" s="103">
        <f t="shared" si="16"/>
        <v>977056822</v>
      </c>
      <c r="W35" s="32">
        <f t="shared" si="16"/>
        <v>406988102</v>
      </c>
      <c r="X35" s="32">
        <f t="shared" si="16"/>
        <v>0</v>
      </c>
      <c r="Y35" s="32">
        <f t="shared" si="16"/>
        <v>0</v>
      </c>
      <c r="Z35" s="32">
        <f t="shared" si="16"/>
        <v>406988102</v>
      </c>
    </row>
    <row r="36" spans="1:26" s="21" customFormat="1" ht="15.75">
      <c r="A36" s="23" t="s">
        <v>96</v>
      </c>
      <c r="B36" s="29">
        <v>503511274</v>
      </c>
      <c r="C36" s="29">
        <v>0</v>
      </c>
      <c r="D36" s="29">
        <v>0</v>
      </c>
      <c r="E36" s="29">
        <f>SUM(B36:D36)</f>
        <v>503511274</v>
      </c>
      <c r="F36" s="29">
        <v>85294848</v>
      </c>
      <c r="G36" s="29">
        <v>0</v>
      </c>
      <c r="H36" s="29">
        <v>0</v>
      </c>
      <c r="I36" s="29">
        <f>SUM(F36:H36)</f>
        <v>85294848</v>
      </c>
      <c r="J36" s="29">
        <f>4!B48</f>
        <v>4000000</v>
      </c>
      <c r="K36" s="29">
        <f>4!C48</f>
        <v>392124466</v>
      </c>
      <c r="L36" s="29">
        <f>4!D48</f>
        <v>0</v>
      </c>
      <c r="M36" s="29">
        <f>SUM(J36:L36)</f>
        <v>396124466</v>
      </c>
      <c r="N36" s="23" t="s">
        <v>96</v>
      </c>
      <c r="O36" s="29">
        <v>1145642763</v>
      </c>
      <c r="P36" s="29"/>
      <c r="Q36" s="29">
        <v>0</v>
      </c>
      <c r="R36" s="29">
        <f>SUM(O36:Q36)</f>
        <v>1145642763</v>
      </c>
      <c r="S36" s="29">
        <v>977056822</v>
      </c>
      <c r="T36" s="29">
        <v>0</v>
      </c>
      <c r="U36" s="29">
        <v>0</v>
      </c>
      <c r="V36" s="29">
        <f>SUM(S36:U36)</f>
        <v>977056822</v>
      </c>
      <c r="W36" s="29">
        <f>5!B65</f>
        <v>406353102</v>
      </c>
      <c r="X36" s="29">
        <f>5!C65</f>
        <v>0</v>
      </c>
      <c r="Y36" s="29">
        <f>5!D65</f>
        <v>0</v>
      </c>
      <c r="Z36" s="29">
        <f>SUM(W36:Y36)</f>
        <v>406353102</v>
      </c>
    </row>
    <row r="37" spans="1:26" s="21" customFormat="1" ht="15.75">
      <c r="A37" s="23" t="s">
        <v>97</v>
      </c>
      <c r="B37" s="29">
        <v>388560</v>
      </c>
      <c r="C37" s="29">
        <v>0</v>
      </c>
      <c r="D37" s="29">
        <v>0</v>
      </c>
      <c r="E37" s="29">
        <f>SUM(B37:D37)</f>
        <v>388560</v>
      </c>
      <c r="F37" s="29">
        <v>0</v>
      </c>
      <c r="G37" s="29">
        <v>0</v>
      </c>
      <c r="H37" s="29">
        <v>0</v>
      </c>
      <c r="I37" s="29">
        <f>SUM(F37:H37)</f>
        <v>0</v>
      </c>
      <c r="J37" s="29">
        <f>6!C283</f>
        <v>0</v>
      </c>
      <c r="K37" s="29">
        <f>6!D283</f>
        <v>0</v>
      </c>
      <c r="L37" s="29">
        <f>6!E283</f>
        <v>0</v>
      </c>
      <c r="M37" s="29">
        <f>6!F283</f>
        <v>0</v>
      </c>
      <c r="N37" s="23" t="s">
        <v>97</v>
      </c>
      <c r="O37" s="29"/>
      <c r="P37" s="29">
        <v>13192413</v>
      </c>
      <c r="Q37" s="29">
        <v>0</v>
      </c>
      <c r="R37" s="29">
        <f>SUM(O37:Q37)</f>
        <v>13192413</v>
      </c>
      <c r="S37" s="29">
        <v>0</v>
      </c>
      <c r="T37" s="29">
        <v>0</v>
      </c>
      <c r="U37" s="29">
        <v>0</v>
      </c>
      <c r="V37" s="29">
        <f>SUM(S37:U37)</f>
        <v>0</v>
      </c>
      <c r="W37" s="29">
        <f>7!C95</f>
        <v>635000</v>
      </c>
      <c r="X37" s="29">
        <f>7!D95</f>
        <v>0</v>
      </c>
      <c r="Y37" s="29">
        <f>7!E95</f>
        <v>0</v>
      </c>
      <c r="Z37" s="29">
        <f>SUM(W37:Y37)</f>
        <v>635000</v>
      </c>
    </row>
    <row r="38" spans="1:26" s="21" customFormat="1" ht="31.5">
      <c r="A38" s="49" t="s">
        <v>68</v>
      </c>
      <c r="B38" s="103">
        <f>SUM(B39:B40)</f>
        <v>8855000</v>
      </c>
      <c r="C38" s="103">
        <f>SUM(C39:C40)</f>
        <v>30000000</v>
      </c>
      <c r="D38" s="103">
        <f>SUM(D39:D40)</f>
        <v>0</v>
      </c>
      <c r="E38" s="103">
        <f>SUM(E39:E40)</f>
        <v>38855000</v>
      </c>
      <c r="F38" s="103">
        <f aca="true" t="shared" si="17" ref="F38:M38">SUM(F39:F40)</f>
        <v>0</v>
      </c>
      <c r="G38" s="103">
        <f t="shared" si="17"/>
        <v>10000000</v>
      </c>
      <c r="H38" s="103">
        <f t="shared" si="17"/>
        <v>0</v>
      </c>
      <c r="I38" s="103">
        <f t="shared" si="17"/>
        <v>10000000</v>
      </c>
      <c r="J38" s="20">
        <f t="shared" si="17"/>
        <v>1600032</v>
      </c>
      <c r="K38" s="20">
        <f t="shared" si="17"/>
        <v>5000000</v>
      </c>
      <c r="L38" s="20">
        <f t="shared" si="17"/>
        <v>0</v>
      </c>
      <c r="M38" s="20">
        <f t="shared" si="17"/>
        <v>6600032</v>
      </c>
      <c r="N38" s="43" t="s">
        <v>105</v>
      </c>
      <c r="O38" s="103">
        <f>SUM(O39:O40)</f>
        <v>336545002</v>
      </c>
      <c r="P38" s="103">
        <f>SUM(P39:P40)</f>
        <v>72400000</v>
      </c>
      <c r="Q38" s="103">
        <f>SUM(Q39:Q40)</f>
        <v>0</v>
      </c>
      <c r="R38" s="103">
        <f>SUM(R39:R40)</f>
        <v>408945002</v>
      </c>
      <c r="S38" s="103">
        <f aca="true" t="shared" si="18" ref="S38:Z38">SUM(S39:S40)</f>
        <v>107237362</v>
      </c>
      <c r="T38" s="103">
        <f t="shared" si="18"/>
        <v>0</v>
      </c>
      <c r="U38" s="103">
        <f t="shared" si="18"/>
        <v>0</v>
      </c>
      <c r="V38" s="103">
        <f t="shared" si="18"/>
        <v>107237362</v>
      </c>
      <c r="W38" s="20">
        <f t="shared" si="18"/>
        <v>579351047</v>
      </c>
      <c r="X38" s="20">
        <f t="shared" si="18"/>
        <v>18900000</v>
      </c>
      <c r="Y38" s="20">
        <f t="shared" si="18"/>
        <v>0</v>
      </c>
      <c r="Z38" s="20">
        <f t="shared" si="18"/>
        <v>598251047</v>
      </c>
    </row>
    <row r="39" spans="1:26" s="21" customFormat="1" ht="15.75">
      <c r="A39" s="23" t="s">
        <v>96</v>
      </c>
      <c r="B39" s="29">
        <v>3200000</v>
      </c>
      <c r="C39" s="29">
        <v>30000000</v>
      </c>
      <c r="D39" s="29">
        <v>0</v>
      </c>
      <c r="E39" s="29">
        <f>SUM(B39:D39)</f>
        <v>33200000</v>
      </c>
      <c r="F39" s="29">
        <v>0</v>
      </c>
      <c r="G39" s="29">
        <v>10000000</v>
      </c>
      <c r="H39" s="29">
        <v>0</v>
      </c>
      <c r="I39" s="29">
        <f>SUM(F39:H39)</f>
        <v>10000000</v>
      </c>
      <c r="J39" s="29">
        <f>4!B53</f>
        <v>0</v>
      </c>
      <c r="K39" s="29">
        <f>4!C53</f>
        <v>5000000</v>
      </c>
      <c r="L39" s="29">
        <f>4!D53</f>
        <v>0</v>
      </c>
      <c r="M39" s="29">
        <f>SUM(J39:L39)</f>
        <v>5000000</v>
      </c>
      <c r="N39" s="23" t="s">
        <v>96</v>
      </c>
      <c r="O39" s="29">
        <v>331545002</v>
      </c>
      <c r="P39" s="29">
        <v>72400000</v>
      </c>
      <c r="Q39" s="29">
        <v>0</v>
      </c>
      <c r="R39" s="29">
        <f>SUM(O39:Q39)</f>
        <v>403945002</v>
      </c>
      <c r="S39" s="29">
        <v>107237362</v>
      </c>
      <c r="T39" s="29">
        <v>0</v>
      </c>
      <c r="U39" s="29">
        <v>0</v>
      </c>
      <c r="V39" s="29">
        <f>SUM(S39:U39)</f>
        <v>107237362</v>
      </c>
      <c r="W39" s="29">
        <f>5!B68</f>
        <v>578351047</v>
      </c>
      <c r="X39" s="29">
        <f>5!C68</f>
        <v>18900000</v>
      </c>
      <c r="Y39" s="29">
        <f>5!D68</f>
        <v>0</v>
      </c>
      <c r="Z39" s="29">
        <f>SUM(W39:Y39)</f>
        <v>597251047</v>
      </c>
    </row>
    <row r="40" spans="1:26" s="21" customFormat="1" ht="15.75">
      <c r="A40" s="23" t="s">
        <v>97</v>
      </c>
      <c r="B40" s="29">
        <v>5655000</v>
      </c>
      <c r="C40" s="29">
        <v>0</v>
      </c>
      <c r="D40" s="29">
        <v>0</v>
      </c>
      <c r="E40" s="29">
        <f>SUM(B40:D40)</f>
        <v>5655000</v>
      </c>
      <c r="F40" s="29">
        <v>0</v>
      </c>
      <c r="G40" s="29">
        <v>0</v>
      </c>
      <c r="H40" s="29">
        <v>0</v>
      </c>
      <c r="I40" s="29">
        <f>SUM(F40:H40)</f>
        <v>0</v>
      </c>
      <c r="J40" s="29">
        <f>6!C285</f>
        <v>1600032</v>
      </c>
      <c r="K40" s="29">
        <f>6!D285</f>
        <v>0</v>
      </c>
      <c r="L40" s="29">
        <f>6!E285</f>
        <v>0</v>
      </c>
      <c r="M40" s="29">
        <f>6!F285</f>
        <v>1600032</v>
      </c>
      <c r="N40" s="23" t="s">
        <v>97</v>
      </c>
      <c r="O40" s="29">
        <v>5000000</v>
      </c>
      <c r="P40" s="29">
        <v>0</v>
      </c>
      <c r="Q40" s="29">
        <v>0</v>
      </c>
      <c r="R40" s="29">
        <f>SUM(O40:Q40)</f>
        <v>5000000</v>
      </c>
      <c r="S40" s="29">
        <v>0</v>
      </c>
      <c r="T40" s="29">
        <v>0</v>
      </c>
      <c r="U40" s="29">
        <v>0</v>
      </c>
      <c r="V40" s="29">
        <f>SUM(S40:U40)</f>
        <v>0</v>
      </c>
      <c r="W40" s="29">
        <f>7!C96</f>
        <v>1000000</v>
      </c>
      <c r="X40" s="29">
        <f>7!D96</f>
        <v>0</v>
      </c>
      <c r="Y40" s="29">
        <f>7!E96</f>
        <v>0</v>
      </c>
      <c r="Z40" s="29">
        <f>SUM(W40:Y40)</f>
        <v>1000000</v>
      </c>
    </row>
    <row r="41" spans="1:26" s="21" customFormat="1" ht="31.5">
      <c r="A41" s="22" t="s">
        <v>92</v>
      </c>
      <c r="B41" s="20">
        <f>B32+B35+B38</f>
        <v>2058474030</v>
      </c>
      <c r="C41" s="20">
        <f>C32+C35+C38</f>
        <v>30000000</v>
      </c>
      <c r="D41" s="20">
        <f>D32+D35+D38</f>
        <v>0</v>
      </c>
      <c r="E41" s="20">
        <f>E32+E35+E38</f>
        <v>2088474030</v>
      </c>
      <c r="F41" s="20">
        <f aca="true" t="shared" si="19" ref="F41:M41">F32+F35+F38</f>
        <v>305428068</v>
      </c>
      <c r="G41" s="20">
        <f t="shared" si="19"/>
        <v>10000000</v>
      </c>
      <c r="H41" s="20">
        <f t="shared" si="19"/>
        <v>0</v>
      </c>
      <c r="I41" s="20">
        <f t="shared" si="19"/>
        <v>315428068</v>
      </c>
      <c r="J41" s="20">
        <f t="shared" si="19"/>
        <v>1387331531</v>
      </c>
      <c r="K41" s="20">
        <f t="shared" si="19"/>
        <v>397124466</v>
      </c>
      <c r="L41" s="20">
        <f t="shared" si="19"/>
        <v>0</v>
      </c>
      <c r="M41" s="20">
        <f t="shared" si="19"/>
        <v>1784455997</v>
      </c>
      <c r="N41" s="22" t="s">
        <v>106</v>
      </c>
      <c r="O41" s="107">
        <f>O32+O35+O38</f>
        <v>2949881850</v>
      </c>
      <c r="P41" s="107">
        <f>P32+P35+P38</f>
        <v>85592413</v>
      </c>
      <c r="Q41" s="107">
        <f>Q32+Q35+Q38</f>
        <v>0</v>
      </c>
      <c r="R41" s="107">
        <f>R32+R35+R38</f>
        <v>3035474263</v>
      </c>
      <c r="S41" s="107">
        <f aca="true" t="shared" si="20" ref="S41:Y41">S32+S35+S38</f>
        <v>1436966436</v>
      </c>
      <c r="T41" s="107">
        <f t="shared" si="20"/>
        <v>254000</v>
      </c>
      <c r="U41" s="107">
        <f t="shared" si="20"/>
        <v>0</v>
      </c>
      <c r="V41" s="107">
        <f t="shared" si="20"/>
        <v>1437220436</v>
      </c>
      <c r="W41" s="107">
        <f t="shared" si="20"/>
        <v>3078993767</v>
      </c>
      <c r="X41" s="107">
        <f t="shared" si="20"/>
        <v>69600236</v>
      </c>
      <c r="Y41" s="107">
        <f t="shared" si="20"/>
        <v>0</v>
      </c>
      <c r="Z41" s="107">
        <f>Z32+Z35+Z38</f>
        <v>3148594003</v>
      </c>
    </row>
    <row r="42" spans="1:26" s="21" customFormat="1" ht="15.75">
      <c r="A42" s="195" t="s">
        <v>164</v>
      </c>
      <c r="B42" s="102"/>
      <c r="C42" s="102"/>
      <c r="D42" s="102"/>
      <c r="E42" s="102"/>
      <c r="F42" s="102"/>
      <c r="G42" s="102"/>
      <c r="H42" s="102"/>
      <c r="I42" s="102"/>
      <c r="J42" s="20"/>
      <c r="K42" s="20"/>
      <c r="L42" s="20"/>
      <c r="M42" s="20"/>
      <c r="N42" s="102"/>
      <c r="O42" s="102"/>
      <c r="P42" s="98"/>
      <c r="Q42" s="98"/>
      <c r="R42" s="106">
        <f>E41-R41</f>
        <v>-947000233</v>
      </c>
      <c r="S42" s="102"/>
      <c r="T42" s="98"/>
      <c r="U42" s="98"/>
      <c r="V42" s="106">
        <f>I41-V41</f>
        <v>-1121792368</v>
      </c>
      <c r="W42" s="110"/>
      <c r="X42" s="109"/>
      <c r="Y42" s="109"/>
      <c r="Z42" s="106">
        <f>M41-Z41</f>
        <v>-1364138006</v>
      </c>
    </row>
    <row r="43" spans="1:26" s="21" customFormat="1" ht="15.75">
      <c r="A43" s="22" t="s">
        <v>95</v>
      </c>
      <c r="B43" s="20">
        <f>B29+B41</f>
        <v>7162567644</v>
      </c>
      <c r="C43" s="20">
        <f>C29+C41</f>
        <v>154708363</v>
      </c>
      <c r="D43" s="20">
        <f>D29+D41</f>
        <v>0</v>
      </c>
      <c r="E43" s="20">
        <f>E29+E41</f>
        <v>7317276007</v>
      </c>
      <c r="F43" s="20">
        <f aca="true" t="shared" si="21" ref="F43:L43">F29+F41</f>
        <v>5348465356</v>
      </c>
      <c r="G43" s="20">
        <f t="shared" si="21"/>
        <v>45387908</v>
      </c>
      <c r="H43" s="20">
        <f t="shared" si="21"/>
        <v>0</v>
      </c>
      <c r="I43" s="20">
        <f t="shared" si="21"/>
        <v>5393853264</v>
      </c>
      <c r="J43" s="20">
        <f t="shared" si="21"/>
        <v>7055289679</v>
      </c>
      <c r="K43" s="20">
        <f t="shared" si="21"/>
        <v>504575058</v>
      </c>
      <c r="L43" s="20">
        <f t="shared" si="21"/>
        <v>0</v>
      </c>
      <c r="M43" s="20">
        <f>M29+M41</f>
        <v>7559864737</v>
      </c>
      <c r="N43" s="22" t="s">
        <v>107</v>
      </c>
      <c r="O43" s="108">
        <f>O29+O41</f>
        <v>7778941629</v>
      </c>
      <c r="P43" s="108">
        <f>P29+P41</f>
        <v>244293369</v>
      </c>
      <c r="Q43" s="108">
        <f>Q29+Q41</f>
        <v>0</v>
      </c>
      <c r="R43" s="108">
        <f>R29+R41</f>
        <v>8023234998</v>
      </c>
      <c r="S43" s="108">
        <f aca="true" t="shared" si="22" ref="S43:Y43">S29+S41</f>
        <v>6099212240</v>
      </c>
      <c r="T43" s="108">
        <f t="shared" si="22"/>
        <v>143177146</v>
      </c>
      <c r="U43" s="108">
        <f t="shared" si="22"/>
        <v>0</v>
      </c>
      <c r="V43" s="108">
        <f t="shared" si="22"/>
        <v>6242389386</v>
      </c>
      <c r="W43" s="108">
        <f t="shared" si="22"/>
        <v>8432566039</v>
      </c>
      <c r="X43" s="108">
        <f t="shared" si="22"/>
        <v>361087140</v>
      </c>
      <c r="Y43" s="108">
        <f t="shared" si="22"/>
        <v>0</v>
      </c>
      <c r="Z43" s="40">
        <f>SUM(W43:Y43)</f>
        <v>8793653179</v>
      </c>
    </row>
    <row r="44" spans="1:26" s="21" customFormat="1" ht="15.75">
      <c r="A44" s="27" t="s">
        <v>93</v>
      </c>
      <c r="B44" s="103">
        <f>SUM(B45:B46)</f>
        <v>2801203823</v>
      </c>
      <c r="C44" s="103">
        <f>SUM(C45:C46)</f>
        <v>0</v>
      </c>
      <c r="D44" s="103">
        <f>SUM(D45:D46)</f>
        <v>0</v>
      </c>
      <c r="E44" s="103">
        <f>SUM(E45:E46)</f>
        <v>2801203823</v>
      </c>
      <c r="F44" s="103">
        <f aca="true" t="shared" si="23" ref="F44:L44">SUM(F45:F46)</f>
        <v>3692081761</v>
      </c>
      <c r="G44" s="103">
        <f t="shared" si="23"/>
        <v>0</v>
      </c>
      <c r="H44" s="103">
        <f t="shared" si="23"/>
        <v>0</v>
      </c>
      <c r="I44" s="103">
        <f t="shared" si="23"/>
        <v>3692081761</v>
      </c>
      <c r="J44" s="20">
        <f t="shared" si="23"/>
        <v>3551269215</v>
      </c>
      <c r="K44" s="20">
        <f t="shared" si="23"/>
        <v>0</v>
      </c>
      <c r="L44" s="20">
        <f t="shared" si="23"/>
        <v>0</v>
      </c>
      <c r="M44" s="20">
        <f>SUM(M45:M46)</f>
        <v>3551269215</v>
      </c>
      <c r="N44" s="22" t="s">
        <v>138</v>
      </c>
      <c r="O44" s="103">
        <f>SUM(O45:O46)</f>
        <v>2095244832</v>
      </c>
      <c r="P44" s="103">
        <f>SUM(P45:P46)</f>
        <v>0</v>
      </c>
      <c r="Q44" s="103">
        <f>SUM(Q45:Q46)</f>
        <v>0</v>
      </c>
      <c r="R44" s="103">
        <f>SUM(R45:R46)</f>
        <v>2095244832</v>
      </c>
      <c r="S44" s="103">
        <f aca="true" t="shared" si="24" ref="S44:Z44">SUM(S45:S46)</f>
        <v>2124304094</v>
      </c>
      <c r="T44" s="103">
        <f t="shared" si="24"/>
        <v>0</v>
      </c>
      <c r="U44" s="103">
        <f t="shared" si="24"/>
        <v>0</v>
      </c>
      <c r="V44" s="103">
        <f t="shared" si="24"/>
        <v>2124304094</v>
      </c>
      <c r="W44" s="36">
        <f t="shared" si="24"/>
        <v>2317480773</v>
      </c>
      <c r="X44" s="36">
        <f t="shared" si="24"/>
        <v>0</v>
      </c>
      <c r="Y44" s="36">
        <f t="shared" si="24"/>
        <v>0</v>
      </c>
      <c r="Z44" s="36">
        <f t="shared" si="24"/>
        <v>2317480773</v>
      </c>
    </row>
    <row r="45" spans="1:26" s="21" customFormat="1" ht="15.75">
      <c r="A45" s="23" t="s">
        <v>96</v>
      </c>
      <c r="B45" s="29">
        <v>701634899</v>
      </c>
      <c r="C45" s="29">
        <v>0</v>
      </c>
      <c r="D45" s="29">
        <v>0</v>
      </c>
      <c r="E45" s="29">
        <f>SUM(B45:D45)</f>
        <v>701634899</v>
      </c>
      <c r="F45" s="29">
        <v>1607353751</v>
      </c>
      <c r="G45" s="29">
        <v>0</v>
      </c>
      <c r="H45" s="29">
        <v>0</v>
      </c>
      <c r="I45" s="29">
        <f>SUM(F45:H45)</f>
        <v>1607353751</v>
      </c>
      <c r="J45" s="29">
        <f>4!B55</f>
        <v>1313408612</v>
      </c>
      <c r="K45" s="29">
        <f>4!C55</f>
        <v>0</v>
      </c>
      <c r="L45" s="29">
        <f>4!D55</f>
        <v>0</v>
      </c>
      <c r="M45" s="29">
        <f>SUM(J45:L45)</f>
        <v>1313408612</v>
      </c>
      <c r="N45" s="23" t="s">
        <v>96</v>
      </c>
      <c r="O45" s="29">
        <v>2095244832</v>
      </c>
      <c r="P45" s="29"/>
      <c r="Q45" s="29">
        <v>0</v>
      </c>
      <c r="R45" s="29">
        <f>SUM(O45:Q45)</f>
        <v>2095244832</v>
      </c>
      <c r="S45" s="29">
        <v>2124304094</v>
      </c>
      <c r="T45" s="29">
        <v>0</v>
      </c>
      <c r="U45" s="29">
        <v>0</v>
      </c>
      <c r="V45" s="29">
        <f>SUM(S45:U45)</f>
        <v>2124304094</v>
      </c>
      <c r="W45" s="75">
        <f>5!B73</f>
        <v>2317480773</v>
      </c>
      <c r="X45" s="75">
        <f>5!C73</f>
        <v>0</v>
      </c>
      <c r="Y45" s="75">
        <f>5!D73</f>
        <v>0</v>
      </c>
      <c r="Z45" s="29">
        <f>SUM(W45:Y45)</f>
        <v>2317480773</v>
      </c>
    </row>
    <row r="46" spans="1:26" s="21" customFormat="1" ht="15.75">
      <c r="A46" s="23" t="s">
        <v>97</v>
      </c>
      <c r="B46" s="29">
        <v>2099568924</v>
      </c>
      <c r="C46" s="29"/>
      <c r="D46" s="29">
        <v>0</v>
      </c>
      <c r="E46" s="29">
        <f>SUM(B46:D46)</f>
        <v>2099568924</v>
      </c>
      <c r="F46" s="29">
        <v>2084728010</v>
      </c>
      <c r="G46" s="29">
        <v>0</v>
      </c>
      <c r="H46" s="29">
        <v>0</v>
      </c>
      <c r="I46" s="29">
        <f>SUM(F46:H46)</f>
        <v>2084728010</v>
      </c>
      <c r="J46" s="29">
        <f>6!C255</f>
        <v>2237860603</v>
      </c>
      <c r="K46" s="29">
        <f>6!D255</f>
        <v>0</v>
      </c>
      <c r="L46" s="29">
        <f>6!E255</f>
        <v>0</v>
      </c>
      <c r="M46" s="29">
        <f>6!F255</f>
        <v>2237860603</v>
      </c>
      <c r="N46" s="23" t="s">
        <v>97</v>
      </c>
      <c r="O46" s="29">
        <v>0</v>
      </c>
      <c r="P46" s="29">
        <v>0</v>
      </c>
      <c r="Q46" s="29">
        <v>0</v>
      </c>
      <c r="R46" s="29">
        <f>SUM(O46:Q46)</f>
        <v>0</v>
      </c>
      <c r="S46" s="29">
        <v>0</v>
      </c>
      <c r="T46" s="29">
        <v>0</v>
      </c>
      <c r="U46" s="29">
        <v>0</v>
      </c>
      <c r="V46" s="29">
        <f>SUM(S46:U46)</f>
        <v>0</v>
      </c>
      <c r="W46" s="75">
        <v>0</v>
      </c>
      <c r="X46" s="75">
        <v>0</v>
      </c>
      <c r="Y46" s="75">
        <v>0</v>
      </c>
      <c r="Z46" s="29">
        <f>SUM(W46:Y46)</f>
        <v>0</v>
      </c>
    </row>
    <row r="47" spans="1:26" s="31" customFormat="1" ht="15.75">
      <c r="A47" s="22" t="s">
        <v>94</v>
      </c>
      <c r="B47" s="20">
        <f>B43+B44</f>
        <v>9963771467</v>
      </c>
      <c r="C47" s="20">
        <f>C43+C44</f>
        <v>154708363</v>
      </c>
      <c r="D47" s="20">
        <f>D43+D44</f>
        <v>0</v>
      </c>
      <c r="E47" s="20">
        <f>E43+E44</f>
        <v>10118479830</v>
      </c>
      <c r="F47" s="20">
        <f aca="true" t="shared" si="25" ref="F47:M47">F43+F44</f>
        <v>9040547117</v>
      </c>
      <c r="G47" s="20">
        <f t="shared" si="25"/>
        <v>45387908</v>
      </c>
      <c r="H47" s="20">
        <f t="shared" si="25"/>
        <v>0</v>
      </c>
      <c r="I47" s="20">
        <f t="shared" si="25"/>
        <v>9085935025</v>
      </c>
      <c r="J47" s="20">
        <f>J43+J44</f>
        <v>10606558894</v>
      </c>
      <c r="K47" s="20">
        <f t="shared" si="25"/>
        <v>504575058</v>
      </c>
      <c r="L47" s="20">
        <f t="shared" si="25"/>
        <v>0</v>
      </c>
      <c r="M47" s="20">
        <f t="shared" si="25"/>
        <v>11111133952</v>
      </c>
      <c r="N47" s="22" t="s">
        <v>108</v>
      </c>
      <c r="O47" s="20">
        <f>O43+O44</f>
        <v>9874186461</v>
      </c>
      <c r="P47" s="20">
        <f>P43+P44</f>
        <v>244293369</v>
      </c>
      <c r="Q47" s="20">
        <f>Q43+Q44</f>
        <v>0</v>
      </c>
      <c r="R47" s="20">
        <f>R43+R44</f>
        <v>10118479830</v>
      </c>
      <c r="S47" s="20">
        <f aca="true" t="shared" si="26" ref="S47:Y47">S43+S44</f>
        <v>8223516334</v>
      </c>
      <c r="T47" s="20">
        <f t="shared" si="26"/>
        <v>143177146</v>
      </c>
      <c r="U47" s="20">
        <f t="shared" si="26"/>
        <v>0</v>
      </c>
      <c r="V47" s="20">
        <f t="shared" si="26"/>
        <v>8366693480</v>
      </c>
      <c r="W47" s="20">
        <f t="shared" si="26"/>
        <v>10750046812</v>
      </c>
      <c r="X47" s="20">
        <f t="shared" si="26"/>
        <v>361087140</v>
      </c>
      <c r="Y47" s="20">
        <f t="shared" si="26"/>
        <v>0</v>
      </c>
      <c r="Z47" s="20">
        <f>Z43+Z44</f>
        <v>11111133952</v>
      </c>
    </row>
    <row r="48" spans="1:13" ht="15.75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5"/>
      <c r="L48" s="25"/>
      <c r="M48" s="25"/>
    </row>
    <row r="49" spans="1:26" ht="15.75">
      <c r="A49" s="17"/>
      <c r="B49" s="17"/>
      <c r="C49" s="17"/>
      <c r="D49" s="17"/>
      <c r="E49" s="17"/>
      <c r="F49" s="17"/>
      <c r="G49" s="17"/>
      <c r="H49" s="17"/>
      <c r="I49" s="17"/>
      <c r="J49" s="16"/>
      <c r="K49" s="16"/>
      <c r="L49" s="16"/>
      <c r="M49" s="16"/>
      <c r="N49" s="18"/>
      <c r="O49" s="18"/>
      <c r="P49" s="18"/>
      <c r="Q49" s="18"/>
      <c r="R49" s="18"/>
      <c r="S49" s="18"/>
      <c r="T49" s="18"/>
      <c r="U49" s="18"/>
      <c r="V49" s="18"/>
      <c r="Z49" s="18"/>
    </row>
    <row r="50" spans="1:26" ht="15.75">
      <c r="A50" s="17"/>
      <c r="B50" s="17"/>
      <c r="C50" s="17"/>
      <c r="D50" s="17"/>
      <c r="E50" s="17"/>
      <c r="F50" s="17"/>
      <c r="G50" s="17"/>
      <c r="H50" s="17"/>
      <c r="I50" s="17"/>
      <c r="J50" s="16"/>
      <c r="K50" s="16"/>
      <c r="L50" s="16"/>
      <c r="M50" s="16"/>
      <c r="X50" s="18"/>
      <c r="Z50" s="18"/>
    </row>
    <row r="51" spans="1:26" ht="15.75">
      <c r="A51" s="17"/>
      <c r="B51" s="17"/>
      <c r="C51" s="17"/>
      <c r="D51" s="17"/>
      <c r="E51" s="17"/>
      <c r="F51" s="17"/>
      <c r="G51" s="17"/>
      <c r="H51" s="17"/>
      <c r="I51" s="17"/>
      <c r="J51" s="16"/>
      <c r="K51" s="16"/>
      <c r="L51" s="16"/>
      <c r="Z51" s="18"/>
    </row>
    <row r="52" spans="1:26" ht="15.75">
      <c r="A52" s="17"/>
      <c r="B52" s="17"/>
      <c r="C52" s="17"/>
      <c r="D52" s="17"/>
      <c r="E52" s="17"/>
      <c r="F52" s="17"/>
      <c r="G52" s="17"/>
      <c r="H52" s="17"/>
      <c r="I52" s="17"/>
      <c r="J52" s="16"/>
      <c r="K52" s="16"/>
      <c r="L52" s="16"/>
      <c r="M52" s="16"/>
      <c r="Z52" s="18"/>
    </row>
    <row r="53" spans="1:13" ht="15.75">
      <c r="A53" s="17"/>
      <c r="B53" s="17"/>
      <c r="C53" s="17"/>
      <c r="D53" s="17"/>
      <c r="E53" s="17"/>
      <c r="F53" s="17"/>
      <c r="G53" s="17"/>
      <c r="H53" s="17"/>
      <c r="I53" s="17"/>
      <c r="J53" s="16"/>
      <c r="K53" s="16"/>
      <c r="L53" s="16"/>
      <c r="M53" s="16"/>
    </row>
    <row r="54" spans="1:13" ht="15.75">
      <c r="A54" s="17"/>
      <c r="B54" s="17"/>
      <c r="C54" s="17"/>
      <c r="D54" s="17"/>
      <c r="E54" s="17"/>
      <c r="F54" s="17"/>
      <c r="G54" s="17"/>
      <c r="H54" s="17"/>
      <c r="I54" s="17"/>
      <c r="J54" s="16"/>
      <c r="K54" s="16"/>
      <c r="L54" s="16"/>
      <c r="M54" s="16"/>
    </row>
    <row r="55" spans="1:13" ht="15.75">
      <c r="A55" s="17"/>
      <c r="B55" s="17"/>
      <c r="C55" s="17"/>
      <c r="D55" s="17"/>
      <c r="E55" s="17"/>
      <c r="F55" s="17"/>
      <c r="G55" s="17"/>
      <c r="H55" s="17"/>
      <c r="I55" s="17"/>
      <c r="J55" s="16"/>
      <c r="K55" s="16"/>
      <c r="L55" s="16"/>
      <c r="M55" s="16"/>
    </row>
    <row r="56" spans="1:13" ht="15.75">
      <c r="A56" s="17"/>
      <c r="B56" s="17"/>
      <c r="C56" s="17"/>
      <c r="D56" s="17"/>
      <c r="E56" s="17"/>
      <c r="F56" s="17"/>
      <c r="G56" s="17"/>
      <c r="H56" s="17"/>
      <c r="I56" s="17"/>
      <c r="J56" s="16"/>
      <c r="K56" s="16"/>
      <c r="L56" s="16"/>
      <c r="M56" s="16"/>
    </row>
    <row r="57" spans="1:13" ht="15.75">
      <c r="A57" s="17"/>
      <c r="B57" s="17"/>
      <c r="C57" s="17"/>
      <c r="D57" s="17"/>
      <c r="E57" s="17"/>
      <c r="F57" s="17"/>
      <c r="G57" s="17"/>
      <c r="H57" s="17"/>
      <c r="I57" s="17"/>
      <c r="J57" s="16"/>
      <c r="K57" s="16"/>
      <c r="L57" s="16"/>
      <c r="M57" s="16"/>
    </row>
    <row r="58" spans="1:13" ht="15.75">
      <c r="A58" s="17"/>
      <c r="B58" s="17"/>
      <c r="C58" s="17"/>
      <c r="D58" s="17"/>
      <c r="E58" s="17"/>
      <c r="F58" s="17"/>
      <c r="G58" s="17"/>
      <c r="H58" s="17"/>
      <c r="I58" s="17"/>
      <c r="J58" s="16"/>
      <c r="K58" s="16"/>
      <c r="L58" s="16"/>
      <c r="M58" s="16"/>
    </row>
    <row r="59" spans="1:13" ht="15.75">
      <c r="A59" s="17"/>
      <c r="B59" s="17"/>
      <c r="C59" s="17"/>
      <c r="D59" s="17"/>
      <c r="E59" s="17"/>
      <c r="F59" s="17"/>
      <c r="G59" s="17"/>
      <c r="H59" s="17"/>
      <c r="I59" s="17"/>
      <c r="J59" s="16"/>
      <c r="K59" s="16"/>
      <c r="L59" s="16"/>
      <c r="M59" s="16"/>
    </row>
    <row r="60" spans="1:13" ht="15.75">
      <c r="A60" s="17"/>
      <c r="B60" s="17"/>
      <c r="C60" s="17"/>
      <c r="D60" s="17"/>
      <c r="E60" s="17"/>
      <c r="F60" s="17"/>
      <c r="G60" s="17"/>
      <c r="H60" s="17"/>
      <c r="I60" s="17"/>
      <c r="J60" s="16"/>
      <c r="K60" s="16"/>
      <c r="L60" s="16"/>
      <c r="M60" s="16"/>
    </row>
    <row r="61" spans="1:13" ht="15.75">
      <c r="A61" s="17"/>
      <c r="B61" s="17"/>
      <c r="C61" s="17"/>
      <c r="D61" s="17"/>
      <c r="E61" s="17"/>
      <c r="F61" s="17"/>
      <c r="G61" s="17"/>
      <c r="H61" s="17"/>
      <c r="I61" s="17"/>
      <c r="J61" s="16"/>
      <c r="K61" s="16"/>
      <c r="L61" s="16"/>
      <c r="M61" s="16"/>
    </row>
    <row r="62" spans="1:13" ht="15.75">
      <c r="A62" s="17"/>
      <c r="B62" s="17"/>
      <c r="C62" s="17"/>
      <c r="D62" s="17"/>
      <c r="E62" s="17"/>
      <c r="F62" s="17"/>
      <c r="G62" s="17"/>
      <c r="H62" s="17"/>
      <c r="I62" s="17"/>
      <c r="J62" s="16"/>
      <c r="K62" s="16"/>
      <c r="L62" s="16"/>
      <c r="M62" s="16"/>
    </row>
    <row r="63" spans="1:13" ht="15.75">
      <c r="A63" s="17"/>
      <c r="B63" s="17"/>
      <c r="C63" s="17"/>
      <c r="D63" s="17"/>
      <c r="E63" s="17"/>
      <c r="F63" s="17"/>
      <c r="G63" s="17"/>
      <c r="H63" s="17"/>
      <c r="I63" s="17"/>
      <c r="J63" s="16"/>
      <c r="K63" s="16"/>
      <c r="L63" s="16"/>
      <c r="M63" s="16"/>
    </row>
    <row r="64" spans="1:13" ht="15.7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6"/>
      <c r="L64" s="16"/>
      <c r="M64" s="16"/>
    </row>
    <row r="65" spans="1:13" ht="15.7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6"/>
      <c r="L65" s="16"/>
      <c r="M65" s="16"/>
    </row>
    <row r="66" spans="1:13" ht="15.75">
      <c r="A66" s="17"/>
      <c r="B66" s="17"/>
      <c r="C66" s="17"/>
      <c r="D66" s="17"/>
      <c r="E66" s="17"/>
      <c r="F66" s="17"/>
      <c r="G66" s="17"/>
      <c r="H66" s="17"/>
      <c r="I66" s="17"/>
      <c r="J66" s="16"/>
      <c r="K66" s="16"/>
      <c r="L66" s="16"/>
      <c r="M66" s="16"/>
    </row>
    <row r="67" spans="1:13" ht="15.75">
      <c r="A67" s="17"/>
      <c r="B67" s="17"/>
      <c r="C67" s="17"/>
      <c r="D67" s="17"/>
      <c r="E67" s="17"/>
      <c r="F67" s="17"/>
      <c r="G67" s="17"/>
      <c r="H67" s="17"/>
      <c r="I67" s="17"/>
      <c r="J67" s="16"/>
      <c r="K67" s="16"/>
      <c r="L67" s="16"/>
      <c r="M67" s="16"/>
    </row>
    <row r="68" spans="1:13" ht="15.75">
      <c r="A68" s="17"/>
      <c r="B68" s="17"/>
      <c r="C68" s="17"/>
      <c r="D68" s="17"/>
      <c r="E68" s="17"/>
      <c r="F68" s="17"/>
      <c r="G68" s="17"/>
      <c r="H68" s="17"/>
      <c r="I68" s="17"/>
      <c r="J68" s="16"/>
      <c r="K68" s="16"/>
      <c r="L68" s="16"/>
      <c r="M68" s="16"/>
    </row>
    <row r="69" spans="1:13" ht="15.75">
      <c r="A69" s="17"/>
      <c r="B69" s="17"/>
      <c r="C69" s="17"/>
      <c r="D69" s="17"/>
      <c r="E69" s="17"/>
      <c r="F69" s="17"/>
      <c r="G69" s="17"/>
      <c r="H69" s="17"/>
      <c r="I69" s="17"/>
      <c r="J69" s="16"/>
      <c r="K69" s="16"/>
      <c r="L69" s="16"/>
      <c r="M69" s="16"/>
    </row>
    <row r="70" spans="1:13" ht="15.75">
      <c r="A70" s="17"/>
      <c r="B70" s="17"/>
      <c r="C70" s="17"/>
      <c r="D70" s="17"/>
      <c r="E70" s="17"/>
      <c r="F70" s="17"/>
      <c r="G70" s="17"/>
      <c r="H70" s="17"/>
      <c r="I70" s="17"/>
      <c r="J70" s="16"/>
      <c r="K70" s="16"/>
      <c r="L70" s="16"/>
      <c r="M70" s="16"/>
    </row>
    <row r="71" spans="1:13" ht="15.75">
      <c r="A71" s="17"/>
      <c r="B71" s="17"/>
      <c r="C71" s="17"/>
      <c r="D71" s="17"/>
      <c r="E71" s="17"/>
      <c r="F71" s="17"/>
      <c r="G71" s="17"/>
      <c r="H71" s="17"/>
      <c r="I71" s="17"/>
      <c r="J71" s="16"/>
      <c r="K71" s="16"/>
      <c r="L71" s="16"/>
      <c r="M71" s="16"/>
    </row>
    <row r="72" spans="1:13" ht="15.75">
      <c r="A72" s="17"/>
      <c r="B72" s="17"/>
      <c r="C72" s="17"/>
      <c r="D72" s="17"/>
      <c r="E72" s="17"/>
      <c r="F72" s="17"/>
      <c r="G72" s="17"/>
      <c r="H72" s="17"/>
      <c r="I72" s="17"/>
      <c r="J72" s="16"/>
      <c r="K72" s="16"/>
      <c r="L72" s="16"/>
      <c r="M72" s="16"/>
    </row>
    <row r="73" spans="1:13" ht="15.75">
      <c r="A73" s="17"/>
      <c r="B73" s="17"/>
      <c r="C73" s="17"/>
      <c r="D73" s="17"/>
      <c r="E73" s="17"/>
      <c r="F73" s="17"/>
      <c r="G73" s="17"/>
      <c r="H73" s="17"/>
      <c r="I73" s="17"/>
      <c r="J73" s="16"/>
      <c r="K73" s="16"/>
      <c r="L73" s="16"/>
      <c r="M73" s="16"/>
    </row>
    <row r="74" spans="1:13" ht="15.75">
      <c r="A74" s="17"/>
      <c r="B74" s="17"/>
      <c r="C74" s="17"/>
      <c r="D74" s="17"/>
      <c r="E74" s="17"/>
      <c r="F74" s="17"/>
      <c r="G74" s="17"/>
      <c r="H74" s="17"/>
      <c r="I74" s="17"/>
      <c r="J74" s="16"/>
      <c r="K74" s="16"/>
      <c r="L74" s="16"/>
      <c r="M74" s="16"/>
    </row>
    <row r="75" spans="1:13" ht="15.75">
      <c r="A75" s="17"/>
      <c r="B75" s="17"/>
      <c r="C75" s="17"/>
      <c r="D75" s="17"/>
      <c r="E75" s="17"/>
      <c r="F75" s="17"/>
      <c r="G75" s="17"/>
      <c r="H75" s="17"/>
      <c r="I75" s="17"/>
      <c r="J75" s="16"/>
      <c r="K75" s="16"/>
      <c r="L75" s="16"/>
      <c r="M75" s="16"/>
    </row>
    <row r="76" spans="1:13" ht="15.75">
      <c r="A76" s="17"/>
      <c r="B76" s="17"/>
      <c r="C76" s="17"/>
      <c r="D76" s="17"/>
      <c r="E76" s="17"/>
      <c r="F76" s="17"/>
      <c r="G76" s="17"/>
      <c r="H76" s="17"/>
      <c r="I76" s="17"/>
      <c r="J76" s="16"/>
      <c r="K76" s="16"/>
      <c r="L76" s="16"/>
      <c r="M76" s="16"/>
    </row>
    <row r="77" spans="1:13" ht="15.75">
      <c r="A77" s="17"/>
      <c r="B77" s="17"/>
      <c r="C77" s="17"/>
      <c r="D77" s="17"/>
      <c r="E77" s="17"/>
      <c r="F77" s="17"/>
      <c r="G77" s="17"/>
      <c r="H77" s="17"/>
      <c r="I77" s="17"/>
      <c r="J77" s="16"/>
      <c r="K77" s="16"/>
      <c r="L77" s="16"/>
      <c r="M77" s="16"/>
    </row>
    <row r="78" spans="1:13" ht="15.75">
      <c r="A78" s="17"/>
      <c r="B78" s="17"/>
      <c r="C78" s="17"/>
      <c r="D78" s="17"/>
      <c r="E78" s="17"/>
      <c r="F78" s="17"/>
      <c r="G78" s="17"/>
      <c r="H78" s="17"/>
      <c r="I78" s="17"/>
      <c r="J78" s="16"/>
      <c r="K78" s="16"/>
      <c r="L78" s="16"/>
      <c r="M78" s="16"/>
    </row>
    <row r="79" spans="1:13" ht="15.75">
      <c r="A79" s="17"/>
      <c r="B79" s="17"/>
      <c r="C79" s="17"/>
      <c r="D79" s="17"/>
      <c r="E79" s="17"/>
      <c r="F79" s="17"/>
      <c r="G79" s="17"/>
      <c r="H79" s="17"/>
      <c r="I79" s="17"/>
      <c r="J79" s="16"/>
      <c r="K79" s="16"/>
      <c r="L79" s="16"/>
      <c r="M79" s="16"/>
    </row>
    <row r="80" spans="1:13" ht="15.75">
      <c r="A80" s="17"/>
      <c r="B80" s="17"/>
      <c r="C80" s="17"/>
      <c r="D80" s="17"/>
      <c r="E80" s="17"/>
      <c r="F80" s="17"/>
      <c r="G80" s="17"/>
      <c r="H80" s="17"/>
      <c r="I80" s="17"/>
      <c r="J80" s="16"/>
      <c r="K80" s="16"/>
      <c r="L80" s="16"/>
      <c r="M80" s="16"/>
    </row>
    <row r="81" spans="1:13" ht="15.75">
      <c r="A81" s="17"/>
      <c r="B81" s="17"/>
      <c r="C81" s="17"/>
      <c r="D81" s="17"/>
      <c r="E81" s="17"/>
      <c r="F81" s="17"/>
      <c r="G81" s="17"/>
      <c r="H81" s="17"/>
      <c r="I81" s="17"/>
      <c r="J81" s="16"/>
      <c r="K81" s="16"/>
      <c r="L81" s="16"/>
      <c r="M81" s="16"/>
    </row>
    <row r="82" spans="1:13" ht="15.75">
      <c r="A82" s="17"/>
      <c r="B82" s="17"/>
      <c r="C82" s="17"/>
      <c r="D82" s="17"/>
      <c r="E82" s="17"/>
      <c r="F82" s="17"/>
      <c r="G82" s="17"/>
      <c r="H82" s="17"/>
      <c r="I82" s="17"/>
      <c r="J82" s="16"/>
      <c r="K82" s="16"/>
      <c r="L82" s="16"/>
      <c r="M82" s="16"/>
    </row>
    <row r="83" spans="1:13" ht="15.75">
      <c r="A83" s="17"/>
      <c r="B83" s="17"/>
      <c r="C83" s="17"/>
      <c r="D83" s="17"/>
      <c r="E83" s="17"/>
      <c r="F83" s="17"/>
      <c r="G83" s="17"/>
      <c r="H83" s="17"/>
      <c r="I83" s="17"/>
      <c r="J83" s="16"/>
      <c r="K83" s="16"/>
      <c r="L83" s="16"/>
      <c r="M83" s="16"/>
    </row>
    <row r="84" spans="1:13" ht="15.75">
      <c r="A84" s="17"/>
      <c r="B84" s="17"/>
      <c r="C84" s="17"/>
      <c r="D84" s="17"/>
      <c r="E84" s="17"/>
      <c r="F84" s="17"/>
      <c r="G84" s="17"/>
      <c r="H84" s="17"/>
      <c r="I84" s="17"/>
      <c r="J84" s="16"/>
      <c r="K84" s="16"/>
      <c r="L84" s="16"/>
      <c r="M84" s="16"/>
    </row>
    <row r="85" spans="1:13" ht="15.75">
      <c r="A85" s="17"/>
      <c r="B85" s="17"/>
      <c r="C85" s="17"/>
      <c r="D85" s="17"/>
      <c r="E85" s="17"/>
      <c r="F85" s="17"/>
      <c r="G85" s="17"/>
      <c r="H85" s="17"/>
      <c r="I85" s="17"/>
      <c r="J85" s="16"/>
      <c r="K85" s="16"/>
      <c r="L85" s="16"/>
      <c r="M85" s="16"/>
    </row>
    <row r="86" spans="1:13" ht="15.75">
      <c r="A86" s="17"/>
      <c r="B86" s="17"/>
      <c r="C86" s="17"/>
      <c r="D86" s="17"/>
      <c r="E86" s="17"/>
      <c r="F86" s="17"/>
      <c r="G86" s="17"/>
      <c r="H86" s="17"/>
      <c r="I86" s="17"/>
      <c r="J86" s="16"/>
      <c r="K86" s="16"/>
      <c r="L86" s="16"/>
      <c r="M86" s="16"/>
    </row>
    <row r="87" spans="1:13" ht="15.75">
      <c r="A87" s="17"/>
      <c r="B87" s="17"/>
      <c r="C87" s="17"/>
      <c r="D87" s="17"/>
      <c r="E87" s="17"/>
      <c r="F87" s="17"/>
      <c r="G87" s="17"/>
      <c r="H87" s="17"/>
      <c r="I87" s="17"/>
      <c r="J87" s="16"/>
      <c r="K87" s="16"/>
      <c r="L87" s="16"/>
      <c r="M87" s="16"/>
    </row>
    <row r="88" spans="1:13" ht="15.75">
      <c r="A88" s="17"/>
      <c r="B88" s="17"/>
      <c r="C88" s="17"/>
      <c r="D88" s="17"/>
      <c r="E88" s="17"/>
      <c r="F88" s="17"/>
      <c r="G88" s="17"/>
      <c r="H88" s="17"/>
      <c r="I88" s="17"/>
      <c r="J88" s="16"/>
      <c r="K88" s="16"/>
      <c r="L88" s="16"/>
      <c r="M88" s="16"/>
    </row>
    <row r="89" spans="1:13" ht="15.75">
      <c r="A89" s="17"/>
      <c r="B89" s="17"/>
      <c r="C89" s="17"/>
      <c r="D89" s="17"/>
      <c r="E89" s="17"/>
      <c r="F89" s="17"/>
      <c r="G89" s="17"/>
      <c r="H89" s="17"/>
      <c r="I89" s="17"/>
      <c r="J89" s="16"/>
      <c r="K89" s="16"/>
      <c r="L89" s="16"/>
      <c r="M89" s="16"/>
    </row>
    <row r="90" spans="1:13" ht="15.75">
      <c r="A90" s="17"/>
      <c r="B90" s="17"/>
      <c r="C90" s="17"/>
      <c r="D90" s="17"/>
      <c r="E90" s="17"/>
      <c r="F90" s="17"/>
      <c r="G90" s="17"/>
      <c r="H90" s="17"/>
      <c r="I90" s="17"/>
      <c r="J90" s="16"/>
      <c r="K90" s="16"/>
      <c r="L90" s="16"/>
      <c r="M90" s="16"/>
    </row>
    <row r="91" spans="1:13" ht="15.75">
      <c r="A91" s="17"/>
      <c r="B91" s="17"/>
      <c r="C91" s="17"/>
      <c r="D91" s="17"/>
      <c r="E91" s="17"/>
      <c r="F91" s="17"/>
      <c r="G91" s="17"/>
      <c r="H91" s="17"/>
      <c r="I91" s="17"/>
      <c r="J91" s="16"/>
      <c r="K91" s="16"/>
      <c r="L91" s="16"/>
      <c r="M91" s="16"/>
    </row>
    <row r="92" spans="1:13" ht="15.75">
      <c r="A92" s="17"/>
      <c r="B92" s="17"/>
      <c r="C92" s="17"/>
      <c r="D92" s="17"/>
      <c r="E92" s="17"/>
      <c r="F92" s="17"/>
      <c r="G92" s="17"/>
      <c r="H92" s="17"/>
      <c r="I92" s="17"/>
      <c r="J92" s="16"/>
      <c r="K92" s="16"/>
      <c r="L92" s="16"/>
      <c r="M92" s="16"/>
    </row>
    <row r="93" spans="1:13" ht="15.75">
      <c r="A93" s="17"/>
      <c r="B93" s="17"/>
      <c r="C93" s="17"/>
      <c r="D93" s="17"/>
      <c r="E93" s="17"/>
      <c r="F93" s="17"/>
      <c r="G93" s="17"/>
      <c r="H93" s="17"/>
      <c r="I93" s="17"/>
      <c r="J93" s="16"/>
      <c r="K93" s="16"/>
      <c r="L93" s="16"/>
      <c r="M93" s="16"/>
    </row>
    <row r="94" spans="1:13" ht="15.75">
      <c r="A94" s="17"/>
      <c r="B94" s="17"/>
      <c r="C94" s="17"/>
      <c r="D94" s="17"/>
      <c r="E94" s="17"/>
      <c r="F94" s="17"/>
      <c r="G94" s="17"/>
      <c r="H94" s="17"/>
      <c r="I94" s="17"/>
      <c r="J94" s="16"/>
      <c r="K94" s="16"/>
      <c r="L94" s="16"/>
      <c r="M94" s="16"/>
    </row>
    <row r="95" spans="1:13" ht="15.75">
      <c r="A95" s="17"/>
      <c r="B95" s="17"/>
      <c r="C95" s="17"/>
      <c r="D95" s="17"/>
      <c r="E95" s="17"/>
      <c r="F95" s="17"/>
      <c r="G95" s="17"/>
      <c r="H95" s="17"/>
      <c r="I95" s="17"/>
      <c r="J95" s="16"/>
      <c r="K95" s="16"/>
      <c r="L95" s="16"/>
      <c r="M95" s="16"/>
    </row>
    <row r="96" spans="1:13" ht="15.75">
      <c r="A96" s="17"/>
      <c r="B96" s="17"/>
      <c r="C96" s="17"/>
      <c r="D96" s="17"/>
      <c r="E96" s="17"/>
      <c r="F96" s="17"/>
      <c r="G96" s="17"/>
      <c r="H96" s="17"/>
      <c r="I96" s="17"/>
      <c r="J96" s="16"/>
      <c r="K96" s="16"/>
      <c r="L96" s="16"/>
      <c r="M96" s="16"/>
    </row>
    <row r="97" spans="1:13" ht="15.75">
      <c r="A97" s="17"/>
      <c r="B97" s="17"/>
      <c r="C97" s="17"/>
      <c r="D97" s="17"/>
      <c r="E97" s="17"/>
      <c r="F97" s="17"/>
      <c r="G97" s="17"/>
      <c r="H97" s="17"/>
      <c r="I97" s="17"/>
      <c r="J97" s="16"/>
      <c r="K97" s="16"/>
      <c r="L97" s="16"/>
      <c r="M97" s="16"/>
    </row>
    <row r="98" spans="1:13" ht="15.75">
      <c r="A98" s="17"/>
      <c r="B98" s="17"/>
      <c r="C98" s="17"/>
      <c r="D98" s="17"/>
      <c r="E98" s="17"/>
      <c r="F98" s="17"/>
      <c r="G98" s="17"/>
      <c r="H98" s="17"/>
      <c r="I98" s="17"/>
      <c r="J98" s="16"/>
      <c r="K98" s="16"/>
      <c r="L98" s="16"/>
      <c r="M98" s="16"/>
    </row>
    <row r="99" spans="1:13" ht="15.75">
      <c r="A99" s="17"/>
      <c r="B99" s="17"/>
      <c r="C99" s="17"/>
      <c r="D99" s="17"/>
      <c r="E99" s="17"/>
      <c r="F99" s="17"/>
      <c r="G99" s="17"/>
      <c r="H99" s="17"/>
      <c r="I99" s="17"/>
      <c r="J99" s="16"/>
      <c r="K99" s="16"/>
      <c r="L99" s="16"/>
      <c r="M99" s="16"/>
    </row>
    <row r="100" spans="1:13" ht="15.75">
      <c r="A100" s="17"/>
      <c r="B100" s="17"/>
      <c r="C100" s="17"/>
      <c r="D100" s="17"/>
      <c r="E100" s="17"/>
      <c r="F100" s="17"/>
      <c r="G100" s="17"/>
      <c r="H100" s="17"/>
      <c r="I100" s="17"/>
      <c r="J100" s="16"/>
      <c r="K100" s="16"/>
      <c r="L100" s="16"/>
      <c r="M100" s="16"/>
    </row>
    <row r="101" spans="1:13" ht="15.75">
      <c r="A101" s="17"/>
      <c r="B101" s="17"/>
      <c r="C101" s="17"/>
      <c r="D101" s="17"/>
      <c r="E101" s="17"/>
      <c r="F101" s="17"/>
      <c r="G101" s="17"/>
      <c r="H101" s="17"/>
      <c r="I101" s="17"/>
      <c r="J101" s="16"/>
      <c r="K101" s="16"/>
      <c r="L101" s="16"/>
      <c r="M101" s="16"/>
    </row>
    <row r="102" spans="1:13" ht="15.75">
      <c r="A102" s="17"/>
      <c r="B102" s="17"/>
      <c r="C102" s="17"/>
      <c r="D102" s="17"/>
      <c r="E102" s="17"/>
      <c r="F102" s="17"/>
      <c r="G102" s="17"/>
      <c r="H102" s="17"/>
      <c r="I102" s="17"/>
      <c r="J102" s="16"/>
      <c r="K102" s="16"/>
      <c r="L102" s="16"/>
      <c r="M102" s="16"/>
    </row>
    <row r="103" spans="1:13" ht="15.75">
      <c r="A103" s="17"/>
      <c r="B103" s="17"/>
      <c r="C103" s="17"/>
      <c r="D103" s="17"/>
      <c r="E103" s="17"/>
      <c r="F103" s="17"/>
      <c r="G103" s="17"/>
      <c r="H103" s="17"/>
      <c r="I103" s="17"/>
      <c r="J103" s="16"/>
      <c r="K103" s="16"/>
      <c r="L103" s="16"/>
      <c r="M103" s="16"/>
    </row>
    <row r="104" spans="1:13" ht="15.75">
      <c r="A104" s="17"/>
      <c r="B104" s="17"/>
      <c r="C104" s="17"/>
      <c r="D104" s="17"/>
      <c r="E104" s="17"/>
      <c r="F104" s="17"/>
      <c r="G104" s="17"/>
      <c r="H104" s="17"/>
      <c r="I104" s="17"/>
      <c r="J104" s="16"/>
      <c r="K104" s="16"/>
      <c r="L104" s="16"/>
      <c r="M104" s="16"/>
    </row>
    <row r="105" spans="1:13" ht="15.75">
      <c r="A105" s="17"/>
      <c r="B105" s="17"/>
      <c r="C105" s="17"/>
      <c r="D105" s="17"/>
      <c r="E105" s="17"/>
      <c r="F105" s="17"/>
      <c r="G105" s="17"/>
      <c r="H105" s="17"/>
      <c r="I105" s="17"/>
      <c r="J105" s="16"/>
      <c r="K105" s="16"/>
      <c r="L105" s="16"/>
      <c r="M105" s="16"/>
    </row>
    <row r="106" spans="1:13" ht="15.75">
      <c r="A106" s="17"/>
      <c r="B106" s="17"/>
      <c r="C106" s="17"/>
      <c r="D106" s="17"/>
      <c r="E106" s="17"/>
      <c r="F106" s="17"/>
      <c r="G106" s="17"/>
      <c r="H106" s="17"/>
      <c r="I106" s="17"/>
      <c r="J106" s="16"/>
      <c r="K106" s="16"/>
      <c r="L106" s="16"/>
      <c r="M106" s="16"/>
    </row>
    <row r="107" spans="1:13" ht="15.75">
      <c r="A107" s="17"/>
      <c r="B107" s="17"/>
      <c r="C107" s="17"/>
      <c r="D107" s="17"/>
      <c r="E107" s="17"/>
      <c r="F107" s="17"/>
      <c r="G107" s="17"/>
      <c r="H107" s="17"/>
      <c r="I107" s="17"/>
      <c r="J107" s="16"/>
      <c r="K107" s="16"/>
      <c r="L107" s="16"/>
      <c r="M107" s="16"/>
    </row>
    <row r="108" spans="1:13" ht="15.75">
      <c r="A108" s="17"/>
      <c r="B108" s="17"/>
      <c r="C108" s="17"/>
      <c r="D108" s="17"/>
      <c r="E108" s="17"/>
      <c r="F108" s="17"/>
      <c r="G108" s="17"/>
      <c r="H108" s="17"/>
      <c r="I108" s="17"/>
      <c r="J108" s="16"/>
      <c r="K108" s="16"/>
      <c r="L108" s="16"/>
      <c r="M108" s="16"/>
    </row>
    <row r="109" spans="1:13" ht="15.75">
      <c r="A109" s="17"/>
      <c r="B109" s="17"/>
      <c r="C109" s="17"/>
      <c r="D109" s="17"/>
      <c r="E109" s="17"/>
      <c r="F109" s="17"/>
      <c r="G109" s="17"/>
      <c r="H109" s="17"/>
      <c r="I109" s="17"/>
      <c r="J109" s="16"/>
      <c r="K109" s="16"/>
      <c r="L109" s="16"/>
      <c r="M109" s="16"/>
    </row>
    <row r="110" spans="1:13" ht="15.75">
      <c r="A110" s="17"/>
      <c r="B110" s="17"/>
      <c r="C110" s="17"/>
      <c r="D110" s="17"/>
      <c r="E110" s="17"/>
      <c r="F110" s="17"/>
      <c r="G110" s="17"/>
      <c r="H110" s="17"/>
      <c r="I110" s="17"/>
      <c r="J110" s="16"/>
      <c r="K110" s="16"/>
      <c r="L110" s="16"/>
      <c r="M110" s="16"/>
    </row>
    <row r="111" spans="1:13" ht="15.75">
      <c r="A111" s="17"/>
      <c r="B111" s="17"/>
      <c r="C111" s="17"/>
      <c r="D111" s="17"/>
      <c r="E111" s="17"/>
      <c r="F111" s="17"/>
      <c r="G111" s="17"/>
      <c r="H111" s="17"/>
      <c r="I111" s="17"/>
      <c r="J111" s="16"/>
      <c r="K111" s="16"/>
      <c r="L111" s="16"/>
      <c r="M111" s="16"/>
    </row>
    <row r="112" spans="1:13" ht="15.75">
      <c r="A112" s="17"/>
      <c r="B112" s="17"/>
      <c r="C112" s="17"/>
      <c r="D112" s="17"/>
      <c r="E112" s="17"/>
      <c r="F112" s="17"/>
      <c r="G112" s="17"/>
      <c r="H112" s="17"/>
      <c r="I112" s="17"/>
      <c r="J112" s="16"/>
      <c r="K112" s="16"/>
      <c r="L112" s="16"/>
      <c r="M112" s="16"/>
    </row>
    <row r="113" spans="1:13" ht="15.75">
      <c r="A113" s="17"/>
      <c r="B113" s="17"/>
      <c r="C113" s="17"/>
      <c r="D113" s="17"/>
      <c r="E113" s="17"/>
      <c r="F113" s="17"/>
      <c r="G113" s="17"/>
      <c r="H113" s="17"/>
      <c r="I113" s="17"/>
      <c r="J113" s="16"/>
      <c r="K113" s="16"/>
      <c r="L113" s="16"/>
      <c r="M113" s="16"/>
    </row>
    <row r="114" spans="1:13" ht="15.75">
      <c r="A114" s="17"/>
      <c r="B114" s="17"/>
      <c r="C114" s="17"/>
      <c r="D114" s="17"/>
      <c r="E114" s="17"/>
      <c r="F114" s="17"/>
      <c r="G114" s="17"/>
      <c r="H114" s="17"/>
      <c r="I114" s="17"/>
      <c r="J114" s="16"/>
      <c r="K114" s="16"/>
      <c r="L114" s="16"/>
      <c r="M114" s="16"/>
    </row>
    <row r="115" spans="1:13" ht="15.75">
      <c r="A115" s="17"/>
      <c r="B115" s="17"/>
      <c r="C115" s="17"/>
      <c r="D115" s="17"/>
      <c r="E115" s="17"/>
      <c r="F115" s="17"/>
      <c r="G115" s="17"/>
      <c r="H115" s="17"/>
      <c r="I115" s="17"/>
      <c r="J115" s="16"/>
      <c r="K115" s="16"/>
      <c r="L115" s="16"/>
      <c r="M115" s="16"/>
    </row>
    <row r="116" spans="1:13" ht="15.75">
      <c r="A116" s="17"/>
      <c r="B116" s="17"/>
      <c r="C116" s="17"/>
      <c r="D116" s="17"/>
      <c r="E116" s="17"/>
      <c r="F116" s="17"/>
      <c r="G116" s="17"/>
      <c r="H116" s="17"/>
      <c r="I116" s="17"/>
      <c r="J116" s="16"/>
      <c r="K116" s="16"/>
      <c r="L116" s="16"/>
      <c r="M116" s="16"/>
    </row>
    <row r="117" spans="1:13" ht="15.75">
      <c r="A117" s="17"/>
      <c r="B117" s="17"/>
      <c r="C117" s="17"/>
      <c r="D117" s="17"/>
      <c r="E117" s="17"/>
      <c r="F117" s="17"/>
      <c r="G117" s="17"/>
      <c r="H117" s="17"/>
      <c r="I117" s="17"/>
      <c r="J117" s="16"/>
      <c r="K117" s="16"/>
      <c r="L117" s="16"/>
      <c r="M117" s="16"/>
    </row>
    <row r="118" spans="1:13" ht="15.75">
      <c r="A118" s="17"/>
      <c r="B118" s="17"/>
      <c r="C118" s="17"/>
      <c r="D118" s="17"/>
      <c r="E118" s="17"/>
      <c r="F118" s="17"/>
      <c r="G118" s="17"/>
      <c r="H118" s="17"/>
      <c r="I118" s="17"/>
      <c r="J118" s="16"/>
      <c r="K118" s="16"/>
      <c r="L118" s="16"/>
      <c r="M118" s="16"/>
    </row>
    <row r="119" spans="1:13" ht="15.75">
      <c r="A119" s="17"/>
      <c r="B119" s="17"/>
      <c r="C119" s="17"/>
      <c r="D119" s="17"/>
      <c r="E119" s="17"/>
      <c r="F119" s="17"/>
      <c r="G119" s="17"/>
      <c r="H119" s="17"/>
      <c r="I119" s="17"/>
      <c r="J119" s="16"/>
      <c r="K119" s="16"/>
      <c r="L119" s="16"/>
      <c r="M119" s="16"/>
    </row>
    <row r="120" spans="1:13" ht="15.75">
      <c r="A120" s="17"/>
      <c r="B120" s="17"/>
      <c r="C120" s="17"/>
      <c r="D120" s="17"/>
      <c r="E120" s="17"/>
      <c r="F120" s="17"/>
      <c r="G120" s="17"/>
      <c r="H120" s="17"/>
      <c r="I120" s="17"/>
      <c r="J120" s="16"/>
      <c r="K120" s="16"/>
      <c r="L120" s="16"/>
      <c r="M120" s="16"/>
    </row>
    <row r="121" spans="1:13" ht="15.75">
      <c r="A121" s="17"/>
      <c r="B121" s="17"/>
      <c r="C121" s="17"/>
      <c r="D121" s="17"/>
      <c r="E121" s="17"/>
      <c r="F121" s="17"/>
      <c r="G121" s="17"/>
      <c r="H121" s="17"/>
      <c r="I121" s="17"/>
      <c r="J121" s="16"/>
      <c r="K121" s="16"/>
      <c r="L121" s="16"/>
      <c r="M121" s="16"/>
    </row>
    <row r="122" spans="1:13" ht="15.75">
      <c r="A122" s="17"/>
      <c r="B122" s="17"/>
      <c r="C122" s="17"/>
      <c r="D122" s="17"/>
      <c r="E122" s="17"/>
      <c r="F122" s="17"/>
      <c r="G122" s="17"/>
      <c r="H122" s="17"/>
      <c r="I122" s="17"/>
      <c r="J122" s="16"/>
      <c r="K122" s="16"/>
      <c r="L122" s="16"/>
      <c r="M122" s="16"/>
    </row>
    <row r="123" spans="1:13" ht="15.75">
      <c r="A123" s="17"/>
      <c r="B123" s="17"/>
      <c r="C123" s="17"/>
      <c r="D123" s="17"/>
      <c r="E123" s="17"/>
      <c r="F123" s="17"/>
      <c r="G123" s="17"/>
      <c r="H123" s="17"/>
      <c r="I123" s="17"/>
      <c r="J123" s="16"/>
      <c r="K123" s="16"/>
      <c r="L123" s="16"/>
      <c r="M123" s="16"/>
    </row>
    <row r="124" spans="1:13" ht="15.75">
      <c r="A124" s="17"/>
      <c r="B124" s="17"/>
      <c r="C124" s="17"/>
      <c r="D124" s="17"/>
      <c r="E124" s="17"/>
      <c r="F124" s="17"/>
      <c r="G124" s="17"/>
      <c r="H124" s="17"/>
      <c r="I124" s="17"/>
      <c r="J124" s="16"/>
      <c r="K124" s="16"/>
      <c r="L124" s="16"/>
      <c r="M124" s="16"/>
    </row>
    <row r="125" spans="1:13" ht="15.75">
      <c r="A125" s="17"/>
      <c r="B125" s="17"/>
      <c r="C125" s="17"/>
      <c r="D125" s="17"/>
      <c r="E125" s="17"/>
      <c r="F125" s="17"/>
      <c r="G125" s="17"/>
      <c r="H125" s="17"/>
      <c r="I125" s="17"/>
      <c r="J125" s="16"/>
      <c r="K125" s="16"/>
      <c r="L125" s="16"/>
      <c r="M125" s="16"/>
    </row>
    <row r="126" spans="1:13" ht="15.75">
      <c r="A126" s="17"/>
      <c r="B126" s="17"/>
      <c r="C126" s="17"/>
      <c r="D126" s="17"/>
      <c r="E126" s="17"/>
      <c r="F126" s="17"/>
      <c r="G126" s="17"/>
      <c r="H126" s="17"/>
      <c r="I126" s="17"/>
      <c r="J126" s="16"/>
      <c r="K126" s="16"/>
      <c r="L126" s="16"/>
      <c r="M126" s="16"/>
    </row>
    <row r="127" spans="1:13" ht="15.75">
      <c r="A127" s="17"/>
      <c r="B127" s="17"/>
      <c r="C127" s="17"/>
      <c r="D127" s="17"/>
      <c r="E127" s="17"/>
      <c r="F127" s="17"/>
      <c r="G127" s="17"/>
      <c r="H127" s="17"/>
      <c r="I127" s="17"/>
      <c r="J127" s="16"/>
      <c r="K127" s="16"/>
      <c r="L127" s="16"/>
      <c r="M127" s="16"/>
    </row>
    <row r="128" spans="1:13" ht="15.75">
      <c r="A128" s="17"/>
      <c r="B128" s="17"/>
      <c r="C128" s="17"/>
      <c r="D128" s="17"/>
      <c r="E128" s="17"/>
      <c r="F128" s="17"/>
      <c r="G128" s="17"/>
      <c r="H128" s="17"/>
      <c r="I128" s="17"/>
      <c r="J128" s="16"/>
      <c r="K128" s="16"/>
      <c r="L128" s="16"/>
      <c r="M128" s="16"/>
    </row>
    <row r="129" spans="1:13" ht="15.75">
      <c r="A129" s="17"/>
      <c r="B129" s="17"/>
      <c r="C129" s="17"/>
      <c r="D129" s="17"/>
      <c r="E129" s="17"/>
      <c r="F129" s="17"/>
      <c r="G129" s="17"/>
      <c r="H129" s="17"/>
      <c r="I129" s="17"/>
      <c r="J129" s="16"/>
      <c r="K129" s="16"/>
      <c r="L129" s="16"/>
      <c r="M129" s="16"/>
    </row>
    <row r="130" spans="1:13" ht="15.75">
      <c r="A130" s="17"/>
      <c r="B130" s="17"/>
      <c r="C130" s="17"/>
      <c r="D130" s="17"/>
      <c r="E130" s="17"/>
      <c r="F130" s="17"/>
      <c r="G130" s="17"/>
      <c r="H130" s="17"/>
      <c r="I130" s="17"/>
      <c r="J130" s="16"/>
      <c r="K130" s="16"/>
      <c r="L130" s="16"/>
      <c r="M130" s="16"/>
    </row>
    <row r="131" spans="1:13" ht="15.75">
      <c r="A131" s="17"/>
      <c r="B131" s="17"/>
      <c r="C131" s="17"/>
      <c r="D131" s="17"/>
      <c r="E131" s="17"/>
      <c r="F131" s="17"/>
      <c r="G131" s="17"/>
      <c r="H131" s="17"/>
      <c r="I131" s="17"/>
      <c r="J131" s="16"/>
      <c r="K131" s="16"/>
      <c r="L131" s="16"/>
      <c r="M131" s="16"/>
    </row>
    <row r="132" spans="1:13" ht="15.75">
      <c r="A132" s="17"/>
      <c r="B132" s="17"/>
      <c r="C132" s="17"/>
      <c r="D132" s="17"/>
      <c r="E132" s="17"/>
      <c r="F132" s="17"/>
      <c r="G132" s="17"/>
      <c r="H132" s="17"/>
      <c r="I132" s="17"/>
      <c r="J132" s="16"/>
      <c r="K132" s="16"/>
      <c r="L132" s="16"/>
      <c r="M132" s="16"/>
    </row>
    <row r="133" spans="1:13" ht="15.75">
      <c r="A133" s="17"/>
      <c r="B133" s="17"/>
      <c r="C133" s="17"/>
      <c r="D133" s="17"/>
      <c r="E133" s="17"/>
      <c r="F133" s="17"/>
      <c r="G133" s="17"/>
      <c r="H133" s="17"/>
      <c r="I133" s="17"/>
      <c r="J133" s="16"/>
      <c r="K133" s="16"/>
      <c r="L133" s="16"/>
      <c r="M133" s="16"/>
    </row>
    <row r="134" spans="1:13" ht="15.75">
      <c r="A134" s="17"/>
      <c r="B134" s="17"/>
      <c r="C134" s="17"/>
      <c r="D134" s="17"/>
      <c r="E134" s="17"/>
      <c r="F134" s="17"/>
      <c r="G134" s="17"/>
      <c r="H134" s="17"/>
      <c r="I134" s="17"/>
      <c r="J134" s="16"/>
      <c r="K134" s="16"/>
      <c r="L134" s="16"/>
      <c r="M134" s="16"/>
    </row>
    <row r="135" spans="1:13" ht="15.75">
      <c r="A135" s="17"/>
      <c r="B135" s="17"/>
      <c r="C135" s="17"/>
      <c r="D135" s="17"/>
      <c r="E135" s="17"/>
      <c r="F135" s="17"/>
      <c r="G135" s="17"/>
      <c r="H135" s="17"/>
      <c r="I135" s="17"/>
      <c r="J135" s="16"/>
      <c r="K135" s="16"/>
      <c r="L135" s="16"/>
      <c r="M135" s="16"/>
    </row>
    <row r="136" spans="1:13" ht="15.75">
      <c r="A136" s="17"/>
      <c r="B136" s="17"/>
      <c r="C136" s="17"/>
      <c r="D136" s="17"/>
      <c r="E136" s="17"/>
      <c r="F136" s="17"/>
      <c r="G136" s="17"/>
      <c r="H136" s="17"/>
      <c r="I136" s="17"/>
      <c r="J136" s="16"/>
      <c r="K136" s="16"/>
      <c r="L136" s="16"/>
      <c r="M136" s="16"/>
    </row>
    <row r="137" spans="1:13" ht="15.75">
      <c r="A137" s="17"/>
      <c r="B137" s="17"/>
      <c r="C137" s="17"/>
      <c r="D137" s="17"/>
      <c r="E137" s="17"/>
      <c r="F137" s="17"/>
      <c r="G137" s="17"/>
      <c r="H137" s="17"/>
      <c r="I137" s="17"/>
      <c r="J137" s="16"/>
      <c r="K137" s="16"/>
      <c r="L137" s="16"/>
      <c r="M137" s="16"/>
    </row>
    <row r="138" spans="1:13" ht="15.75">
      <c r="A138" s="17"/>
      <c r="B138" s="17"/>
      <c r="C138" s="17"/>
      <c r="D138" s="17"/>
      <c r="E138" s="17"/>
      <c r="F138" s="17"/>
      <c r="G138" s="17"/>
      <c r="H138" s="17"/>
      <c r="I138" s="17"/>
      <c r="J138" s="16"/>
      <c r="K138" s="16"/>
      <c r="L138" s="16"/>
      <c r="M138" s="16"/>
    </row>
    <row r="139" spans="1:13" ht="15.75">
      <c r="A139" s="17"/>
      <c r="B139" s="17"/>
      <c r="C139" s="17"/>
      <c r="D139" s="17"/>
      <c r="E139" s="17"/>
      <c r="F139" s="17"/>
      <c r="G139" s="17"/>
      <c r="H139" s="17"/>
      <c r="I139" s="17"/>
      <c r="J139" s="16"/>
      <c r="K139" s="16"/>
      <c r="L139" s="16"/>
      <c r="M139" s="16"/>
    </row>
    <row r="140" spans="1:13" ht="15.75">
      <c r="A140" s="17"/>
      <c r="B140" s="17"/>
      <c r="C140" s="17"/>
      <c r="D140" s="17"/>
      <c r="E140" s="17"/>
      <c r="F140" s="17"/>
      <c r="G140" s="17"/>
      <c r="H140" s="17"/>
      <c r="I140" s="17"/>
      <c r="J140" s="16"/>
      <c r="K140" s="16"/>
      <c r="L140" s="16"/>
      <c r="M140" s="16"/>
    </row>
    <row r="141" spans="1:13" ht="15.75">
      <c r="A141" s="17"/>
      <c r="B141" s="17"/>
      <c r="C141" s="17"/>
      <c r="D141" s="17"/>
      <c r="E141" s="17"/>
      <c r="F141" s="17"/>
      <c r="G141" s="17"/>
      <c r="H141" s="17"/>
      <c r="I141" s="17"/>
      <c r="J141" s="16"/>
      <c r="K141" s="16"/>
      <c r="L141" s="16"/>
      <c r="M141" s="16"/>
    </row>
    <row r="142" spans="1:13" ht="15.75">
      <c r="A142" s="17"/>
      <c r="B142" s="17"/>
      <c r="C142" s="17"/>
      <c r="D142" s="17"/>
      <c r="E142" s="17"/>
      <c r="F142" s="17"/>
      <c r="G142" s="17"/>
      <c r="H142" s="17"/>
      <c r="I142" s="17"/>
      <c r="J142" s="16"/>
      <c r="K142" s="16"/>
      <c r="L142" s="16"/>
      <c r="M142" s="16"/>
    </row>
    <row r="143" spans="1:13" ht="15.75">
      <c r="A143" s="17"/>
      <c r="B143" s="17"/>
      <c r="C143" s="17"/>
      <c r="D143" s="17"/>
      <c r="E143" s="17"/>
      <c r="F143" s="17"/>
      <c r="G143" s="17"/>
      <c r="H143" s="17"/>
      <c r="I143" s="17"/>
      <c r="J143" s="16"/>
      <c r="K143" s="16"/>
      <c r="L143" s="16"/>
      <c r="M143" s="16"/>
    </row>
    <row r="144" spans="1:13" ht="15.75">
      <c r="A144" s="17"/>
      <c r="B144" s="17"/>
      <c r="C144" s="17"/>
      <c r="D144" s="17"/>
      <c r="E144" s="17"/>
      <c r="F144" s="17"/>
      <c r="G144" s="17"/>
      <c r="H144" s="17"/>
      <c r="I144" s="17"/>
      <c r="J144" s="16"/>
      <c r="K144" s="16"/>
      <c r="L144" s="16"/>
      <c r="M144" s="16"/>
    </row>
    <row r="145" spans="1:13" ht="15.75">
      <c r="A145" s="17"/>
      <c r="B145" s="17"/>
      <c r="C145" s="17"/>
      <c r="D145" s="17"/>
      <c r="E145" s="17"/>
      <c r="F145" s="17"/>
      <c r="G145" s="17"/>
      <c r="H145" s="17"/>
      <c r="I145" s="17"/>
      <c r="J145" s="16"/>
      <c r="K145" s="16"/>
      <c r="L145" s="16"/>
      <c r="M145" s="16"/>
    </row>
    <row r="146" spans="1:13" ht="15.75">
      <c r="A146" s="17"/>
      <c r="B146" s="17"/>
      <c r="C146" s="17"/>
      <c r="D146" s="17"/>
      <c r="E146" s="17"/>
      <c r="F146" s="17"/>
      <c r="G146" s="17"/>
      <c r="H146" s="17"/>
      <c r="I146" s="17"/>
      <c r="J146" s="16"/>
      <c r="K146" s="16"/>
      <c r="L146" s="16"/>
      <c r="M146" s="16"/>
    </row>
    <row r="147" spans="1:13" ht="15.75">
      <c r="A147" s="17"/>
      <c r="B147" s="17"/>
      <c r="C147" s="17"/>
      <c r="D147" s="17"/>
      <c r="E147" s="17"/>
      <c r="F147" s="17"/>
      <c r="G147" s="17"/>
      <c r="H147" s="17"/>
      <c r="I147" s="17"/>
      <c r="J147" s="16"/>
      <c r="K147" s="16"/>
      <c r="L147" s="16"/>
      <c r="M147" s="16"/>
    </row>
    <row r="148" spans="1:13" ht="15.75">
      <c r="A148" s="17"/>
      <c r="B148" s="17"/>
      <c r="C148" s="17"/>
      <c r="D148" s="17"/>
      <c r="E148" s="17"/>
      <c r="F148" s="17"/>
      <c r="G148" s="17"/>
      <c r="H148" s="17"/>
      <c r="I148" s="17"/>
      <c r="J148" s="16"/>
      <c r="K148" s="16"/>
      <c r="L148" s="16"/>
      <c r="M148" s="16"/>
    </row>
    <row r="149" spans="1:13" ht="15.75">
      <c r="A149" s="17"/>
      <c r="B149" s="17"/>
      <c r="C149" s="17"/>
      <c r="D149" s="17"/>
      <c r="E149" s="17"/>
      <c r="F149" s="17"/>
      <c r="G149" s="17"/>
      <c r="H149" s="17"/>
      <c r="I149" s="17"/>
      <c r="J149" s="16"/>
      <c r="K149" s="16"/>
      <c r="L149" s="16"/>
      <c r="M149" s="16"/>
    </row>
    <row r="150" spans="1:13" ht="15.75">
      <c r="A150" s="17"/>
      <c r="B150" s="17"/>
      <c r="C150" s="17"/>
      <c r="D150" s="17"/>
      <c r="E150" s="17"/>
      <c r="F150" s="17"/>
      <c r="G150" s="17"/>
      <c r="H150" s="17"/>
      <c r="I150" s="17"/>
      <c r="J150" s="16"/>
      <c r="K150" s="16"/>
      <c r="L150" s="16"/>
      <c r="M150" s="16"/>
    </row>
    <row r="151" spans="1:13" ht="15.75">
      <c r="A151" s="17"/>
      <c r="B151" s="17"/>
      <c r="C151" s="17"/>
      <c r="D151" s="17"/>
      <c r="E151" s="17"/>
      <c r="F151" s="17"/>
      <c r="G151" s="17"/>
      <c r="H151" s="17"/>
      <c r="I151" s="17"/>
      <c r="J151" s="16"/>
      <c r="K151" s="16"/>
      <c r="L151" s="16"/>
      <c r="M151" s="16"/>
    </row>
    <row r="152" spans="1:13" ht="15.75">
      <c r="A152" s="17"/>
      <c r="B152" s="17"/>
      <c r="C152" s="17"/>
      <c r="D152" s="17"/>
      <c r="E152" s="17"/>
      <c r="F152" s="17"/>
      <c r="G152" s="17"/>
      <c r="H152" s="17"/>
      <c r="I152" s="17"/>
      <c r="J152" s="16"/>
      <c r="K152" s="16"/>
      <c r="L152" s="16"/>
      <c r="M152" s="16"/>
    </row>
    <row r="153" spans="1:13" ht="15.75">
      <c r="A153" s="17"/>
      <c r="B153" s="17"/>
      <c r="C153" s="17"/>
      <c r="D153" s="17"/>
      <c r="E153" s="17"/>
      <c r="F153" s="17"/>
      <c r="G153" s="17"/>
      <c r="H153" s="17"/>
      <c r="I153" s="17"/>
      <c r="J153" s="16"/>
      <c r="K153" s="16"/>
      <c r="L153" s="16"/>
      <c r="M153" s="16"/>
    </row>
    <row r="154" spans="1:13" ht="15.75">
      <c r="A154" s="17"/>
      <c r="B154" s="17"/>
      <c r="C154" s="17"/>
      <c r="D154" s="17"/>
      <c r="E154" s="17"/>
      <c r="F154" s="17"/>
      <c r="G154" s="17"/>
      <c r="H154" s="17"/>
      <c r="I154" s="17"/>
      <c r="J154" s="16"/>
      <c r="K154" s="16"/>
      <c r="L154" s="16"/>
      <c r="M154" s="16"/>
    </row>
    <row r="155" spans="1:13" ht="15.75">
      <c r="A155" s="17"/>
      <c r="B155" s="17"/>
      <c r="C155" s="17"/>
      <c r="D155" s="17"/>
      <c r="E155" s="17"/>
      <c r="F155" s="17"/>
      <c r="G155" s="17"/>
      <c r="H155" s="17"/>
      <c r="I155" s="17"/>
      <c r="J155" s="16"/>
      <c r="K155" s="16"/>
      <c r="L155" s="16"/>
      <c r="M155" s="16"/>
    </row>
    <row r="156" spans="1:13" ht="15.75">
      <c r="A156" s="17"/>
      <c r="B156" s="17"/>
      <c r="C156" s="17"/>
      <c r="D156" s="17"/>
      <c r="E156" s="17"/>
      <c r="F156" s="17"/>
      <c r="G156" s="17"/>
      <c r="H156" s="17"/>
      <c r="I156" s="17"/>
      <c r="J156" s="16"/>
      <c r="K156" s="16"/>
      <c r="L156" s="16"/>
      <c r="M156" s="16"/>
    </row>
    <row r="157" spans="1:13" ht="15.75">
      <c r="A157" s="17"/>
      <c r="B157" s="17"/>
      <c r="C157" s="17"/>
      <c r="D157" s="17"/>
      <c r="E157" s="17"/>
      <c r="F157" s="17"/>
      <c r="G157" s="17"/>
      <c r="H157" s="17"/>
      <c r="I157" s="17"/>
      <c r="J157" s="16"/>
      <c r="K157" s="16"/>
      <c r="L157" s="16"/>
      <c r="M157" s="16"/>
    </row>
    <row r="158" spans="1:13" ht="15.75">
      <c r="A158" s="17"/>
      <c r="B158" s="17"/>
      <c r="C158" s="17"/>
      <c r="D158" s="17"/>
      <c r="E158" s="17"/>
      <c r="F158" s="17"/>
      <c r="G158" s="17"/>
      <c r="H158" s="17"/>
      <c r="I158" s="17"/>
      <c r="J158" s="16"/>
      <c r="K158" s="16"/>
      <c r="L158" s="16"/>
      <c r="M158" s="16"/>
    </row>
    <row r="159" spans="1:13" ht="15.75">
      <c r="A159" s="17"/>
      <c r="B159" s="17"/>
      <c r="C159" s="17"/>
      <c r="D159" s="17"/>
      <c r="E159" s="17"/>
      <c r="F159" s="17"/>
      <c r="G159" s="17"/>
      <c r="H159" s="17"/>
      <c r="I159" s="17"/>
      <c r="J159" s="16"/>
      <c r="K159" s="16"/>
      <c r="L159" s="16"/>
      <c r="M159" s="16"/>
    </row>
    <row r="160" spans="1:13" ht="15.75">
      <c r="A160" s="17"/>
      <c r="B160" s="17"/>
      <c r="C160" s="17"/>
      <c r="D160" s="17"/>
      <c r="E160" s="17"/>
      <c r="F160" s="17"/>
      <c r="G160" s="17"/>
      <c r="H160" s="17"/>
      <c r="I160" s="17"/>
      <c r="J160" s="16"/>
      <c r="K160" s="16"/>
      <c r="L160" s="16"/>
      <c r="M160" s="16"/>
    </row>
    <row r="161" spans="1:13" ht="15.75">
      <c r="A161" s="17"/>
      <c r="B161" s="17"/>
      <c r="C161" s="17"/>
      <c r="D161" s="17"/>
      <c r="E161" s="17"/>
      <c r="F161" s="17"/>
      <c r="G161" s="17"/>
      <c r="H161" s="17"/>
      <c r="I161" s="17"/>
      <c r="J161" s="16"/>
      <c r="K161" s="16"/>
      <c r="L161" s="16"/>
      <c r="M161" s="16"/>
    </row>
    <row r="162" spans="1:13" ht="15.75">
      <c r="A162" s="17"/>
      <c r="B162" s="17"/>
      <c r="C162" s="17"/>
      <c r="D162" s="17"/>
      <c r="E162" s="17"/>
      <c r="F162" s="17"/>
      <c r="G162" s="17"/>
      <c r="H162" s="17"/>
      <c r="I162" s="17"/>
      <c r="J162" s="16"/>
      <c r="K162" s="16"/>
      <c r="L162" s="16"/>
      <c r="M162" s="16"/>
    </row>
    <row r="163" spans="1:13" ht="15.75">
      <c r="A163" s="17"/>
      <c r="B163" s="17"/>
      <c r="C163" s="17"/>
      <c r="D163" s="17"/>
      <c r="E163" s="17"/>
      <c r="F163" s="17"/>
      <c r="G163" s="17"/>
      <c r="H163" s="17"/>
      <c r="I163" s="17"/>
      <c r="J163" s="16"/>
      <c r="K163" s="16"/>
      <c r="L163" s="16"/>
      <c r="M163" s="16"/>
    </row>
    <row r="164" spans="1:13" ht="15.75">
      <c r="A164" s="17"/>
      <c r="B164" s="17"/>
      <c r="C164" s="17"/>
      <c r="D164" s="17"/>
      <c r="E164" s="17"/>
      <c r="F164" s="17"/>
      <c r="G164" s="17"/>
      <c r="H164" s="17"/>
      <c r="I164" s="17"/>
      <c r="J164" s="16"/>
      <c r="K164" s="16"/>
      <c r="L164" s="16"/>
      <c r="M164" s="16"/>
    </row>
    <row r="165" spans="1:13" ht="15.75">
      <c r="A165" s="17"/>
      <c r="B165" s="17"/>
      <c r="C165" s="17"/>
      <c r="D165" s="17"/>
      <c r="E165" s="17"/>
      <c r="F165" s="17"/>
      <c r="G165" s="17"/>
      <c r="H165" s="17"/>
      <c r="I165" s="17"/>
      <c r="J165" s="16"/>
      <c r="K165" s="16"/>
      <c r="L165" s="16"/>
      <c r="M165" s="16"/>
    </row>
    <row r="166" spans="1:13" ht="15.75">
      <c r="A166" s="17"/>
      <c r="B166" s="17"/>
      <c r="C166" s="17"/>
      <c r="D166" s="17"/>
      <c r="E166" s="17"/>
      <c r="F166" s="17"/>
      <c r="G166" s="17"/>
      <c r="H166" s="17"/>
      <c r="I166" s="17"/>
      <c r="J166" s="16"/>
      <c r="K166" s="16"/>
      <c r="L166" s="16"/>
      <c r="M166" s="16"/>
    </row>
    <row r="167" spans="1:13" ht="15.75">
      <c r="A167" s="17"/>
      <c r="B167" s="17"/>
      <c r="C167" s="17"/>
      <c r="D167" s="17"/>
      <c r="E167" s="17"/>
      <c r="F167" s="17"/>
      <c r="G167" s="17"/>
      <c r="H167" s="17"/>
      <c r="I167" s="17"/>
      <c r="J167" s="16"/>
      <c r="K167" s="16"/>
      <c r="L167" s="16"/>
      <c r="M167" s="16"/>
    </row>
    <row r="168" spans="1:13" ht="15.75">
      <c r="A168" s="17"/>
      <c r="B168" s="17"/>
      <c r="C168" s="17"/>
      <c r="D168" s="17"/>
      <c r="E168" s="17"/>
      <c r="F168" s="17"/>
      <c r="G168" s="17"/>
      <c r="H168" s="17"/>
      <c r="I168" s="17"/>
      <c r="J168" s="16"/>
      <c r="K168" s="16"/>
      <c r="L168" s="16"/>
      <c r="M168" s="16"/>
    </row>
    <row r="169" spans="1:13" ht="15.75">
      <c r="A169" s="17"/>
      <c r="B169" s="17"/>
      <c r="C169" s="17"/>
      <c r="D169" s="17"/>
      <c r="E169" s="17"/>
      <c r="F169" s="17"/>
      <c r="G169" s="17"/>
      <c r="H169" s="17"/>
      <c r="I169" s="17"/>
      <c r="J169" s="16"/>
      <c r="K169" s="16"/>
      <c r="L169" s="16"/>
      <c r="M169" s="16"/>
    </row>
    <row r="170" spans="1:13" ht="15.75">
      <c r="A170" s="17"/>
      <c r="B170" s="17"/>
      <c r="C170" s="17"/>
      <c r="D170" s="17"/>
      <c r="E170" s="17"/>
      <c r="F170" s="17"/>
      <c r="G170" s="17"/>
      <c r="H170" s="17"/>
      <c r="I170" s="17"/>
      <c r="J170" s="16"/>
      <c r="K170" s="16"/>
      <c r="L170" s="16"/>
      <c r="M170" s="16"/>
    </row>
    <row r="171" spans="1:13" ht="15.75">
      <c r="A171" s="17"/>
      <c r="B171" s="17"/>
      <c r="C171" s="17"/>
      <c r="D171" s="17"/>
      <c r="E171" s="17"/>
      <c r="F171" s="17"/>
      <c r="G171" s="17"/>
      <c r="H171" s="17"/>
      <c r="I171" s="17"/>
      <c r="J171" s="16"/>
      <c r="K171" s="16"/>
      <c r="L171" s="16"/>
      <c r="M171" s="16"/>
    </row>
    <row r="172" spans="1:13" ht="15.75">
      <c r="A172" s="17"/>
      <c r="B172" s="17"/>
      <c r="C172" s="17"/>
      <c r="D172" s="17"/>
      <c r="E172" s="17"/>
      <c r="F172" s="17"/>
      <c r="G172" s="17"/>
      <c r="H172" s="17"/>
      <c r="I172" s="17"/>
      <c r="J172" s="16"/>
      <c r="K172" s="16"/>
      <c r="L172" s="16"/>
      <c r="M172" s="16"/>
    </row>
    <row r="173" spans="1:13" ht="15.75">
      <c r="A173" s="17"/>
      <c r="B173" s="17"/>
      <c r="C173" s="17"/>
      <c r="D173" s="17"/>
      <c r="E173" s="17"/>
      <c r="F173" s="17"/>
      <c r="G173" s="17"/>
      <c r="H173" s="17"/>
      <c r="I173" s="17"/>
      <c r="J173" s="16"/>
      <c r="K173" s="16"/>
      <c r="L173" s="16"/>
      <c r="M173" s="16"/>
    </row>
  </sheetData>
  <sheetProtection/>
  <mergeCells count="18">
    <mergeCell ref="A2:Z2"/>
    <mergeCell ref="N7:Z7"/>
    <mergeCell ref="A1:M1"/>
    <mergeCell ref="A3:M3"/>
    <mergeCell ref="F9:I9"/>
    <mergeCell ref="B9:E9"/>
    <mergeCell ref="O9:R9"/>
    <mergeCell ref="S9:V9"/>
    <mergeCell ref="W9:Z9"/>
    <mergeCell ref="J9:M9"/>
    <mergeCell ref="A4:M4"/>
    <mergeCell ref="N3:Z3"/>
    <mergeCell ref="N4:Z4"/>
    <mergeCell ref="A8:M8"/>
    <mergeCell ref="N8:Z8"/>
    <mergeCell ref="A31:M31"/>
    <mergeCell ref="N31:Z31"/>
    <mergeCell ref="A7:M7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6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8.75390625" style="9" customWidth="1"/>
    <col min="2" max="2" width="14.25390625" style="9" bestFit="1" customWidth="1"/>
    <col min="3" max="3" width="12.375" style="9" bestFit="1" customWidth="1"/>
    <col min="4" max="4" width="12.625" style="9" customWidth="1"/>
    <col min="5" max="5" width="15.25390625" style="9" bestFit="1" customWidth="1"/>
    <col min="6" max="16384" width="9.125" style="9" customWidth="1"/>
  </cols>
  <sheetData>
    <row r="1" spans="1:5" ht="15.75">
      <c r="A1" s="330" t="s">
        <v>558</v>
      </c>
      <c r="B1" s="330"/>
      <c r="C1" s="330"/>
      <c r="D1" s="330"/>
      <c r="E1" s="330"/>
    </row>
    <row r="3" spans="1:5" ht="15.75">
      <c r="A3" s="349" t="s">
        <v>13</v>
      </c>
      <c r="B3" s="349"/>
      <c r="C3" s="349"/>
      <c r="D3" s="349"/>
      <c r="E3" s="349"/>
    </row>
    <row r="4" spans="1:5" ht="15.75">
      <c r="A4" s="349" t="s">
        <v>450</v>
      </c>
      <c r="B4" s="349"/>
      <c r="C4" s="349"/>
      <c r="D4" s="349"/>
      <c r="E4" s="349"/>
    </row>
    <row r="5" spans="1:2" ht="15.75">
      <c r="A5" s="45"/>
      <c r="B5" s="45"/>
    </row>
    <row r="6" spans="1:5" ht="15.75">
      <c r="A6" s="254"/>
      <c r="B6" s="255"/>
      <c r="C6" s="254"/>
      <c r="D6" s="254"/>
      <c r="E6" s="255" t="s">
        <v>342</v>
      </c>
    </row>
    <row r="7" spans="1:5" ht="15.75" customHeight="1">
      <c r="A7" s="172" t="s">
        <v>15</v>
      </c>
      <c r="B7" s="350" t="s">
        <v>33</v>
      </c>
      <c r="C7" s="350"/>
      <c r="D7" s="350"/>
      <c r="E7" s="351" t="s">
        <v>17</v>
      </c>
    </row>
    <row r="8" spans="1:5" ht="28.5">
      <c r="A8" s="172" t="s">
        <v>36</v>
      </c>
      <c r="B8" s="253" t="s">
        <v>34</v>
      </c>
      <c r="C8" s="173" t="s">
        <v>35</v>
      </c>
      <c r="D8" s="173" t="s">
        <v>190</v>
      </c>
      <c r="E8" s="351"/>
    </row>
    <row r="9" spans="1:5" ht="15.75">
      <c r="A9" s="257" t="s">
        <v>477</v>
      </c>
      <c r="B9" s="256">
        <f>43307087*1.27</f>
        <v>55000000.49</v>
      </c>
      <c r="C9" s="249">
        <v>0</v>
      </c>
      <c r="D9" s="249">
        <v>0</v>
      </c>
      <c r="E9" s="261">
        <f aca="true" t="shared" si="0" ref="E9:E22">SUM(B9:D9)</f>
        <v>55000000.49</v>
      </c>
    </row>
    <row r="10" spans="1:5" ht="15.75">
      <c r="A10" s="257" t="s">
        <v>478</v>
      </c>
      <c r="B10" s="256">
        <f>3800000*1.27</f>
        <v>4826000</v>
      </c>
      <c r="C10" s="249">
        <v>0</v>
      </c>
      <c r="D10" s="249">
        <v>0</v>
      </c>
      <c r="E10" s="261">
        <f t="shared" si="0"/>
        <v>4826000</v>
      </c>
    </row>
    <row r="11" spans="1:5" ht="15.75">
      <c r="A11" s="257" t="s">
        <v>479</v>
      </c>
      <c r="B11" s="256">
        <f>1000000*1.27</f>
        <v>1270000</v>
      </c>
      <c r="C11" s="249">
        <v>0</v>
      </c>
      <c r="D11" s="249">
        <v>0</v>
      </c>
      <c r="E11" s="261">
        <f t="shared" si="0"/>
        <v>1270000</v>
      </c>
    </row>
    <row r="12" spans="1:5" ht="30">
      <c r="A12" s="257" t="s">
        <v>480</v>
      </c>
      <c r="B12" s="256">
        <f>21117411*1.27</f>
        <v>26819111.97</v>
      </c>
      <c r="C12" s="249">
        <v>0</v>
      </c>
      <c r="D12" s="249">
        <v>0</v>
      </c>
      <c r="E12" s="261">
        <f t="shared" si="0"/>
        <v>26819111.97</v>
      </c>
    </row>
    <row r="13" spans="1:5" ht="15.75">
      <c r="A13" s="257" t="s">
        <v>511</v>
      </c>
      <c r="B13" s="256">
        <f>2000000*1.27</f>
        <v>2540000</v>
      </c>
      <c r="C13" s="249">
        <v>0</v>
      </c>
      <c r="D13" s="249">
        <v>0</v>
      </c>
      <c r="E13" s="261">
        <f t="shared" si="0"/>
        <v>2540000</v>
      </c>
    </row>
    <row r="14" spans="1:5" ht="15.75">
      <c r="A14" s="257" t="s">
        <v>431</v>
      </c>
      <c r="B14" s="256">
        <v>80000000</v>
      </c>
      <c r="C14" s="249">
        <v>0</v>
      </c>
      <c r="D14" s="249">
        <v>0</v>
      </c>
      <c r="E14" s="261">
        <f t="shared" si="0"/>
        <v>80000000</v>
      </c>
    </row>
    <row r="15" spans="1:5" ht="30">
      <c r="A15" s="257" t="s">
        <v>432</v>
      </c>
      <c r="B15" s="256">
        <f>29973000*1.27</f>
        <v>38065710</v>
      </c>
      <c r="C15" s="249">
        <v>0</v>
      </c>
      <c r="D15" s="249">
        <v>0</v>
      </c>
      <c r="E15" s="261">
        <f t="shared" si="0"/>
        <v>38065710</v>
      </c>
    </row>
    <row r="16" spans="1:5" ht="30">
      <c r="A16" s="257" t="s">
        <v>433</v>
      </c>
      <c r="B16" s="256">
        <f>24430000*1.27</f>
        <v>31026100</v>
      </c>
      <c r="C16" s="249">
        <v>0</v>
      </c>
      <c r="D16" s="249">
        <v>0</v>
      </c>
      <c r="E16" s="261">
        <f t="shared" si="0"/>
        <v>31026100</v>
      </c>
    </row>
    <row r="17" spans="1:5" ht="15.75">
      <c r="A17" s="257" t="s">
        <v>512</v>
      </c>
      <c r="B17" s="256">
        <f>1100000*1.27</f>
        <v>1397000</v>
      </c>
      <c r="C17" s="249">
        <v>0</v>
      </c>
      <c r="D17" s="249">
        <v>0</v>
      </c>
      <c r="E17" s="261">
        <f t="shared" si="0"/>
        <v>1397000</v>
      </c>
    </row>
    <row r="18" spans="1:5" ht="30">
      <c r="A18" s="385" t="s">
        <v>519</v>
      </c>
      <c r="B18" s="382">
        <v>20000000</v>
      </c>
      <c r="C18" s="384"/>
      <c r="D18" s="384"/>
      <c r="E18" s="386">
        <f t="shared" si="0"/>
        <v>20000000</v>
      </c>
    </row>
    <row r="19" spans="1:5" ht="15.75">
      <c r="A19" s="385" t="s">
        <v>548</v>
      </c>
      <c r="B19" s="382">
        <v>20000000</v>
      </c>
      <c r="C19" s="384"/>
      <c r="D19" s="384"/>
      <c r="E19" s="386">
        <f t="shared" si="0"/>
        <v>20000000</v>
      </c>
    </row>
    <row r="20" spans="1:5" ht="30">
      <c r="A20" s="257" t="s">
        <v>513</v>
      </c>
      <c r="B20" s="256">
        <f>1124000*1.27</f>
        <v>1427480</v>
      </c>
      <c r="C20" s="256">
        <v>0</v>
      </c>
      <c r="D20" s="256">
        <v>0</v>
      </c>
      <c r="E20" s="261">
        <f t="shared" si="0"/>
        <v>1427480</v>
      </c>
    </row>
    <row r="21" spans="1:5" ht="15.75">
      <c r="A21" s="257" t="s">
        <v>481</v>
      </c>
      <c r="B21" s="256">
        <f>97502204*1.27+153900</f>
        <v>123981699.08</v>
      </c>
      <c r="C21" s="256">
        <v>0</v>
      </c>
      <c r="D21" s="256">
        <v>0</v>
      </c>
      <c r="E21" s="261">
        <f t="shared" si="0"/>
        <v>123981699.08</v>
      </c>
    </row>
    <row r="22" spans="1:5" ht="15.75">
      <c r="A22" s="178" t="s">
        <v>16</v>
      </c>
      <c r="B22" s="176">
        <f>SUM(B9:B21)</f>
        <v>406353101.54</v>
      </c>
      <c r="C22" s="176">
        <f>SUM(C9:C21)</f>
        <v>0</v>
      </c>
      <c r="D22" s="176">
        <f>SUM(D9:D21)</f>
        <v>0</v>
      </c>
      <c r="E22" s="302">
        <f t="shared" si="0"/>
        <v>406353101.54</v>
      </c>
    </row>
  </sheetData>
  <sheetProtection/>
  <mergeCells count="5">
    <mergeCell ref="A4:E4"/>
    <mergeCell ref="B7:D7"/>
    <mergeCell ref="E7:E8"/>
    <mergeCell ref="A1:E1"/>
    <mergeCell ref="A3:E3"/>
  </mergeCells>
  <printOptions/>
  <pageMargins left="1.9291338582677167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4.25390625" style="9" customWidth="1"/>
    <col min="2" max="2" width="12.25390625" style="9" customWidth="1"/>
    <col min="3" max="3" width="12.375" style="9" bestFit="1" customWidth="1"/>
    <col min="4" max="4" width="12.125" style="9" customWidth="1"/>
    <col min="5" max="5" width="13.00390625" style="9" customWidth="1"/>
    <col min="6" max="16384" width="9.125" style="9" customWidth="1"/>
  </cols>
  <sheetData>
    <row r="1" spans="1:5" ht="15.75">
      <c r="A1" s="330" t="s">
        <v>559</v>
      </c>
      <c r="B1" s="330"/>
      <c r="C1" s="330"/>
      <c r="D1" s="330"/>
      <c r="E1" s="330"/>
    </row>
    <row r="3" spans="1:5" ht="15.75">
      <c r="A3" s="352" t="s">
        <v>13</v>
      </c>
      <c r="B3" s="352"/>
      <c r="C3" s="352"/>
      <c r="D3" s="352"/>
      <c r="E3" s="352"/>
    </row>
    <row r="4" spans="1:5" ht="15.75">
      <c r="A4" s="352" t="s">
        <v>451</v>
      </c>
      <c r="B4" s="352"/>
      <c r="C4" s="352"/>
      <c r="D4" s="352"/>
      <c r="E4" s="352"/>
    </row>
    <row r="5" spans="1:2" ht="15.75">
      <c r="A5" s="263"/>
      <c r="B5" s="42"/>
    </row>
    <row r="6" spans="2:5" ht="15.75">
      <c r="B6" s="10"/>
      <c r="E6" s="10" t="s">
        <v>342</v>
      </c>
    </row>
    <row r="7" spans="1:6" ht="15.75">
      <c r="A7" s="172" t="s">
        <v>15</v>
      </c>
      <c r="B7" s="350" t="s">
        <v>33</v>
      </c>
      <c r="C7" s="350"/>
      <c r="D7" s="350"/>
      <c r="E7" s="351" t="s">
        <v>17</v>
      </c>
      <c r="F7" s="254"/>
    </row>
    <row r="8" spans="1:6" ht="28.5">
      <c r="A8" s="172" t="s">
        <v>36</v>
      </c>
      <c r="B8" s="253" t="s">
        <v>34</v>
      </c>
      <c r="C8" s="173" t="s">
        <v>35</v>
      </c>
      <c r="D8" s="173" t="s">
        <v>190</v>
      </c>
      <c r="E8" s="351"/>
      <c r="F8" s="254"/>
    </row>
    <row r="9" spans="1:6" ht="60">
      <c r="A9" s="262" t="s">
        <v>434</v>
      </c>
      <c r="B9" s="256">
        <v>578351047</v>
      </c>
      <c r="C9" s="249">
        <v>0</v>
      </c>
      <c r="D9" s="249">
        <v>0</v>
      </c>
      <c r="E9" s="249">
        <f aca="true" t="shared" si="0" ref="E9:E14">SUM(B9:D9)</f>
        <v>578351047</v>
      </c>
      <c r="F9" s="254"/>
    </row>
    <row r="10" spans="1:6" ht="15.75">
      <c r="A10" s="262" t="s">
        <v>473</v>
      </c>
      <c r="B10" s="256">
        <v>0</v>
      </c>
      <c r="C10" s="249">
        <v>15000000</v>
      </c>
      <c r="D10" s="249">
        <v>0</v>
      </c>
      <c r="E10" s="249">
        <f t="shared" si="0"/>
        <v>15000000</v>
      </c>
      <c r="F10" s="254"/>
    </row>
    <row r="11" spans="1:6" ht="30">
      <c r="A11" s="262" t="s">
        <v>475</v>
      </c>
      <c r="B11" s="256">
        <v>0</v>
      </c>
      <c r="C11" s="249">
        <v>3900000</v>
      </c>
      <c r="D11" s="249">
        <v>0</v>
      </c>
      <c r="E11" s="249">
        <f t="shared" si="0"/>
        <v>3900000</v>
      </c>
      <c r="F11" s="292"/>
    </row>
    <row r="12" spans="1:6" s="276" customFormat="1" ht="15.75">
      <c r="A12" s="385" t="s">
        <v>476</v>
      </c>
      <c r="B12" s="382">
        <v>0</v>
      </c>
      <c r="C12" s="384">
        <v>15000000</v>
      </c>
      <c r="D12" s="384">
        <v>0</v>
      </c>
      <c r="E12" s="384">
        <f t="shared" si="0"/>
        <v>15000000</v>
      </c>
      <c r="F12" s="387"/>
    </row>
    <row r="13" spans="1:6" ht="15.75">
      <c r="A13" s="295" t="s">
        <v>350</v>
      </c>
      <c r="B13" s="296">
        <f>SUM(B9:B12)</f>
        <v>578351047</v>
      </c>
      <c r="C13" s="296">
        <v>0</v>
      </c>
      <c r="D13" s="296">
        <f>SUM(D9:D12)</f>
        <v>0</v>
      </c>
      <c r="E13" s="249">
        <f t="shared" si="0"/>
        <v>578351047</v>
      </c>
      <c r="F13" s="293"/>
    </row>
    <row r="14" spans="1:6" ht="15.75">
      <c r="A14" s="175" t="s">
        <v>351</v>
      </c>
      <c r="B14" s="264">
        <f>SUM(B13)</f>
        <v>578351047</v>
      </c>
      <c r="C14" s="264">
        <f>SUM(C9:C13)</f>
        <v>33900000</v>
      </c>
      <c r="D14" s="264">
        <f>SUM(D13)</f>
        <v>0</v>
      </c>
      <c r="E14" s="250">
        <f t="shared" si="0"/>
        <v>612251047</v>
      </c>
      <c r="F14" s="292"/>
    </row>
    <row r="15" spans="1:6" ht="15.75">
      <c r="A15" s="254"/>
      <c r="B15" s="254"/>
      <c r="C15" s="254"/>
      <c r="D15" s="254"/>
      <c r="E15" s="254"/>
      <c r="F15" s="292"/>
    </row>
    <row r="16" ht="15.75">
      <c r="F16" s="294"/>
    </row>
    <row r="17" ht="15.75">
      <c r="F17" s="294"/>
    </row>
  </sheetData>
  <sheetProtection/>
  <mergeCells count="5">
    <mergeCell ref="A4:E4"/>
    <mergeCell ref="B7:D7"/>
    <mergeCell ref="E7:E8"/>
    <mergeCell ref="A1:E1"/>
    <mergeCell ref="A3:E3"/>
  </mergeCells>
  <printOptions/>
  <pageMargins left="1.9291338582677167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65.375" style="44" customWidth="1"/>
    <col min="2" max="2" width="14.25390625" style="214" bestFit="1" customWidth="1"/>
    <col min="3" max="3" width="12.75390625" style="2" customWidth="1"/>
    <col min="4" max="4" width="12.25390625" style="2" customWidth="1"/>
    <col min="5" max="5" width="13.875" style="2" customWidth="1"/>
    <col min="6" max="16384" width="9.125" style="2" customWidth="1"/>
  </cols>
  <sheetData>
    <row r="1" spans="1:5" ht="15.75">
      <c r="A1" s="330" t="s">
        <v>560</v>
      </c>
      <c r="B1" s="330"/>
      <c r="C1" s="330"/>
      <c r="D1" s="330"/>
      <c r="E1" s="330"/>
    </row>
    <row r="2" spans="1:5" ht="15.75">
      <c r="A2" s="330"/>
      <c r="B2" s="330"/>
      <c r="C2" s="330"/>
      <c r="D2" s="330"/>
      <c r="E2" s="330"/>
    </row>
    <row r="3" spans="1:5" ht="15.75">
      <c r="A3" s="353" t="s">
        <v>13</v>
      </c>
      <c r="B3" s="353"/>
      <c r="C3" s="353"/>
      <c r="D3" s="353"/>
      <c r="E3" s="353"/>
    </row>
    <row r="4" spans="1:5" ht="15.75">
      <c r="A4" s="353" t="s">
        <v>452</v>
      </c>
      <c r="B4" s="353"/>
      <c r="C4" s="353"/>
      <c r="D4" s="353"/>
      <c r="E4" s="353"/>
    </row>
    <row r="5" spans="1:5" ht="15.75">
      <c r="A5" s="353" t="s">
        <v>42</v>
      </c>
      <c r="B5" s="353"/>
      <c r="C5" s="353"/>
      <c r="D5" s="353"/>
      <c r="E5" s="353"/>
    </row>
    <row r="6" spans="1:5" ht="15.75">
      <c r="A6" s="136"/>
      <c r="B6" s="243"/>
      <c r="C6" s="135"/>
      <c r="D6" s="135"/>
      <c r="E6" s="135"/>
    </row>
    <row r="7" spans="1:5" ht="15.75">
      <c r="A7" s="136"/>
      <c r="B7" s="244"/>
      <c r="C7" s="9"/>
      <c r="D7" s="9"/>
      <c r="E7" s="10" t="s">
        <v>342</v>
      </c>
    </row>
    <row r="8" spans="1:5" ht="15.75" customHeight="1">
      <c r="A8" s="137" t="s">
        <v>15</v>
      </c>
      <c r="B8" s="325" t="s">
        <v>33</v>
      </c>
      <c r="C8" s="326"/>
      <c r="D8" s="327"/>
      <c r="E8" s="335" t="s">
        <v>17</v>
      </c>
    </row>
    <row r="9" spans="1:5" ht="31.5">
      <c r="A9" s="137" t="s">
        <v>36</v>
      </c>
      <c r="B9" s="245" t="s">
        <v>34</v>
      </c>
      <c r="C9" s="47" t="s">
        <v>35</v>
      </c>
      <c r="D9" s="37" t="s">
        <v>190</v>
      </c>
      <c r="E9" s="336"/>
    </row>
    <row r="10" spans="1:5" s="274" customFormat="1" ht="15.75">
      <c r="A10" s="388" t="s">
        <v>406</v>
      </c>
      <c r="B10" s="389">
        <v>0</v>
      </c>
      <c r="C10" s="389">
        <f>5000000+1000000</f>
        <v>6000000</v>
      </c>
      <c r="D10" s="389">
        <v>0</v>
      </c>
      <c r="E10" s="389">
        <f>SUM(B10:D10)</f>
        <v>6000000</v>
      </c>
    </row>
    <row r="11" spans="1:5" ht="15.75">
      <c r="A11" s="138" t="s">
        <v>508</v>
      </c>
      <c r="B11" s="213">
        <v>368670</v>
      </c>
      <c r="C11" s="139">
        <v>0</v>
      </c>
      <c r="D11" s="139">
        <v>0</v>
      </c>
      <c r="E11" s="139">
        <f>SUM(B11:D11)</f>
        <v>368670</v>
      </c>
    </row>
    <row r="12" spans="1:5" ht="15.75">
      <c r="A12" s="141" t="s">
        <v>516</v>
      </c>
      <c r="B12" s="213">
        <v>507075761</v>
      </c>
      <c r="C12" s="139">
        <v>0</v>
      </c>
      <c r="D12" s="139">
        <v>0</v>
      </c>
      <c r="E12" s="139">
        <f>SUM(B12:D12)</f>
        <v>507075761</v>
      </c>
    </row>
    <row r="13" spans="1:5" ht="15.75">
      <c r="A13" s="138" t="s">
        <v>407</v>
      </c>
      <c r="B13" s="213">
        <v>126853100</v>
      </c>
      <c r="C13" s="139">
        <v>0</v>
      </c>
      <c r="D13" s="139">
        <v>0</v>
      </c>
      <c r="E13" s="139">
        <f>SUM(B13:D13)</f>
        <v>126853100</v>
      </c>
    </row>
    <row r="14" spans="1:5" ht="15.75">
      <c r="A14" s="140" t="s">
        <v>40</v>
      </c>
      <c r="B14" s="246">
        <f>SUM(B10:B13)</f>
        <v>634297531</v>
      </c>
      <c r="C14" s="111">
        <f>SUM(C10:C13)</f>
        <v>6000000</v>
      </c>
      <c r="D14" s="111">
        <f>SUM(D10:D13)</f>
        <v>0</v>
      </c>
      <c r="E14" s="111">
        <f>SUM(E10:E13)</f>
        <v>640297531</v>
      </c>
    </row>
    <row r="15" spans="1:5" ht="15.75">
      <c r="A15" s="138" t="s">
        <v>418</v>
      </c>
      <c r="B15" s="247">
        <v>700000</v>
      </c>
      <c r="C15" s="134">
        <v>0</v>
      </c>
      <c r="D15" s="134">
        <v>0</v>
      </c>
      <c r="E15" s="134">
        <f aca="true" t="shared" si="0" ref="E15:E23">SUM(B15:D15)</f>
        <v>700000</v>
      </c>
    </row>
    <row r="16" spans="1:5" s="274" customFormat="1" ht="15.75">
      <c r="A16" s="390" t="s">
        <v>514</v>
      </c>
      <c r="B16" s="391"/>
      <c r="C16" s="391">
        <f>5000000+3000000</f>
        <v>8000000</v>
      </c>
      <c r="D16" s="391"/>
      <c r="E16" s="391">
        <f t="shared" si="0"/>
        <v>8000000</v>
      </c>
    </row>
    <row r="17" spans="1:5" ht="15.75">
      <c r="A17" s="138" t="s">
        <v>408</v>
      </c>
      <c r="B17" s="247">
        <v>0</v>
      </c>
      <c r="C17" s="134">
        <v>1200000</v>
      </c>
      <c r="D17" s="134">
        <v>0</v>
      </c>
      <c r="E17" s="134">
        <f t="shared" si="0"/>
        <v>1200000</v>
      </c>
    </row>
    <row r="18" spans="1:5" ht="15.75">
      <c r="A18" s="138" t="s">
        <v>460</v>
      </c>
      <c r="B18" s="247">
        <v>98952000</v>
      </c>
      <c r="C18" s="134">
        <v>0</v>
      </c>
      <c r="D18" s="134">
        <v>0</v>
      </c>
      <c r="E18" s="134">
        <f t="shared" si="0"/>
        <v>98952000</v>
      </c>
    </row>
    <row r="19" spans="1:5" ht="31.5">
      <c r="A19" s="138" t="s">
        <v>467</v>
      </c>
      <c r="B19" s="247">
        <v>0</v>
      </c>
      <c r="C19" s="134">
        <v>35000000</v>
      </c>
      <c r="D19" s="134">
        <v>0</v>
      </c>
      <c r="E19" s="134">
        <f t="shared" si="0"/>
        <v>35000000</v>
      </c>
    </row>
    <row r="20" spans="1:5" ht="31.5">
      <c r="A20" s="138" t="s">
        <v>469</v>
      </c>
      <c r="B20" s="247">
        <v>0</v>
      </c>
      <c r="C20" s="134">
        <v>93223000</v>
      </c>
      <c r="D20" s="134">
        <v>0</v>
      </c>
      <c r="E20" s="134">
        <f t="shared" si="0"/>
        <v>93223000</v>
      </c>
    </row>
    <row r="21" spans="1:5" ht="15.75">
      <c r="A21" s="138" t="s">
        <v>468</v>
      </c>
      <c r="B21" s="247">
        <v>31685216</v>
      </c>
      <c r="C21" s="134">
        <v>0</v>
      </c>
      <c r="D21" s="134">
        <v>0</v>
      </c>
      <c r="E21" s="134">
        <f t="shared" si="0"/>
        <v>31685216</v>
      </c>
    </row>
    <row r="22" spans="1:5" ht="15.75">
      <c r="A22" s="138" t="s">
        <v>416</v>
      </c>
      <c r="B22" s="247">
        <v>2700000</v>
      </c>
      <c r="C22" s="134">
        <v>0</v>
      </c>
      <c r="D22" s="134">
        <v>0</v>
      </c>
      <c r="E22" s="134">
        <f t="shared" si="0"/>
        <v>2700000</v>
      </c>
    </row>
    <row r="23" spans="1:5" ht="31.5">
      <c r="A23" s="138" t="s">
        <v>417</v>
      </c>
      <c r="B23" s="247">
        <v>4490000</v>
      </c>
      <c r="C23" s="134">
        <v>0</v>
      </c>
      <c r="D23" s="134">
        <v>0</v>
      </c>
      <c r="E23" s="134">
        <f t="shared" si="0"/>
        <v>4490000</v>
      </c>
    </row>
    <row r="24" spans="1:5" ht="15.75">
      <c r="A24" s="138" t="s">
        <v>509</v>
      </c>
      <c r="B24" s="247">
        <v>1940000</v>
      </c>
      <c r="C24" s="134">
        <v>0</v>
      </c>
      <c r="D24" s="134">
        <v>0</v>
      </c>
      <c r="E24" s="134">
        <f aca="true" t="shared" si="1" ref="E24:E43">SUM(B24:D24)</f>
        <v>1940000</v>
      </c>
    </row>
    <row r="25" spans="1:5" ht="31.5">
      <c r="A25" s="138" t="s">
        <v>470</v>
      </c>
      <c r="B25" s="247">
        <v>172795000</v>
      </c>
      <c r="C25" s="134">
        <v>0</v>
      </c>
      <c r="D25" s="134">
        <v>0</v>
      </c>
      <c r="E25" s="134">
        <f t="shared" si="1"/>
        <v>172795000</v>
      </c>
    </row>
    <row r="26" spans="1:5" ht="15.75">
      <c r="A26" s="138" t="s">
        <v>409</v>
      </c>
      <c r="B26" s="247">
        <v>1000000</v>
      </c>
      <c r="C26" s="134">
        <v>0</v>
      </c>
      <c r="D26" s="134">
        <v>0</v>
      </c>
      <c r="E26" s="134">
        <f aca="true" t="shared" si="2" ref="E26:E33">SUM(B26:D26)</f>
        <v>1000000</v>
      </c>
    </row>
    <row r="27" spans="1:5" ht="15.75">
      <c r="A27" s="138" t="s">
        <v>510</v>
      </c>
      <c r="B27" s="247">
        <v>2500000</v>
      </c>
      <c r="C27" s="134">
        <v>0</v>
      </c>
      <c r="D27" s="134">
        <v>0</v>
      </c>
      <c r="E27" s="134">
        <f t="shared" si="2"/>
        <v>2500000</v>
      </c>
    </row>
    <row r="28" spans="1:5" ht="15.75">
      <c r="A28" s="138" t="s">
        <v>410</v>
      </c>
      <c r="B28" s="247">
        <v>0</v>
      </c>
      <c r="C28" s="134">
        <v>15000</v>
      </c>
      <c r="D28" s="134">
        <v>0</v>
      </c>
      <c r="E28" s="134">
        <f t="shared" si="2"/>
        <v>15000</v>
      </c>
    </row>
    <row r="29" spans="1:5" ht="15.75">
      <c r="A29" s="138" t="s">
        <v>471</v>
      </c>
      <c r="B29" s="247">
        <v>198971000</v>
      </c>
      <c r="C29" s="134">
        <v>0</v>
      </c>
      <c r="D29" s="134">
        <v>0</v>
      </c>
      <c r="E29" s="134">
        <f t="shared" si="2"/>
        <v>198971000</v>
      </c>
    </row>
    <row r="30" spans="1:5" ht="15.75">
      <c r="A30" s="138" t="s">
        <v>411</v>
      </c>
      <c r="B30" s="247">
        <v>0</v>
      </c>
      <c r="C30" s="134">
        <v>4500000</v>
      </c>
      <c r="D30" s="134">
        <v>0</v>
      </c>
      <c r="E30" s="134">
        <f t="shared" si="2"/>
        <v>4500000</v>
      </c>
    </row>
    <row r="31" spans="1:5" ht="15.75">
      <c r="A31" s="138" t="s">
        <v>412</v>
      </c>
      <c r="B31" s="247">
        <v>0</v>
      </c>
      <c r="C31" s="134">
        <v>500000</v>
      </c>
      <c r="D31" s="134">
        <v>0</v>
      </c>
      <c r="E31" s="134">
        <f t="shared" si="2"/>
        <v>500000</v>
      </c>
    </row>
    <row r="32" spans="1:5" ht="15.75">
      <c r="A32" s="138" t="s">
        <v>461</v>
      </c>
      <c r="B32" s="247">
        <v>0</v>
      </c>
      <c r="C32" s="134">
        <v>6000000</v>
      </c>
      <c r="D32" s="134">
        <v>0</v>
      </c>
      <c r="E32" s="134">
        <f t="shared" si="2"/>
        <v>6000000</v>
      </c>
    </row>
    <row r="33" spans="1:5" ht="15.75">
      <c r="A33" s="138" t="s">
        <v>474</v>
      </c>
      <c r="B33" s="247"/>
      <c r="C33" s="134">
        <v>14400000</v>
      </c>
      <c r="D33" s="134"/>
      <c r="E33" s="134">
        <f t="shared" si="2"/>
        <v>14400000</v>
      </c>
    </row>
    <row r="34" spans="1:5" ht="15.75">
      <c r="A34" s="138" t="s">
        <v>413</v>
      </c>
      <c r="B34" s="247">
        <v>0</v>
      </c>
      <c r="C34" s="134">
        <v>2000000</v>
      </c>
      <c r="D34" s="134">
        <v>0</v>
      </c>
      <c r="E34" s="134">
        <f t="shared" si="1"/>
        <v>2000000</v>
      </c>
    </row>
    <row r="35" spans="1:5" ht="15.75">
      <c r="A35" s="304" t="s">
        <v>517</v>
      </c>
      <c r="B35" s="305"/>
      <c r="C35" s="305">
        <v>1500000</v>
      </c>
      <c r="D35" s="305"/>
      <c r="E35" s="305">
        <f t="shared" si="1"/>
        <v>1500000</v>
      </c>
    </row>
    <row r="36" spans="1:5" ht="15.75">
      <c r="A36" s="304" t="s">
        <v>518</v>
      </c>
      <c r="B36" s="305"/>
      <c r="C36" s="305">
        <v>1500000</v>
      </c>
      <c r="D36" s="305"/>
      <c r="E36" s="305">
        <f t="shared" si="1"/>
        <v>1500000</v>
      </c>
    </row>
    <row r="37" spans="1:5" ht="15.75">
      <c r="A37" s="138" t="s">
        <v>414</v>
      </c>
      <c r="B37" s="247">
        <v>42000</v>
      </c>
      <c r="C37" s="134">
        <v>0</v>
      </c>
      <c r="D37" s="134">
        <v>0</v>
      </c>
      <c r="E37" s="134">
        <f t="shared" si="1"/>
        <v>42000</v>
      </c>
    </row>
    <row r="38" spans="1:5" ht="15.75">
      <c r="A38" s="138" t="s">
        <v>462</v>
      </c>
      <c r="B38" s="247">
        <v>0</v>
      </c>
      <c r="C38" s="134">
        <v>2000000</v>
      </c>
      <c r="D38" s="134">
        <v>0</v>
      </c>
      <c r="E38" s="134">
        <f t="shared" si="1"/>
        <v>2000000</v>
      </c>
    </row>
    <row r="39" spans="1:5" ht="15.75">
      <c r="A39" s="138" t="s">
        <v>463</v>
      </c>
      <c r="B39" s="247">
        <v>0</v>
      </c>
      <c r="C39" s="134">
        <v>20000000</v>
      </c>
      <c r="D39" s="134">
        <v>0</v>
      </c>
      <c r="E39" s="134">
        <f t="shared" si="1"/>
        <v>20000000</v>
      </c>
    </row>
    <row r="40" spans="1:5" ht="15.75">
      <c r="A40" s="138" t="s">
        <v>465</v>
      </c>
      <c r="B40" s="247">
        <v>0</v>
      </c>
      <c r="C40" s="134">
        <v>10000000</v>
      </c>
      <c r="D40" s="134">
        <v>0</v>
      </c>
      <c r="E40" s="134">
        <f t="shared" si="1"/>
        <v>10000000</v>
      </c>
    </row>
    <row r="41" spans="1:5" ht="15.75">
      <c r="A41" s="138" t="s">
        <v>464</v>
      </c>
      <c r="B41" s="247">
        <v>0</v>
      </c>
      <c r="C41" s="134">
        <v>10000000</v>
      </c>
      <c r="D41" s="134">
        <v>0</v>
      </c>
      <c r="E41" s="134">
        <f t="shared" si="1"/>
        <v>10000000</v>
      </c>
    </row>
    <row r="42" spans="1:5" ht="15.75">
      <c r="A42" s="138" t="s">
        <v>466</v>
      </c>
      <c r="B42" s="247">
        <v>0</v>
      </c>
      <c r="C42" s="134">
        <v>56000000</v>
      </c>
      <c r="D42" s="134">
        <v>0</v>
      </c>
      <c r="E42" s="134">
        <f t="shared" si="1"/>
        <v>56000000</v>
      </c>
    </row>
    <row r="43" spans="1:5" ht="15.75">
      <c r="A43" s="304" t="s">
        <v>415</v>
      </c>
      <c r="B43" s="305">
        <v>0</v>
      </c>
      <c r="C43" s="305">
        <f>1500000+1500000</f>
        <v>3000000</v>
      </c>
      <c r="D43" s="305">
        <v>0</v>
      </c>
      <c r="E43" s="305">
        <f t="shared" si="1"/>
        <v>3000000</v>
      </c>
    </row>
    <row r="44" spans="1:5" ht="15.75">
      <c r="A44" s="140" t="s">
        <v>41</v>
      </c>
      <c r="B44" s="215">
        <f>SUM(B15:B43)</f>
        <v>515775216</v>
      </c>
      <c r="C44" s="142">
        <f>SUM(C15:C43)</f>
        <v>268838000</v>
      </c>
      <c r="D44" s="142">
        <f>SUM(D15:D43)</f>
        <v>0</v>
      </c>
      <c r="E44" s="142">
        <f>SUM(E15:E43)</f>
        <v>784613216</v>
      </c>
    </row>
    <row r="45" spans="1:5" ht="19.5" customHeight="1">
      <c r="A45" s="203" t="s">
        <v>472</v>
      </c>
      <c r="B45" s="247">
        <v>0</v>
      </c>
      <c r="C45" s="134">
        <v>0</v>
      </c>
      <c r="D45" s="134">
        <v>0</v>
      </c>
      <c r="E45" s="134">
        <f>SUM(B45:D45)</f>
        <v>0</v>
      </c>
    </row>
    <row r="46" spans="1:5" ht="31.5">
      <c r="A46" s="140" t="s">
        <v>344</v>
      </c>
      <c r="B46" s="215">
        <f>SUM(B45:B45)</f>
        <v>0</v>
      </c>
      <c r="C46" s="142">
        <f>SUM(C45:C45)</f>
        <v>0</v>
      </c>
      <c r="D46" s="142">
        <f>SUM(D45:D45)</f>
        <v>0</v>
      </c>
      <c r="E46" s="142">
        <f>SUM(E45:E45)</f>
        <v>0</v>
      </c>
    </row>
    <row r="47" spans="1:5" ht="15.75">
      <c r="A47" s="143" t="s">
        <v>400</v>
      </c>
      <c r="B47" s="215">
        <f>B44+B14+B46</f>
        <v>1150072747</v>
      </c>
      <c r="C47" s="142">
        <f>C44+C14+C46</f>
        <v>274838000</v>
      </c>
      <c r="D47" s="142">
        <f>D44+D14+D46</f>
        <v>0</v>
      </c>
      <c r="E47" s="142">
        <f>E44+E14+E46</f>
        <v>1424910747</v>
      </c>
    </row>
  </sheetData>
  <sheetProtection/>
  <mergeCells count="7">
    <mergeCell ref="B8:D8"/>
    <mergeCell ref="E8:E9"/>
    <mergeCell ref="A1:E1"/>
    <mergeCell ref="A5:E5"/>
    <mergeCell ref="A4:E4"/>
    <mergeCell ref="A3:E3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67.75390625" style="61" customWidth="1"/>
    <col min="2" max="2" width="16.125" style="61" customWidth="1"/>
    <col min="3" max="16384" width="9.125" style="61" customWidth="1"/>
  </cols>
  <sheetData>
    <row r="1" spans="1:5" ht="15.75">
      <c r="A1" s="354" t="s">
        <v>561</v>
      </c>
      <c r="B1" s="354"/>
      <c r="C1" s="60"/>
      <c r="D1" s="60"/>
      <c r="E1" s="60"/>
    </row>
    <row r="3" spans="1:2" ht="15.75">
      <c r="A3" s="355" t="s">
        <v>13</v>
      </c>
      <c r="B3" s="355"/>
    </row>
    <row r="4" spans="1:2" ht="15.75">
      <c r="A4" s="355" t="s">
        <v>72</v>
      </c>
      <c r="B4" s="355"/>
    </row>
    <row r="5" spans="1:2" ht="15.75">
      <c r="A5" s="355" t="s">
        <v>191</v>
      </c>
      <c r="B5" s="355"/>
    </row>
    <row r="6" spans="1:2" ht="15.75">
      <c r="A6" s="62"/>
      <c r="B6" s="62"/>
    </row>
    <row r="7" ht="15.75">
      <c r="B7" s="10" t="s">
        <v>342</v>
      </c>
    </row>
    <row r="8" spans="1:2" ht="15.75">
      <c r="A8" s="63" t="s">
        <v>15</v>
      </c>
      <c r="B8" s="63" t="s">
        <v>73</v>
      </c>
    </row>
    <row r="9" spans="1:2" ht="15.75">
      <c r="A9" s="114" t="s">
        <v>188</v>
      </c>
      <c r="B9" s="101">
        <v>0</v>
      </c>
    </row>
    <row r="10" spans="1:2" ht="15.75">
      <c r="A10" s="64" t="s">
        <v>16</v>
      </c>
      <c r="B10" s="65">
        <f>SUM(B9:B9)</f>
        <v>0</v>
      </c>
    </row>
  </sheetData>
  <sheetProtection/>
  <mergeCells count="4">
    <mergeCell ref="A1:B1"/>
    <mergeCell ref="A4:B4"/>
    <mergeCell ref="A5:B5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selection activeCell="D6" sqref="D6"/>
    </sheetView>
  </sheetViews>
  <sheetFormatPr defaultColWidth="8.00390625" defaultRowHeight="12.75"/>
  <cols>
    <col min="1" max="1" width="30.625" style="66" customWidth="1"/>
    <col min="2" max="2" width="14.00390625" style="66" customWidth="1"/>
    <col min="3" max="3" width="14.875" style="66" customWidth="1"/>
    <col min="4" max="5" width="12.375" style="66" bestFit="1" customWidth="1"/>
    <col min="6" max="6" width="12.375" style="66" customWidth="1"/>
    <col min="7" max="7" width="9.875" style="66" customWidth="1"/>
    <col min="8" max="9" width="8.00390625" style="66" customWidth="1"/>
    <col min="10" max="10" width="11.25390625" style="66" bestFit="1" customWidth="1"/>
    <col min="11" max="12" width="8.00390625" style="66" customWidth="1"/>
    <col min="13" max="13" width="11.25390625" style="66" bestFit="1" customWidth="1"/>
    <col min="14" max="16384" width="8.00390625" style="66" customWidth="1"/>
  </cols>
  <sheetData>
    <row r="1" spans="1:6" ht="15.75">
      <c r="A1" s="354" t="s">
        <v>562</v>
      </c>
      <c r="B1" s="354"/>
      <c r="C1" s="354"/>
      <c r="D1" s="354" t="s">
        <v>71</v>
      </c>
      <c r="E1" s="354"/>
      <c r="F1" s="354"/>
    </row>
    <row r="2" ht="15.75">
      <c r="F2" s="67"/>
    </row>
    <row r="3" spans="1:6" ht="15.75">
      <c r="A3" s="360" t="s">
        <v>74</v>
      </c>
      <c r="B3" s="360"/>
      <c r="C3" s="360"/>
      <c r="D3" s="360"/>
      <c r="E3" s="360"/>
      <c r="F3" s="360"/>
    </row>
    <row r="4" spans="1:6" s="69" customFormat="1" ht="15.75">
      <c r="A4" s="359" t="s">
        <v>75</v>
      </c>
      <c r="B4" s="359"/>
      <c r="C4" s="359"/>
      <c r="D4" s="359"/>
      <c r="E4" s="359"/>
      <c r="F4" s="359"/>
    </row>
    <row r="5" spans="1:6" s="69" customFormat="1" ht="15.75">
      <c r="A5" s="68"/>
      <c r="B5" s="68"/>
      <c r="C5" s="68"/>
      <c r="D5" s="68"/>
      <c r="E5" s="68"/>
      <c r="F5" s="68"/>
    </row>
    <row r="6" spans="1:6" ht="15.75">
      <c r="A6" s="68"/>
      <c r="B6" s="68"/>
      <c r="C6" s="68"/>
      <c r="D6" s="68"/>
      <c r="E6" s="68"/>
      <c r="F6" s="68"/>
    </row>
    <row r="7" spans="5:6" ht="15.75">
      <c r="E7" s="67"/>
      <c r="F7" s="67" t="s">
        <v>343</v>
      </c>
    </row>
    <row r="8" spans="1:6" ht="15.75" customHeight="1">
      <c r="A8" s="356" t="s">
        <v>83</v>
      </c>
      <c r="B8" s="357"/>
      <c r="C8" s="357"/>
      <c r="D8" s="357"/>
      <c r="E8" s="357"/>
      <c r="F8" s="358"/>
    </row>
    <row r="9" spans="1:6" ht="63">
      <c r="A9" s="196" t="s">
        <v>15</v>
      </c>
      <c r="B9" s="196" t="s">
        <v>76</v>
      </c>
      <c r="C9" s="196" t="s">
        <v>77</v>
      </c>
      <c r="D9" s="196" t="s">
        <v>457</v>
      </c>
      <c r="E9" s="196" t="s">
        <v>458</v>
      </c>
      <c r="F9" s="196" t="s">
        <v>78</v>
      </c>
    </row>
    <row r="10" spans="1:6" ht="15.75">
      <c r="A10" s="133" t="s">
        <v>122</v>
      </c>
      <c r="B10" s="197">
        <f>SUM(C10:F10)</f>
        <v>0</v>
      </c>
      <c r="C10" s="197">
        <v>0</v>
      </c>
      <c r="D10" s="197">
        <v>0</v>
      </c>
      <c r="E10" s="197">
        <v>0</v>
      </c>
      <c r="F10" s="197">
        <v>0</v>
      </c>
    </row>
    <row r="11" spans="1:6" ht="31.5">
      <c r="A11" s="133" t="s">
        <v>37</v>
      </c>
      <c r="B11" s="197">
        <f>SUM(C11:F11)</f>
        <v>0</v>
      </c>
      <c r="C11" s="197">
        <v>0</v>
      </c>
      <c r="D11" s="197">
        <v>0</v>
      </c>
      <c r="E11" s="197">
        <v>0</v>
      </c>
      <c r="F11" s="197">
        <v>0</v>
      </c>
    </row>
    <row r="12" spans="1:6" ht="15.75">
      <c r="A12" s="133" t="s">
        <v>18</v>
      </c>
      <c r="B12" s="197">
        <f>SUM(C12:E12)</f>
        <v>16694059</v>
      </c>
      <c r="C12" s="197">
        <v>14272136</v>
      </c>
      <c r="D12" s="197">
        <v>127000</v>
      </c>
      <c r="E12" s="197">
        <v>2294923</v>
      </c>
      <c r="F12" s="197">
        <v>0</v>
      </c>
    </row>
    <row r="13" spans="1:6" ht="15.75">
      <c r="A13" s="201" t="s">
        <v>38</v>
      </c>
      <c r="B13" s="197">
        <f>SUM(C13:E13)</f>
        <v>494276115</v>
      </c>
      <c r="C13" s="197">
        <v>325397700</v>
      </c>
      <c r="D13" s="197">
        <v>109335415</v>
      </c>
      <c r="E13" s="134">
        <v>59543000</v>
      </c>
      <c r="F13" s="197">
        <v>0</v>
      </c>
    </row>
    <row r="14" spans="1:6" ht="15.75">
      <c r="A14" s="202" t="s">
        <v>39</v>
      </c>
      <c r="B14" s="197">
        <f>SUM(C14:E14)</f>
        <v>0</v>
      </c>
      <c r="C14" s="197">
        <v>0</v>
      </c>
      <c r="D14" s="197">
        <v>0</v>
      </c>
      <c r="E14" s="197">
        <v>0</v>
      </c>
      <c r="F14" s="197">
        <v>0</v>
      </c>
    </row>
    <row r="15" spans="1:6" ht="15.75">
      <c r="A15" s="202" t="s">
        <v>19</v>
      </c>
      <c r="B15" s="197">
        <f>SUM(C15:E15)</f>
        <v>0</v>
      </c>
      <c r="C15" s="197">
        <v>0</v>
      </c>
      <c r="D15" s="197">
        <v>0</v>
      </c>
      <c r="E15" s="197">
        <v>0</v>
      </c>
      <c r="F15" s="197">
        <v>0</v>
      </c>
    </row>
    <row r="16" spans="1:6" ht="15.75">
      <c r="A16" s="200" t="s">
        <v>79</v>
      </c>
      <c r="B16" s="198">
        <f>SUM(C16:E16)</f>
        <v>510970174</v>
      </c>
      <c r="C16" s="198">
        <f>SUM(C10:C15)</f>
        <v>339669836</v>
      </c>
      <c r="D16" s="198">
        <f>SUM(D10:D15)</f>
        <v>109462415</v>
      </c>
      <c r="E16" s="198">
        <f>SUM(E10:E15)</f>
        <v>61837923</v>
      </c>
      <c r="F16" s="198">
        <f>SUM(F10:F15)</f>
        <v>0</v>
      </c>
    </row>
    <row r="17" spans="1:6" ht="15.75">
      <c r="A17" s="199" t="s">
        <v>165</v>
      </c>
      <c r="B17" s="197">
        <f>SUM(C17:F17)</f>
        <v>7427174</v>
      </c>
      <c r="C17" s="197">
        <v>0</v>
      </c>
      <c r="D17" s="197">
        <v>7427174</v>
      </c>
      <c r="E17" s="197">
        <v>0</v>
      </c>
      <c r="F17" s="197">
        <v>0</v>
      </c>
    </row>
    <row r="18" spans="1:6" ht="15.75">
      <c r="A18" s="199" t="s">
        <v>80</v>
      </c>
      <c r="B18" s="197">
        <f>SUM(C18:F18)</f>
        <v>0</v>
      </c>
      <c r="C18" s="197">
        <v>0</v>
      </c>
      <c r="D18" s="197">
        <v>0</v>
      </c>
      <c r="E18" s="197">
        <v>0</v>
      </c>
      <c r="F18" s="197">
        <v>0</v>
      </c>
    </row>
    <row r="19" spans="1:6" ht="15.75">
      <c r="A19" s="199" t="s">
        <v>162</v>
      </c>
      <c r="B19" s="197">
        <f>SUM(C19:F19)</f>
        <v>503543000</v>
      </c>
      <c r="C19" s="197">
        <v>400000000</v>
      </c>
      <c r="D19" s="197">
        <v>44000000</v>
      </c>
      <c r="E19" s="197">
        <v>59543000</v>
      </c>
      <c r="F19" s="197">
        <v>0</v>
      </c>
    </row>
    <row r="20" spans="1:6" ht="15.75">
      <c r="A20" s="199" t="s">
        <v>81</v>
      </c>
      <c r="B20" s="197">
        <f>SUM(C20:F20)</f>
        <v>0</v>
      </c>
      <c r="C20" s="197">
        <v>0</v>
      </c>
      <c r="D20" s="197">
        <v>0</v>
      </c>
      <c r="E20" s="197">
        <v>0</v>
      </c>
      <c r="F20" s="197">
        <v>0</v>
      </c>
    </row>
    <row r="21" spans="1:6" ht="15.75">
      <c r="A21" s="200" t="s">
        <v>82</v>
      </c>
      <c r="B21" s="198">
        <f>SUM(B17:B20)</f>
        <v>510970174</v>
      </c>
      <c r="C21" s="198">
        <f>SUM(C17:C20)</f>
        <v>400000000</v>
      </c>
      <c r="D21" s="198">
        <f>SUM(D17:D20)</f>
        <v>51427174</v>
      </c>
      <c r="E21" s="205">
        <f>SUM(E17:E20)</f>
        <v>59543000</v>
      </c>
      <c r="F21" s="198">
        <f>SUM(F17:F20)</f>
        <v>0</v>
      </c>
    </row>
    <row r="24" spans="5:6" ht="15.75">
      <c r="E24" s="67"/>
      <c r="F24" s="67" t="s">
        <v>343</v>
      </c>
    </row>
    <row r="25" spans="1:6" ht="15.75" customHeight="1">
      <c r="A25" s="356" t="s">
        <v>430</v>
      </c>
      <c r="B25" s="357"/>
      <c r="C25" s="357"/>
      <c r="D25" s="357"/>
      <c r="E25" s="357"/>
      <c r="F25" s="358"/>
    </row>
    <row r="26" spans="1:6" ht="63">
      <c r="A26" s="196" t="s">
        <v>15</v>
      </c>
      <c r="B26" s="196" t="s">
        <v>76</v>
      </c>
      <c r="C26" s="196" t="s">
        <v>77</v>
      </c>
      <c r="D26" s="196" t="s">
        <v>457</v>
      </c>
      <c r="E26" s="196" t="s">
        <v>458</v>
      </c>
      <c r="F26" s="196" t="s">
        <v>78</v>
      </c>
    </row>
    <row r="27" spans="1:6" ht="15.75">
      <c r="A27" s="133" t="s">
        <v>122</v>
      </c>
      <c r="B27" s="197">
        <f aca="true" t="shared" si="0" ref="B27:B32">SUM(C27:F27)</f>
        <v>0</v>
      </c>
      <c r="C27" s="197">
        <v>0</v>
      </c>
      <c r="D27" s="197">
        <v>0</v>
      </c>
      <c r="E27" s="197">
        <v>0</v>
      </c>
      <c r="F27" s="197">
        <v>0</v>
      </c>
    </row>
    <row r="28" spans="1:6" ht="31.5">
      <c r="A28" s="133" t="s">
        <v>37</v>
      </c>
      <c r="B28" s="197">
        <f t="shared" si="0"/>
        <v>0</v>
      </c>
      <c r="C28" s="197">
        <v>0</v>
      </c>
      <c r="D28" s="197">
        <v>0</v>
      </c>
      <c r="E28" s="197">
        <v>0</v>
      </c>
      <c r="F28" s="197">
        <v>0</v>
      </c>
    </row>
    <row r="29" spans="1:6" ht="15.75">
      <c r="A29" s="133" t="s">
        <v>18</v>
      </c>
      <c r="B29" s="197">
        <f t="shared" si="0"/>
        <v>1270000</v>
      </c>
      <c r="C29" s="197">
        <v>0</v>
      </c>
      <c r="D29" s="197">
        <v>1270000</v>
      </c>
      <c r="E29" s="197">
        <v>0</v>
      </c>
      <c r="F29" s="197">
        <v>0</v>
      </c>
    </row>
    <row r="30" spans="1:6" ht="15.75">
      <c r="A30" s="201" t="s">
        <v>38</v>
      </c>
      <c r="B30" s="197">
        <f t="shared" si="0"/>
        <v>0</v>
      </c>
      <c r="C30" s="197">
        <v>0</v>
      </c>
      <c r="D30" s="197">
        <v>0</v>
      </c>
      <c r="E30" s="197">
        <v>0</v>
      </c>
      <c r="F30" s="197">
        <v>0</v>
      </c>
    </row>
    <row r="31" spans="1:6" ht="15.75">
      <c r="A31" s="202" t="s">
        <v>39</v>
      </c>
      <c r="B31" s="197">
        <f t="shared" si="0"/>
        <v>128730883</v>
      </c>
      <c r="C31" s="197">
        <v>0</v>
      </c>
      <c r="D31" s="197">
        <v>128730883</v>
      </c>
      <c r="E31" s="197">
        <v>0</v>
      </c>
      <c r="F31" s="197">
        <v>0</v>
      </c>
    </row>
    <row r="32" spans="1:6" ht="15.75">
      <c r="A32" s="202" t="s">
        <v>19</v>
      </c>
      <c r="B32" s="197">
        <f t="shared" si="0"/>
        <v>0</v>
      </c>
      <c r="C32" s="197">
        <v>0</v>
      </c>
      <c r="D32" s="197">
        <v>0</v>
      </c>
      <c r="E32" s="197">
        <v>0</v>
      </c>
      <c r="F32" s="197">
        <v>0</v>
      </c>
    </row>
    <row r="33" spans="1:6" ht="15.75">
      <c r="A33" s="200" t="s">
        <v>79</v>
      </c>
      <c r="B33" s="198">
        <f>SUM(B27:B32)</f>
        <v>130000883</v>
      </c>
      <c r="C33" s="198">
        <f>SUM(C27:C32)</f>
        <v>0</v>
      </c>
      <c r="D33" s="198">
        <f>SUM(D27:D32)</f>
        <v>130000883</v>
      </c>
      <c r="E33" s="198">
        <f>SUM(E27:E32)</f>
        <v>0</v>
      </c>
      <c r="F33" s="198">
        <f>SUM(F27:F32)</f>
        <v>0</v>
      </c>
    </row>
    <row r="34" spans="1:6" ht="15.75">
      <c r="A34" s="199" t="s">
        <v>165</v>
      </c>
      <c r="B34" s="197">
        <f>SUM(C34:F34)</f>
        <v>180759</v>
      </c>
      <c r="C34" s="197">
        <v>0</v>
      </c>
      <c r="D34" s="197">
        <v>180759</v>
      </c>
      <c r="E34" s="197">
        <v>0</v>
      </c>
      <c r="F34" s="197">
        <v>0</v>
      </c>
    </row>
    <row r="35" spans="1:6" ht="15.75">
      <c r="A35" s="199" t="s">
        <v>80</v>
      </c>
      <c r="B35" s="197">
        <f>SUM(C35:F35)</f>
        <v>0</v>
      </c>
      <c r="C35" s="197">
        <v>0</v>
      </c>
      <c r="D35" s="197">
        <v>0</v>
      </c>
      <c r="E35" s="197">
        <v>0</v>
      </c>
      <c r="F35" s="197">
        <v>0</v>
      </c>
    </row>
    <row r="36" spans="1:6" ht="15.75">
      <c r="A36" s="199" t="s">
        <v>162</v>
      </c>
      <c r="B36" s="197">
        <f>SUM(C36:E36)</f>
        <v>131275155</v>
      </c>
      <c r="C36" s="197">
        <v>0</v>
      </c>
      <c r="D36" s="197">
        <v>98820124</v>
      </c>
      <c r="E36" s="197">
        <v>32455031</v>
      </c>
      <c r="F36" s="197">
        <v>0</v>
      </c>
    </row>
    <row r="37" spans="1:6" ht="15.75">
      <c r="A37" s="199" t="s">
        <v>81</v>
      </c>
      <c r="B37" s="197">
        <f>SUM(C37:F37)</f>
        <v>0</v>
      </c>
      <c r="C37" s="197">
        <v>0</v>
      </c>
      <c r="D37" s="197">
        <v>0</v>
      </c>
      <c r="E37" s="197">
        <v>0</v>
      </c>
      <c r="F37" s="197">
        <v>0</v>
      </c>
    </row>
    <row r="38" spans="1:6" ht="15.75">
      <c r="A38" s="200" t="s">
        <v>82</v>
      </c>
      <c r="B38" s="198">
        <f>SUM(B34:B37)</f>
        <v>131455914</v>
      </c>
      <c r="C38" s="198">
        <f>SUM(C34:C37)</f>
        <v>0</v>
      </c>
      <c r="D38" s="198">
        <f>SUM(D34:D37)</f>
        <v>99000883</v>
      </c>
      <c r="E38" s="205">
        <f>SUM(E34:E37)</f>
        <v>32455031</v>
      </c>
      <c r="F38" s="198">
        <f>SUM(F34:F37)</f>
        <v>0</v>
      </c>
    </row>
    <row r="41" spans="5:6" ht="15.75">
      <c r="E41" s="67"/>
      <c r="F41" s="67" t="s">
        <v>343</v>
      </c>
    </row>
    <row r="42" spans="1:6" ht="15.75" customHeight="1">
      <c r="A42" s="356" t="s">
        <v>345</v>
      </c>
      <c r="B42" s="357"/>
      <c r="C42" s="357"/>
      <c r="D42" s="357"/>
      <c r="E42" s="357"/>
      <c r="F42" s="358"/>
    </row>
    <row r="43" spans="1:6" ht="63">
      <c r="A43" s="196" t="s">
        <v>15</v>
      </c>
      <c r="B43" s="196" t="s">
        <v>76</v>
      </c>
      <c r="C43" s="196" t="s">
        <v>77</v>
      </c>
      <c r="D43" s="196" t="s">
        <v>457</v>
      </c>
      <c r="E43" s="196" t="s">
        <v>458</v>
      </c>
      <c r="F43" s="196" t="s">
        <v>78</v>
      </c>
    </row>
    <row r="44" spans="1:6" ht="15.75">
      <c r="A44" s="133" t="s">
        <v>122</v>
      </c>
      <c r="B44" s="197">
        <f aca="true" t="shared" si="1" ref="B44:B49">SUM(C44:F44)</f>
        <v>0</v>
      </c>
      <c r="C44" s="197">
        <v>0</v>
      </c>
      <c r="D44" s="197">
        <v>0</v>
      </c>
      <c r="E44" s="197">
        <v>0</v>
      </c>
      <c r="F44" s="197">
        <v>0</v>
      </c>
    </row>
    <row r="45" spans="1:6" ht="31.5">
      <c r="A45" s="133" t="s">
        <v>37</v>
      </c>
      <c r="B45" s="197">
        <f t="shared" si="1"/>
        <v>0</v>
      </c>
      <c r="C45" s="197">
        <v>0</v>
      </c>
      <c r="D45" s="197">
        <v>0</v>
      </c>
      <c r="E45" s="197">
        <v>0</v>
      </c>
      <c r="F45" s="197">
        <v>0</v>
      </c>
    </row>
    <row r="46" spans="1:6" ht="15.75">
      <c r="A46" s="133" t="s">
        <v>18</v>
      </c>
      <c r="B46" s="197">
        <f t="shared" si="1"/>
        <v>387310</v>
      </c>
      <c r="C46" s="197">
        <v>0</v>
      </c>
      <c r="D46" s="197">
        <v>387310</v>
      </c>
      <c r="E46" s="197">
        <v>0</v>
      </c>
      <c r="F46" s="197">
        <v>0</v>
      </c>
    </row>
    <row r="47" spans="1:6" ht="15.75">
      <c r="A47" s="201" t="s">
        <v>38</v>
      </c>
      <c r="B47" s="197">
        <f t="shared" si="1"/>
        <v>22834302</v>
      </c>
      <c r="C47" s="197">
        <v>0</v>
      </c>
      <c r="D47" s="197">
        <v>22834302</v>
      </c>
      <c r="E47" s="134">
        <v>0</v>
      </c>
      <c r="F47" s="197">
        <v>0</v>
      </c>
    </row>
    <row r="48" spans="1:6" ht="15.75">
      <c r="A48" s="202" t="s">
        <v>39</v>
      </c>
      <c r="B48" s="197">
        <f t="shared" si="1"/>
        <v>121836854</v>
      </c>
      <c r="C48" s="197">
        <v>0</v>
      </c>
      <c r="D48" s="197">
        <v>121836854</v>
      </c>
      <c r="E48" s="197">
        <v>0</v>
      </c>
      <c r="F48" s="197">
        <v>0</v>
      </c>
    </row>
    <row r="49" spans="1:6" ht="15.75">
      <c r="A49" s="202" t="s">
        <v>19</v>
      </c>
      <c r="B49" s="197">
        <f t="shared" si="1"/>
        <v>0</v>
      </c>
      <c r="C49" s="197">
        <v>0</v>
      </c>
      <c r="D49" s="197">
        <v>0</v>
      </c>
      <c r="E49" s="197">
        <v>0</v>
      </c>
      <c r="F49" s="197">
        <v>0</v>
      </c>
    </row>
    <row r="50" spans="1:6" ht="15.75">
      <c r="A50" s="200" t="s">
        <v>79</v>
      </c>
      <c r="B50" s="198">
        <f>SUM(B44:B49)</f>
        <v>145058466</v>
      </c>
      <c r="C50" s="198">
        <f>SUM(C44:C49)</f>
        <v>0</v>
      </c>
      <c r="D50" s="198">
        <f>SUM(D44:D49)</f>
        <v>145058466</v>
      </c>
      <c r="E50" s="198">
        <f>SUM(E44:E49)</f>
        <v>0</v>
      </c>
      <c r="F50" s="198">
        <f>SUM(F44:F49)</f>
        <v>0</v>
      </c>
    </row>
    <row r="51" spans="1:6" ht="15.75">
      <c r="A51" s="199" t="s">
        <v>165</v>
      </c>
      <c r="B51" s="197">
        <f>SUM(C51:F51)</f>
        <v>45058483</v>
      </c>
      <c r="C51" s="197">
        <v>0</v>
      </c>
      <c r="D51" s="197">
        <v>45058483</v>
      </c>
      <c r="E51" s="197">
        <v>0</v>
      </c>
      <c r="F51" s="197">
        <v>0</v>
      </c>
    </row>
    <row r="52" spans="1:6" ht="15.75">
      <c r="A52" s="199" t="s">
        <v>80</v>
      </c>
      <c r="B52" s="197">
        <f>SUM(C52:F52)</f>
        <v>0</v>
      </c>
      <c r="C52" s="197">
        <v>0</v>
      </c>
      <c r="D52" s="197">
        <v>0</v>
      </c>
      <c r="E52" s="197">
        <v>0</v>
      </c>
      <c r="F52" s="197">
        <v>0</v>
      </c>
    </row>
    <row r="53" spans="1:6" ht="15.75">
      <c r="A53" s="199" t="s">
        <v>162</v>
      </c>
      <c r="B53" s="197">
        <f>SUM(C53:F53)</f>
        <v>97965684</v>
      </c>
      <c r="C53" s="197">
        <v>0</v>
      </c>
      <c r="D53" s="197">
        <v>79965684</v>
      </c>
      <c r="E53" s="197">
        <v>18000000</v>
      </c>
      <c r="F53" s="197">
        <v>0</v>
      </c>
    </row>
    <row r="54" spans="1:6" ht="15.75">
      <c r="A54" s="199" t="s">
        <v>81</v>
      </c>
      <c r="B54" s="197">
        <f>SUM(C54:F54)</f>
        <v>0</v>
      </c>
      <c r="C54" s="197">
        <v>0</v>
      </c>
      <c r="D54" s="197">
        <v>0</v>
      </c>
      <c r="E54" s="197">
        <v>0</v>
      </c>
      <c r="F54" s="197">
        <v>0</v>
      </c>
    </row>
    <row r="55" spans="1:6" ht="15.75">
      <c r="A55" s="200" t="s">
        <v>82</v>
      </c>
      <c r="B55" s="198">
        <f>SUM(B51:B54)</f>
        <v>143024167</v>
      </c>
      <c r="C55" s="198">
        <f>SUM(C51:C54)</f>
        <v>0</v>
      </c>
      <c r="D55" s="198">
        <f>SUM(D51:D54)</f>
        <v>125024167</v>
      </c>
      <c r="E55" s="205">
        <f>SUM(E51:E54)</f>
        <v>18000000</v>
      </c>
      <c r="F55" s="198">
        <f>SUM(F51:F54)</f>
        <v>0</v>
      </c>
    </row>
    <row r="58" spans="5:6" ht="15.75">
      <c r="E58" s="67"/>
      <c r="F58" s="67" t="s">
        <v>343</v>
      </c>
    </row>
    <row r="59" spans="1:6" ht="15.75">
      <c r="A59" s="356" t="s">
        <v>428</v>
      </c>
      <c r="B59" s="357"/>
      <c r="C59" s="357"/>
      <c r="D59" s="357"/>
      <c r="E59" s="357"/>
      <c r="F59" s="358"/>
    </row>
    <row r="60" spans="1:6" ht="63">
      <c r="A60" s="196" t="s">
        <v>15</v>
      </c>
      <c r="B60" s="196" t="s">
        <v>76</v>
      </c>
      <c r="C60" s="196" t="s">
        <v>77</v>
      </c>
      <c r="D60" s="196" t="s">
        <v>457</v>
      </c>
      <c r="E60" s="196" t="s">
        <v>458</v>
      </c>
      <c r="F60" s="196" t="s">
        <v>78</v>
      </c>
    </row>
    <row r="61" spans="1:6" ht="15.75">
      <c r="A61" s="133" t="s">
        <v>122</v>
      </c>
      <c r="B61" s="197">
        <f aca="true" t="shared" si="2" ref="B61:B66">SUM(C61:F61)</f>
        <v>0</v>
      </c>
      <c r="C61" s="197">
        <v>0</v>
      </c>
      <c r="D61" s="197">
        <v>0</v>
      </c>
      <c r="E61" s="197">
        <v>0</v>
      </c>
      <c r="F61" s="197">
        <v>0</v>
      </c>
    </row>
    <row r="62" spans="1:6" ht="31.5">
      <c r="A62" s="133" t="s">
        <v>37</v>
      </c>
      <c r="B62" s="197">
        <f t="shared" si="2"/>
        <v>0</v>
      </c>
      <c r="C62" s="197">
        <v>0</v>
      </c>
      <c r="D62" s="197">
        <v>0</v>
      </c>
      <c r="E62" s="197">
        <v>0</v>
      </c>
      <c r="F62" s="197">
        <v>0</v>
      </c>
    </row>
    <row r="63" spans="1:6" ht="15.75">
      <c r="A63" s="133" t="s">
        <v>18</v>
      </c>
      <c r="B63" s="197">
        <f t="shared" si="2"/>
        <v>8958580</v>
      </c>
      <c r="C63" s="197">
        <v>0</v>
      </c>
      <c r="D63" s="197">
        <v>0</v>
      </c>
      <c r="E63" s="197">
        <v>8958580</v>
      </c>
      <c r="F63" s="197">
        <v>0</v>
      </c>
    </row>
    <row r="64" spans="1:6" ht="15.75">
      <c r="A64" s="201" t="s">
        <v>38</v>
      </c>
      <c r="B64" s="197">
        <f t="shared" si="2"/>
        <v>341041420</v>
      </c>
      <c r="C64" s="197">
        <v>0</v>
      </c>
      <c r="D64" s="197">
        <v>0</v>
      </c>
      <c r="E64" s="197">
        <v>341041420</v>
      </c>
      <c r="F64" s="197">
        <v>0</v>
      </c>
    </row>
    <row r="65" spans="1:6" ht="15.75">
      <c r="A65" s="202" t="s">
        <v>39</v>
      </c>
      <c r="B65" s="197">
        <f t="shared" si="2"/>
        <v>0</v>
      </c>
      <c r="C65" s="197">
        <v>0</v>
      </c>
      <c r="D65" s="197">
        <v>0</v>
      </c>
      <c r="E65" s="197">
        <v>0</v>
      </c>
      <c r="F65" s="197">
        <v>0</v>
      </c>
    </row>
    <row r="66" spans="1:6" ht="15.75">
      <c r="A66" s="202" t="s">
        <v>19</v>
      </c>
      <c r="B66" s="197">
        <f t="shared" si="2"/>
        <v>0</v>
      </c>
      <c r="C66" s="197">
        <v>0</v>
      </c>
      <c r="D66" s="197">
        <v>0</v>
      </c>
      <c r="E66" s="197">
        <v>0</v>
      </c>
      <c r="F66" s="197">
        <v>0</v>
      </c>
    </row>
    <row r="67" spans="1:6" ht="15.75">
      <c r="A67" s="200" t="s">
        <v>79</v>
      </c>
      <c r="B67" s="198">
        <f>SUM(B61:B66)</f>
        <v>350000000</v>
      </c>
      <c r="C67" s="198">
        <f>SUM(C61:C66)</f>
        <v>0</v>
      </c>
      <c r="D67" s="198">
        <f>SUM(D61:D66)</f>
        <v>0</v>
      </c>
      <c r="E67" s="198">
        <f>SUM(E61:E66)</f>
        <v>350000000</v>
      </c>
      <c r="F67" s="198">
        <f>SUM(F61:F66)</f>
        <v>0</v>
      </c>
    </row>
    <row r="68" spans="1:6" ht="15.75">
      <c r="A68" s="199" t="s">
        <v>165</v>
      </c>
      <c r="B68" s="197">
        <f>SUM(C68:E68)</f>
        <v>69870004</v>
      </c>
      <c r="C68" s="197">
        <v>0</v>
      </c>
      <c r="D68" s="197">
        <v>0</v>
      </c>
      <c r="E68" s="197">
        <v>69870004</v>
      </c>
      <c r="F68" s="197">
        <v>0</v>
      </c>
    </row>
    <row r="69" spans="1:6" ht="15.75">
      <c r="A69" s="199" t="s">
        <v>80</v>
      </c>
      <c r="B69" s="197">
        <f>SUM(C69:E69)</f>
        <v>0</v>
      </c>
      <c r="C69" s="197">
        <v>0</v>
      </c>
      <c r="D69" s="197">
        <v>0</v>
      </c>
      <c r="E69" s="197">
        <v>0</v>
      </c>
      <c r="F69" s="197">
        <v>0</v>
      </c>
    </row>
    <row r="70" spans="1:6" ht="15.75">
      <c r="A70" s="199" t="s">
        <v>162</v>
      </c>
      <c r="B70" s="197">
        <f>SUM(C70:E70)</f>
        <v>280129996</v>
      </c>
      <c r="C70" s="197">
        <v>0</v>
      </c>
      <c r="D70" s="197">
        <v>0</v>
      </c>
      <c r="E70" s="139">
        <v>280129996</v>
      </c>
      <c r="F70" s="197">
        <v>0</v>
      </c>
    </row>
    <row r="71" spans="1:6" ht="15.75">
      <c r="A71" s="199" t="s">
        <v>81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</row>
    <row r="72" spans="1:6" ht="15.75">
      <c r="A72" s="200" t="s">
        <v>82</v>
      </c>
      <c r="B72" s="198">
        <f>SUM(B68:B71)</f>
        <v>350000000</v>
      </c>
      <c r="C72" s="198">
        <f>SUM(C68:C71)</f>
        <v>0</v>
      </c>
      <c r="D72" s="198">
        <f>SUM(D68:D71)</f>
        <v>0</v>
      </c>
      <c r="E72" s="205">
        <f>SUM(E68:E71)</f>
        <v>350000000</v>
      </c>
      <c r="F72" s="198">
        <f>SUM(F68:F71)</f>
        <v>0</v>
      </c>
    </row>
    <row r="75" spans="5:6" ht="15.75">
      <c r="E75" s="67"/>
      <c r="F75" s="67" t="s">
        <v>343</v>
      </c>
    </row>
    <row r="76" spans="1:6" ht="36" customHeight="1">
      <c r="A76" s="356" t="s">
        <v>346</v>
      </c>
      <c r="B76" s="357"/>
      <c r="C76" s="357"/>
      <c r="D76" s="357"/>
      <c r="E76" s="357"/>
      <c r="F76" s="358"/>
    </row>
    <row r="77" spans="1:6" ht="63">
      <c r="A77" s="196" t="s">
        <v>15</v>
      </c>
      <c r="B77" s="196" t="s">
        <v>76</v>
      </c>
      <c r="C77" s="196" t="s">
        <v>77</v>
      </c>
      <c r="D77" s="196" t="s">
        <v>457</v>
      </c>
      <c r="E77" s="196" t="s">
        <v>458</v>
      </c>
      <c r="F77" s="196" t="s">
        <v>78</v>
      </c>
    </row>
    <row r="78" spans="1:6" ht="15.75">
      <c r="A78" s="133" t="s">
        <v>122</v>
      </c>
      <c r="B78" s="197">
        <f aca="true" t="shared" si="3" ref="B78:B83">SUM(C78:F78)</f>
        <v>0</v>
      </c>
      <c r="C78" s="197">
        <v>0</v>
      </c>
      <c r="D78" s="197">
        <v>0</v>
      </c>
      <c r="E78" s="197">
        <v>0</v>
      </c>
      <c r="F78" s="197">
        <v>0</v>
      </c>
    </row>
    <row r="79" spans="1:6" ht="31.5">
      <c r="A79" s="133" t="s">
        <v>37</v>
      </c>
      <c r="B79" s="197">
        <f t="shared" si="3"/>
        <v>0</v>
      </c>
      <c r="C79" s="197">
        <v>0</v>
      </c>
      <c r="D79" s="197">
        <v>0</v>
      </c>
      <c r="E79" s="197">
        <v>0</v>
      </c>
      <c r="F79" s="197">
        <v>0</v>
      </c>
    </row>
    <row r="80" spans="1:6" ht="15.75">
      <c r="A80" s="133" t="s">
        <v>18</v>
      </c>
      <c r="B80" s="197">
        <f t="shared" si="3"/>
        <v>0</v>
      </c>
      <c r="C80" s="197">
        <v>0</v>
      </c>
      <c r="D80" s="197">
        <v>0</v>
      </c>
      <c r="E80" s="197">
        <v>0</v>
      </c>
      <c r="F80" s="197">
        <v>0</v>
      </c>
    </row>
    <row r="81" spans="1:6" ht="15.75">
      <c r="A81" s="201" t="s">
        <v>38</v>
      </c>
      <c r="B81" s="197">
        <f>E81</f>
        <v>907900000</v>
      </c>
      <c r="C81" s="197">
        <v>0</v>
      </c>
      <c r="D81" s="197">
        <v>0</v>
      </c>
      <c r="E81" s="134">
        <v>907900000</v>
      </c>
      <c r="F81" s="197">
        <v>0</v>
      </c>
    </row>
    <row r="82" spans="1:6" ht="15.75">
      <c r="A82" s="202" t="s">
        <v>39</v>
      </c>
      <c r="B82" s="197">
        <f t="shared" si="3"/>
        <v>0</v>
      </c>
      <c r="C82" s="197">
        <v>0</v>
      </c>
      <c r="D82" s="197">
        <v>0</v>
      </c>
      <c r="E82" s="197">
        <v>0</v>
      </c>
      <c r="F82" s="197">
        <v>0</v>
      </c>
    </row>
    <row r="83" spans="1:6" ht="15.75">
      <c r="A83" s="202" t="s">
        <v>19</v>
      </c>
      <c r="B83" s="197">
        <f t="shared" si="3"/>
        <v>0</v>
      </c>
      <c r="C83" s="197">
        <v>0</v>
      </c>
      <c r="D83" s="197">
        <v>0</v>
      </c>
      <c r="E83" s="197">
        <v>0</v>
      </c>
      <c r="F83" s="197">
        <v>0</v>
      </c>
    </row>
    <row r="84" spans="1:6" ht="15.75">
      <c r="A84" s="200" t="s">
        <v>79</v>
      </c>
      <c r="B84" s="198">
        <f>SUM(B78:B83)</f>
        <v>907900000</v>
      </c>
      <c r="C84" s="198">
        <f>SUM(C78:C83)</f>
        <v>0</v>
      </c>
      <c r="D84" s="198">
        <f>SUM(D78:D83)</f>
        <v>0</v>
      </c>
      <c r="E84" s="198">
        <f>SUM(E78:E83)</f>
        <v>907900000</v>
      </c>
      <c r="F84" s="198">
        <f>SUM(F78:F83)</f>
        <v>0</v>
      </c>
    </row>
    <row r="85" spans="1:6" ht="15.75">
      <c r="A85" s="199" t="s">
        <v>165</v>
      </c>
      <c r="B85" s="197">
        <f>E85</f>
        <v>25965476</v>
      </c>
      <c r="C85" s="197">
        <v>0</v>
      </c>
      <c r="D85" s="197">
        <v>0</v>
      </c>
      <c r="E85" s="197">
        <v>25965476</v>
      </c>
      <c r="F85" s="197">
        <v>0</v>
      </c>
    </row>
    <row r="86" spans="1:6" ht="15.75">
      <c r="A86" s="199" t="s">
        <v>80</v>
      </c>
      <c r="B86" s="197">
        <v>431934524</v>
      </c>
      <c r="C86" s="197">
        <v>431934524</v>
      </c>
      <c r="D86" s="197"/>
      <c r="E86" s="197">
        <v>0</v>
      </c>
      <c r="F86" s="197">
        <v>0</v>
      </c>
    </row>
    <row r="87" spans="1:6" ht="15.75">
      <c r="A87" s="199" t="s">
        <v>162</v>
      </c>
      <c r="B87" s="197">
        <f>E87</f>
        <v>450000000</v>
      </c>
      <c r="C87" s="197">
        <v>0</v>
      </c>
      <c r="D87" s="197"/>
      <c r="E87" s="139">
        <v>450000000</v>
      </c>
      <c r="F87" s="197">
        <v>0</v>
      </c>
    </row>
    <row r="88" spans="1:6" ht="15.75">
      <c r="A88" s="199" t="s">
        <v>81</v>
      </c>
      <c r="B88" s="197">
        <f>SUM(C88:F88)</f>
        <v>0</v>
      </c>
      <c r="C88" s="197">
        <v>0</v>
      </c>
      <c r="D88" s="197">
        <v>0</v>
      </c>
      <c r="E88" s="197">
        <v>0</v>
      </c>
      <c r="F88" s="197">
        <v>0</v>
      </c>
    </row>
    <row r="89" spans="1:6" ht="15.75">
      <c r="A89" s="200" t="s">
        <v>82</v>
      </c>
      <c r="B89" s="198">
        <f>SUM(B85:B88)</f>
        <v>907900000</v>
      </c>
      <c r="C89" s="198">
        <f>SUM(C85:C88)</f>
        <v>431934524</v>
      </c>
      <c r="D89" s="198">
        <f>SUM(D85:D88)</f>
        <v>0</v>
      </c>
      <c r="E89" s="205">
        <f>SUM(E85:E88)</f>
        <v>475965476</v>
      </c>
      <c r="F89" s="198">
        <f>SUM(F85:F88)</f>
        <v>0</v>
      </c>
    </row>
    <row r="92" spans="5:6" ht="15.75">
      <c r="E92" s="67"/>
      <c r="F92" s="67" t="s">
        <v>343</v>
      </c>
    </row>
    <row r="93" spans="1:6" ht="35.25" customHeight="1">
      <c r="A93" s="356" t="s">
        <v>347</v>
      </c>
      <c r="B93" s="357"/>
      <c r="C93" s="357"/>
      <c r="D93" s="357"/>
      <c r="E93" s="357"/>
      <c r="F93" s="358"/>
    </row>
    <row r="94" spans="1:6" ht="63">
      <c r="A94" s="196" t="s">
        <v>15</v>
      </c>
      <c r="B94" s="196" t="s">
        <v>76</v>
      </c>
      <c r="C94" s="196" t="s">
        <v>77</v>
      </c>
      <c r="D94" s="196" t="s">
        <v>457</v>
      </c>
      <c r="E94" s="196" t="s">
        <v>458</v>
      </c>
      <c r="F94" s="196" t="s">
        <v>78</v>
      </c>
    </row>
    <row r="95" spans="1:6" ht="15.75">
      <c r="A95" s="133" t="s">
        <v>122</v>
      </c>
      <c r="B95" s="197">
        <f aca="true" t="shared" si="4" ref="B95:B100">SUM(C95:F95)</f>
        <v>0</v>
      </c>
      <c r="C95" s="197">
        <v>0</v>
      </c>
      <c r="D95" s="197">
        <v>0</v>
      </c>
      <c r="E95" s="197">
        <v>0</v>
      </c>
      <c r="F95" s="197">
        <v>0</v>
      </c>
    </row>
    <row r="96" spans="1:6" ht="31.5">
      <c r="A96" s="133" t="s">
        <v>37</v>
      </c>
      <c r="B96" s="197">
        <f t="shared" si="4"/>
        <v>0</v>
      </c>
      <c r="C96" s="197">
        <v>0</v>
      </c>
      <c r="D96" s="197">
        <v>0</v>
      </c>
      <c r="E96" s="197">
        <v>0</v>
      </c>
      <c r="F96" s="197">
        <v>0</v>
      </c>
    </row>
    <row r="97" spans="1:6" ht="15.75">
      <c r="A97" s="133" t="s">
        <v>18</v>
      </c>
      <c r="B97" s="197">
        <v>0</v>
      </c>
      <c r="C97" s="197">
        <v>0</v>
      </c>
      <c r="D97" s="197">
        <v>0</v>
      </c>
      <c r="E97" s="197">
        <v>0</v>
      </c>
      <c r="F97" s="197">
        <v>0</v>
      </c>
    </row>
    <row r="98" spans="1:6" ht="15.75">
      <c r="A98" s="297" t="s">
        <v>38</v>
      </c>
      <c r="B98" s="298">
        <v>391516985</v>
      </c>
      <c r="C98" s="298">
        <v>0</v>
      </c>
      <c r="D98" s="298">
        <v>0</v>
      </c>
      <c r="E98" s="299">
        <v>391516985</v>
      </c>
      <c r="F98" s="197">
        <v>0</v>
      </c>
    </row>
    <row r="99" spans="1:6" ht="15.75">
      <c r="A99" s="202" t="s">
        <v>39</v>
      </c>
      <c r="B99" s="197">
        <f t="shared" si="4"/>
        <v>0</v>
      </c>
      <c r="C99" s="197">
        <v>0</v>
      </c>
      <c r="D99" s="197">
        <v>0</v>
      </c>
      <c r="E99" s="197">
        <v>0</v>
      </c>
      <c r="F99" s="197">
        <v>0</v>
      </c>
    </row>
    <row r="100" spans="1:6" ht="15.75">
      <c r="A100" s="202" t="s">
        <v>19</v>
      </c>
      <c r="B100" s="197">
        <f t="shared" si="4"/>
        <v>0</v>
      </c>
      <c r="C100" s="197">
        <v>0</v>
      </c>
      <c r="D100" s="197">
        <v>0</v>
      </c>
      <c r="E100" s="197">
        <v>0</v>
      </c>
      <c r="F100" s="197">
        <v>0</v>
      </c>
    </row>
    <row r="101" spans="1:6" ht="15.75">
      <c r="A101" s="200" t="s">
        <v>79</v>
      </c>
      <c r="B101" s="198">
        <f>SUM(B95:B100)</f>
        <v>391516985</v>
      </c>
      <c r="C101" s="198">
        <f>SUM(C95:C100)</f>
        <v>0</v>
      </c>
      <c r="D101" s="198">
        <f>SUM(D95:D100)</f>
        <v>0</v>
      </c>
      <c r="E101" s="198">
        <f>SUM(E95:E100)</f>
        <v>391516985</v>
      </c>
      <c r="F101" s="198">
        <f>SUM(F95:F100)</f>
        <v>0</v>
      </c>
    </row>
    <row r="102" spans="1:6" ht="15.75">
      <c r="A102" s="199" t="s">
        <v>165</v>
      </c>
      <c r="B102" s="197">
        <v>0</v>
      </c>
      <c r="C102" s="197">
        <v>0</v>
      </c>
      <c r="D102" s="197">
        <v>0</v>
      </c>
      <c r="E102" s="197">
        <v>0</v>
      </c>
      <c r="F102" s="197">
        <v>0</v>
      </c>
    </row>
    <row r="103" spans="1:6" ht="15.75">
      <c r="A103" s="199" t="s">
        <v>80</v>
      </c>
      <c r="B103" s="197">
        <v>291516985</v>
      </c>
      <c r="C103" s="197">
        <v>130157290</v>
      </c>
      <c r="D103" s="197"/>
      <c r="E103" s="197">
        <v>161359695</v>
      </c>
      <c r="F103" s="197"/>
    </row>
    <row r="104" spans="1:6" ht="15.75">
      <c r="A104" s="300" t="s">
        <v>162</v>
      </c>
      <c r="B104" s="298">
        <v>100000000</v>
      </c>
      <c r="C104" s="298">
        <v>0</v>
      </c>
      <c r="D104" s="301"/>
      <c r="E104" s="301">
        <v>100000000</v>
      </c>
      <c r="F104" s="197">
        <v>0</v>
      </c>
    </row>
    <row r="105" spans="1:6" ht="15.75">
      <c r="A105" s="199" t="s">
        <v>81</v>
      </c>
      <c r="B105" s="197">
        <f>SUM(C105:F105)</f>
        <v>0</v>
      </c>
      <c r="C105" s="197">
        <v>0</v>
      </c>
      <c r="D105" s="197">
        <v>0</v>
      </c>
      <c r="E105" s="197">
        <v>0</v>
      </c>
      <c r="F105" s="197">
        <v>0</v>
      </c>
    </row>
    <row r="106" spans="1:6" ht="15.75">
      <c r="A106" s="200" t="s">
        <v>82</v>
      </c>
      <c r="B106" s="198">
        <f>SUM(B102:B105)</f>
        <v>391516985</v>
      </c>
      <c r="C106" s="198">
        <f>SUM(C102:C105)</f>
        <v>130157290</v>
      </c>
      <c r="D106" s="198">
        <f>SUM(D102:D105)</f>
        <v>0</v>
      </c>
      <c r="E106" s="205">
        <f>SUM(E102:E105)</f>
        <v>261359695</v>
      </c>
      <c r="F106" s="198">
        <f>SUM(F102:F105)</f>
        <v>0</v>
      </c>
    </row>
    <row r="109" spans="5:6" ht="15.75">
      <c r="E109" s="67"/>
      <c r="F109" s="67" t="s">
        <v>343</v>
      </c>
    </row>
    <row r="110" spans="1:6" ht="39.75" customHeight="1">
      <c r="A110" s="356" t="s">
        <v>425</v>
      </c>
      <c r="B110" s="357"/>
      <c r="C110" s="357"/>
      <c r="D110" s="357"/>
      <c r="E110" s="357"/>
      <c r="F110" s="358"/>
    </row>
    <row r="111" spans="1:6" ht="63">
      <c r="A111" s="196" t="s">
        <v>15</v>
      </c>
      <c r="B111" s="196" t="s">
        <v>76</v>
      </c>
      <c r="C111" s="196" t="s">
        <v>77</v>
      </c>
      <c r="D111" s="196" t="s">
        <v>457</v>
      </c>
      <c r="E111" s="196" t="s">
        <v>458</v>
      </c>
      <c r="F111" s="196" t="s">
        <v>78</v>
      </c>
    </row>
    <row r="112" spans="1:6" ht="15.75">
      <c r="A112" s="133" t="s">
        <v>122</v>
      </c>
      <c r="B112" s="197">
        <f>SUM(C112:F112)</f>
        <v>0</v>
      </c>
      <c r="C112" s="197">
        <v>0</v>
      </c>
      <c r="D112" s="197">
        <v>0</v>
      </c>
      <c r="E112" s="197">
        <v>0</v>
      </c>
      <c r="F112" s="197">
        <v>0</v>
      </c>
    </row>
    <row r="113" spans="1:6" ht="31.5">
      <c r="A113" s="133" t="s">
        <v>37</v>
      </c>
      <c r="B113" s="197">
        <f aca="true" t="shared" si="5" ref="B113:B121">SUM(C113:F113)</f>
        <v>0</v>
      </c>
      <c r="C113" s="197">
        <v>0</v>
      </c>
      <c r="D113" s="197">
        <v>0</v>
      </c>
      <c r="E113" s="197">
        <v>0</v>
      </c>
      <c r="F113" s="197">
        <v>0</v>
      </c>
    </row>
    <row r="114" spans="1:6" ht="15.75">
      <c r="A114" s="133" t="s">
        <v>18</v>
      </c>
      <c r="B114" s="197">
        <f t="shared" si="5"/>
        <v>0</v>
      </c>
      <c r="C114" s="197">
        <v>0</v>
      </c>
      <c r="D114" s="197">
        <v>0</v>
      </c>
      <c r="E114" s="197">
        <v>0</v>
      </c>
      <c r="F114" s="197">
        <v>0</v>
      </c>
    </row>
    <row r="115" spans="1:6" ht="15.75">
      <c r="A115" s="201" t="s">
        <v>38</v>
      </c>
      <c r="B115" s="197">
        <f t="shared" si="5"/>
        <v>214426316</v>
      </c>
      <c r="C115" s="197">
        <v>0</v>
      </c>
      <c r="D115" s="197">
        <v>72552242</v>
      </c>
      <c r="E115" s="197">
        <v>141874074</v>
      </c>
      <c r="F115" s="197">
        <v>0</v>
      </c>
    </row>
    <row r="116" spans="1:6" ht="15.75">
      <c r="A116" s="202" t="s">
        <v>39</v>
      </c>
      <c r="B116" s="197">
        <f t="shared" si="5"/>
        <v>0</v>
      </c>
      <c r="C116" s="197">
        <v>0</v>
      </c>
      <c r="D116" s="197">
        <v>0</v>
      </c>
      <c r="E116" s="197">
        <v>0</v>
      </c>
      <c r="F116" s="197">
        <v>0</v>
      </c>
    </row>
    <row r="117" spans="1:6" ht="15.75">
      <c r="A117" s="202" t="s">
        <v>19</v>
      </c>
      <c r="B117" s="197">
        <f t="shared" si="5"/>
        <v>0</v>
      </c>
      <c r="C117" s="197">
        <v>0</v>
      </c>
      <c r="D117" s="197">
        <v>0</v>
      </c>
      <c r="E117" s="197">
        <v>0</v>
      </c>
      <c r="F117" s="197">
        <v>0</v>
      </c>
    </row>
    <row r="118" spans="1:6" ht="15.75">
      <c r="A118" s="200" t="s">
        <v>79</v>
      </c>
      <c r="B118" s="198">
        <f>SUM(B112:B117)</f>
        <v>214426316</v>
      </c>
      <c r="C118" s="198">
        <f>SUM(C112:C117)</f>
        <v>0</v>
      </c>
      <c r="D118" s="198">
        <f>SUM(D112:D117)</f>
        <v>72552242</v>
      </c>
      <c r="E118" s="198">
        <f>SUM(E112:E117)</f>
        <v>141874074</v>
      </c>
      <c r="F118" s="198">
        <f>SUM(F112:F117)</f>
        <v>0</v>
      </c>
    </row>
    <row r="119" spans="1:6" ht="15.75">
      <c r="A119" s="199" t="s">
        <v>165</v>
      </c>
      <c r="B119" s="197">
        <f t="shared" si="5"/>
        <v>10526316</v>
      </c>
      <c r="C119" s="197">
        <v>0</v>
      </c>
      <c r="D119" s="197">
        <v>0</v>
      </c>
      <c r="E119" s="197">
        <v>10526316</v>
      </c>
      <c r="F119" s="197">
        <v>0</v>
      </c>
    </row>
    <row r="120" spans="1:6" ht="15.75">
      <c r="A120" s="199" t="s">
        <v>399</v>
      </c>
      <c r="B120" s="197">
        <f t="shared" si="5"/>
        <v>200000000</v>
      </c>
      <c r="C120" s="197">
        <v>0</v>
      </c>
      <c r="D120" s="139">
        <v>0</v>
      </c>
      <c r="E120" s="139">
        <v>200000000</v>
      </c>
      <c r="F120" s="197">
        <v>0</v>
      </c>
    </row>
    <row r="121" spans="1:6" ht="15.75">
      <c r="A121" s="199" t="s">
        <v>81</v>
      </c>
      <c r="B121" s="197">
        <f t="shared" si="5"/>
        <v>0</v>
      </c>
      <c r="C121" s="197">
        <v>0</v>
      </c>
      <c r="D121" s="197">
        <v>0</v>
      </c>
      <c r="E121" s="197">
        <v>0</v>
      </c>
      <c r="F121" s="197">
        <v>0</v>
      </c>
    </row>
    <row r="122" spans="1:6" ht="15.75">
      <c r="A122" s="200" t="s">
        <v>82</v>
      </c>
      <c r="B122" s="198">
        <f>SUM(B119:B121)</f>
        <v>210526316</v>
      </c>
      <c r="C122" s="198">
        <f>SUM(C119:C121)</f>
        <v>0</v>
      </c>
      <c r="D122" s="198">
        <f>SUM(D119:D121)</f>
        <v>0</v>
      </c>
      <c r="E122" s="205">
        <f>SUM(E119:E121)</f>
        <v>210526316</v>
      </c>
      <c r="F122" s="198">
        <f>SUM(F119:F121)</f>
        <v>0</v>
      </c>
    </row>
    <row r="123" spans="1:6" ht="15.75">
      <c r="A123" s="69"/>
      <c r="B123" s="204"/>
      <c r="C123" s="204"/>
      <c r="D123" s="204"/>
      <c r="E123" s="204"/>
      <c r="F123" s="204"/>
    </row>
    <row r="125" spans="5:6" ht="15.75">
      <c r="E125" s="67"/>
      <c r="F125" s="67" t="s">
        <v>343</v>
      </c>
    </row>
    <row r="126" spans="1:6" ht="15.75">
      <c r="A126" s="356" t="s">
        <v>429</v>
      </c>
      <c r="B126" s="357"/>
      <c r="C126" s="357"/>
      <c r="D126" s="357"/>
      <c r="E126" s="357"/>
      <c r="F126" s="358"/>
    </row>
    <row r="127" spans="1:6" ht="63">
      <c r="A127" s="196" t="s">
        <v>15</v>
      </c>
      <c r="B127" s="196" t="s">
        <v>76</v>
      </c>
      <c r="C127" s="196" t="s">
        <v>77</v>
      </c>
      <c r="D127" s="196" t="s">
        <v>457</v>
      </c>
      <c r="E127" s="196" t="s">
        <v>458</v>
      </c>
      <c r="F127" s="196" t="s">
        <v>78</v>
      </c>
    </row>
    <row r="128" spans="1:6" ht="15.75">
      <c r="A128" s="133" t="s">
        <v>122</v>
      </c>
      <c r="B128" s="197">
        <f aca="true" t="shared" si="6" ref="B128:B133">SUM(C128:F128)</f>
        <v>0</v>
      </c>
      <c r="C128" s="197">
        <v>0</v>
      </c>
      <c r="D128" s="197">
        <v>0</v>
      </c>
      <c r="E128" s="197">
        <v>0</v>
      </c>
      <c r="F128" s="197">
        <v>0</v>
      </c>
    </row>
    <row r="129" spans="1:6" ht="31.5">
      <c r="A129" s="133" t="s">
        <v>37</v>
      </c>
      <c r="B129" s="197">
        <f t="shared" si="6"/>
        <v>0</v>
      </c>
      <c r="C129" s="197">
        <v>0</v>
      </c>
      <c r="D129" s="197">
        <v>0</v>
      </c>
      <c r="E129" s="197">
        <v>0</v>
      </c>
      <c r="F129" s="197">
        <v>0</v>
      </c>
    </row>
    <row r="130" spans="1:6" ht="15.75">
      <c r="A130" s="133" t="s">
        <v>18</v>
      </c>
      <c r="B130" s="197">
        <v>6172200</v>
      </c>
      <c r="C130" s="197">
        <v>0</v>
      </c>
      <c r="D130" s="197">
        <v>6172200</v>
      </c>
      <c r="E130" s="197">
        <v>0</v>
      </c>
      <c r="F130" s="197">
        <v>0</v>
      </c>
    </row>
    <row r="131" spans="1:6" ht="15.75">
      <c r="A131" s="201" t="s">
        <v>38</v>
      </c>
      <c r="B131" s="197">
        <f t="shared" si="6"/>
        <v>0</v>
      </c>
      <c r="C131" s="197">
        <v>0</v>
      </c>
      <c r="D131" s="197">
        <v>0</v>
      </c>
      <c r="E131" s="197">
        <v>0</v>
      </c>
      <c r="F131" s="197">
        <v>0</v>
      </c>
    </row>
    <row r="132" spans="1:6" ht="15.75">
      <c r="A132" s="202" t="s">
        <v>39</v>
      </c>
      <c r="B132" s="197">
        <v>118827800</v>
      </c>
      <c r="C132" s="197">
        <v>0</v>
      </c>
      <c r="D132" s="197">
        <v>0</v>
      </c>
      <c r="E132" s="35">
        <v>123827800</v>
      </c>
      <c r="F132" s="197">
        <v>0</v>
      </c>
    </row>
    <row r="133" spans="1:6" ht="15.75">
      <c r="A133" s="202" t="s">
        <v>19</v>
      </c>
      <c r="B133" s="197">
        <f t="shared" si="6"/>
        <v>0</v>
      </c>
      <c r="C133" s="197">
        <v>0</v>
      </c>
      <c r="D133" s="197">
        <v>0</v>
      </c>
      <c r="E133" s="197">
        <v>0</v>
      </c>
      <c r="F133" s="197">
        <v>0</v>
      </c>
    </row>
    <row r="134" spans="1:6" ht="15.75">
      <c r="A134" s="200" t="s">
        <v>79</v>
      </c>
      <c r="B134" s="198">
        <f>SUM(B128:B133)</f>
        <v>125000000</v>
      </c>
      <c r="C134" s="198">
        <f>SUM(C128:C133)</f>
        <v>0</v>
      </c>
      <c r="D134" s="198">
        <f>SUM(D128:D133)</f>
        <v>6172200</v>
      </c>
      <c r="E134" s="198">
        <f>SUM(E128:E133)</f>
        <v>123827800</v>
      </c>
      <c r="F134" s="198">
        <f>SUM(F128:F133)</f>
        <v>0</v>
      </c>
    </row>
    <row r="135" spans="1:6" ht="15.75">
      <c r="A135" s="199" t="s">
        <v>165</v>
      </c>
      <c r="B135" s="197">
        <f>SUM(C135:F135)</f>
        <v>30000000</v>
      </c>
      <c r="C135" s="197">
        <v>0</v>
      </c>
      <c r="D135" s="197">
        <v>0</v>
      </c>
      <c r="E135" s="197">
        <v>30000000</v>
      </c>
      <c r="F135" s="197">
        <v>0</v>
      </c>
    </row>
    <row r="136" spans="1:6" ht="15.75">
      <c r="A136" s="199" t="s">
        <v>80</v>
      </c>
      <c r="B136" s="197">
        <f>SUM(C136:F136)</f>
        <v>0</v>
      </c>
      <c r="C136" s="197">
        <v>0</v>
      </c>
      <c r="D136" s="197">
        <v>0</v>
      </c>
      <c r="E136" s="197">
        <v>0</v>
      </c>
      <c r="F136" s="197">
        <v>0</v>
      </c>
    </row>
    <row r="137" spans="1:6" ht="15.75">
      <c r="A137" s="199" t="s">
        <v>162</v>
      </c>
      <c r="B137" s="197">
        <f>SUM(C137:F137)</f>
        <v>100000000</v>
      </c>
      <c r="C137" s="197">
        <v>0</v>
      </c>
      <c r="D137" s="139">
        <v>50000000</v>
      </c>
      <c r="E137" s="139">
        <v>50000000</v>
      </c>
      <c r="F137" s="197">
        <v>0</v>
      </c>
    </row>
    <row r="138" spans="1:6" ht="15.75">
      <c r="A138" s="199" t="s">
        <v>81</v>
      </c>
      <c r="B138" s="197">
        <f>SUM(C138:F138)</f>
        <v>0</v>
      </c>
      <c r="C138" s="197">
        <v>0</v>
      </c>
      <c r="D138" s="197">
        <v>0</v>
      </c>
      <c r="E138" s="197">
        <v>0</v>
      </c>
      <c r="F138" s="197">
        <v>0</v>
      </c>
    </row>
    <row r="139" spans="1:6" ht="15.75">
      <c r="A139" s="200" t="s">
        <v>82</v>
      </c>
      <c r="B139" s="198">
        <f>SUM(B135:B138)</f>
        <v>130000000</v>
      </c>
      <c r="C139" s="198">
        <f>SUM(C135:C138)</f>
        <v>0</v>
      </c>
      <c r="D139" s="198">
        <f>SUM(D135:D138)</f>
        <v>50000000</v>
      </c>
      <c r="E139" s="205">
        <f>SUM(E135:E138)</f>
        <v>80000000</v>
      </c>
      <c r="F139" s="198">
        <f>SUM(F135:F138)</f>
        <v>0</v>
      </c>
    </row>
    <row r="142" spans="5:6" ht="15.75">
      <c r="E142" s="67"/>
      <c r="F142" s="67" t="s">
        <v>343</v>
      </c>
    </row>
    <row r="143" spans="1:6" ht="15.75">
      <c r="A143" s="356" t="s">
        <v>356</v>
      </c>
      <c r="B143" s="357"/>
      <c r="C143" s="357"/>
      <c r="D143" s="357"/>
      <c r="E143" s="357"/>
      <c r="F143" s="358"/>
    </row>
    <row r="144" spans="1:6" ht="63">
      <c r="A144" s="196" t="s">
        <v>15</v>
      </c>
      <c r="B144" s="196" t="s">
        <v>76</v>
      </c>
      <c r="C144" s="196" t="s">
        <v>77</v>
      </c>
      <c r="D144" s="196" t="s">
        <v>457</v>
      </c>
      <c r="E144" s="196" t="s">
        <v>458</v>
      </c>
      <c r="F144" s="196" t="s">
        <v>78</v>
      </c>
    </row>
    <row r="145" spans="1:6" ht="15.75">
      <c r="A145" s="133" t="s">
        <v>122</v>
      </c>
      <c r="B145" s="197">
        <f aca="true" t="shared" si="7" ref="B145:B150">SUM(C145:F145)</f>
        <v>0</v>
      </c>
      <c r="C145" s="197">
        <v>0</v>
      </c>
      <c r="D145" s="197">
        <v>0</v>
      </c>
      <c r="E145" s="197">
        <v>0</v>
      </c>
      <c r="F145" s="197">
        <v>0</v>
      </c>
    </row>
    <row r="146" spans="1:6" ht="31.5">
      <c r="A146" s="133" t="s">
        <v>37</v>
      </c>
      <c r="B146" s="197">
        <f t="shared" si="7"/>
        <v>0</v>
      </c>
      <c r="C146" s="197">
        <v>0</v>
      </c>
      <c r="D146" s="197">
        <v>0</v>
      </c>
      <c r="E146" s="197">
        <v>0</v>
      </c>
      <c r="F146" s="197">
        <v>0</v>
      </c>
    </row>
    <row r="147" spans="1:6" ht="15.75">
      <c r="A147" s="133" t="s">
        <v>18</v>
      </c>
      <c r="B147" s="197">
        <f t="shared" si="7"/>
        <v>3511500</v>
      </c>
      <c r="C147" s="197">
        <v>0</v>
      </c>
      <c r="D147" s="197">
        <v>3511500</v>
      </c>
      <c r="E147" s="197">
        <v>0</v>
      </c>
      <c r="F147" s="197">
        <v>0</v>
      </c>
    </row>
    <row r="148" spans="1:6" ht="15.75">
      <c r="A148" s="201" t="s">
        <v>38</v>
      </c>
      <c r="B148" s="197">
        <f t="shared" si="7"/>
        <v>130368500</v>
      </c>
      <c r="C148" s="197">
        <v>0</v>
      </c>
      <c r="D148" s="197">
        <v>130368500</v>
      </c>
      <c r="E148" s="134">
        <v>0</v>
      </c>
      <c r="F148" s="197">
        <v>0</v>
      </c>
    </row>
    <row r="149" spans="1:6" ht="15.75">
      <c r="A149" s="202" t="s">
        <v>39</v>
      </c>
      <c r="B149" s="197">
        <f t="shared" si="7"/>
        <v>0</v>
      </c>
      <c r="C149" s="197">
        <v>0</v>
      </c>
      <c r="D149" s="197">
        <v>0</v>
      </c>
      <c r="E149" s="134">
        <v>0</v>
      </c>
      <c r="F149" s="197">
        <v>0</v>
      </c>
    </row>
    <row r="150" spans="1:6" ht="15.75">
      <c r="A150" s="202" t="s">
        <v>19</v>
      </c>
      <c r="B150" s="197">
        <f t="shared" si="7"/>
        <v>0</v>
      </c>
      <c r="C150" s="197">
        <v>0</v>
      </c>
      <c r="D150" s="197">
        <v>0</v>
      </c>
      <c r="E150" s="197">
        <v>0</v>
      </c>
      <c r="F150" s="197">
        <v>0</v>
      </c>
    </row>
    <row r="151" spans="1:6" ht="15.75">
      <c r="A151" s="200" t="s">
        <v>79</v>
      </c>
      <c r="B151" s="198">
        <f>SUM(B145:B150)</f>
        <v>133880000</v>
      </c>
      <c r="C151" s="198">
        <f>SUM(C145:C150)</f>
        <v>0</v>
      </c>
      <c r="D151" s="198">
        <f>SUM(D145:D150)</f>
        <v>133880000</v>
      </c>
      <c r="E151" s="198">
        <f>SUM(E145:E150)</f>
        <v>0</v>
      </c>
      <c r="F151" s="198">
        <f>SUM(F145:F150)</f>
        <v>0</v>
      </c>
    </row>
    <row r="152" spans="1:6" ht="15.75">
      <c r="A152" s="199" t="s">
        <v>165</v>
      </c>
      <c r="B152" s="197">
        <f>SUM(C152:F152)</f>
        <v>14064275</v>
      </c>
      <c r="C152" s="197">
        <v>0</v>
      </c>
      <c r="D152" s="197">
        <v>14064275</v>
      </c>
      <c r="E152" s="197">
        <v>0</v>
      </c>
      <c r="F152" s="197">
        <v>0</v>
      </c>
    </row>
    <row r="153" spans="1:6" ht="15.75">
      <c r="A153" s="199" t="s">
        <v>80</v>
      </c>
      <c r="B153" s="197">
        <f>SUM(C153:F153)</f>
        <v>0</v>
      </c>
      <c r="C153" s="197">
        <v>0</v>
      </c>
      <c r="D153" s="197">
        <v>0</v>
      </c>
      <c r="E153" s="197">
        <v>0</v>
      </c>
      <c r="F153" s="197">
        <v>0</v>
      </c>
    </row>
    <row r="154" spans="1:6" ht="15.75">
      <c r="A154" s="199" t="s">
        <v>162</v>
      </c>
      <c r="B154" s="197">
        <f>SUM(C154:F154)</f>
        <v>119815725</v>
      </c>
      <c r="C154" s="197">
        <v>0</v>
      </c>
      <c r="D154" s="197">
        <v>89861793</v>
      </c>
      <c r="E154" s="197">
        <v>29953932</v>
      </c>
      <c r="F154" s="197">
        <v>0</v>
      </c>
    </row>
    <row r="155" spans="1:6" ht="15.75">
      <c r="A155" s="199" t="s">
        <v>81</v>
      </c>
      <c r="B155" s="197">
        <f>SUM(C155:F155)</f>
        <v>0</v>
      </c>
      <c r="C155" s="197">
        <v>0</v>
      </c>
      <c r="D155" s="197">
        <v>0</v>
      </c>
      <c r="E155" s="197">
        <v>0</v>
      </c>
      <c r="F155" s="197">
        <v>0</v>
      </c>
    </row>
    <row r="156" spans="1:6" ht="15.75">
      <c r="A156" s="200" t="s">
        <v>82</v>
      </c>
      <c r="B156" s="198">
        <f>SUM(B152:B155)</f>
        <v>133880000</v>
      </c>
      <c r="C156" s="198">
        <f>SUM(C152:C155)</f>
        <v>0</v>
      </c>
      <c r="D156" s="198">
        <f>SUM(D152:D155)</f>
        <v>103926068</v>
      </c>
      <c r="E156" s="205">
        <f>SUM(E152:E155)</f>
        <v>29953932</v>
      </c>
      <c r="F156" s="198">
        <f>SUM(F152:F155)</f>
        <v>0</v>
      </c>
    </row>
    <row r="159" spans="5:6" ht="15.75">
      <c r="E159" s="67"/>
      <c r="F159" s="67" t="s">
        <v>343</v>
      </c>
    </row>
    <row r="160" spans="1:6" ht="15.75">
      <c r="A160" s="356" t="s">
        <v>437</v>
      </c>
      <c r="B160" s="357"/>
      <c r="C160" s="357"/>
      <c r="D160" s="357"/>
      <c r="E160" s="357"/>
      <c r="F160" s="358"/>
    </row>
    <row r="161" spans="1:6" ht="63">
      <c r="A161" s="196" t="s">
        <v>15</v>
      </c>
      <c r="B161" s="196" t="s">
        <v>76</v>
      </c>
      <c r="C161" s="196" t="s">
        <v>77</v>
      </c>
      <c r="D161" s="196" t="s">
        <v>457</v>
      </c>
      <c r="E161" s="196" t="s">
        <v>458</v>
      </c>
      <c r="F161" s="196" t="s">
        <v>78</v>
      </c>
    </row>
    <row r="162" spans="1:6" ht="15.75">
      <c r="A162" s="133" t="s">
        <v>122</v>
      </c>
      <c r="B162" s="197">
        <f aca="true" t="shared" si="8" ref="B162:B167">SUM(C162:F162)</f>
        <v>0</v>
      </c>
      <c r="C162" s="197">
        <v>0</v>
      </c>
      <c r="D162" s="197">
        <v>0</v>
      </c>
      <c r="E162" s="197">
        <v>0</v>
      </c>
      <c r="F162" s="197">
        <v>0</v>
      </c>
    </row>
    <row r="163" spans="1:7" ht="31.5">
      <c r="A163" s="133" t="s">
        <v>37</v>
      </c>
      <c r="B163" s="207">
        <f t="shared" si="8"/>
        <v>0</v>
      </c>
      <c r="C163" s="207">
        <v>0</v>
      </c>
      <c r="D163" s="207">
        <v>0</v>
      </c>
      <c r="E163" s="207">
        <v>0</v>
      </c>
      <c r="F163" s="207">
        <v>0</v>
      </c>
      <c r="G163" s="208"/>
    </row>
    <row r="164" spans="1:7" ht="15.75">
      <c r="A164" s="133" t="s">
        <v>18</v>
      </c>
      <c r="B164" s="207">
        <f t="shared" si="8"/>
        <v>0</v>
      </c>
      <c r="C164" s="207">
        <v>0</v>
      </c>
      <c r="D164" s="207">
        <v>0</v>
      </c>
      <c r="E164" s="207">
        <v>0</v>
      </c>
      <c r="F164" s="207">
        <v>0</v>
      </c>
      <c r="G164" s="208"/>
    </row>
    <row r="165" spans="1:7" ht="15.75">
      <c r="A165" s="201" t="s">
        <v>38</v>
      </c>
      <c r="B165" s="207">
        <f t="shared" si="8"/>
        <v>0</v>
      </c>
      <c r="C165" s="207">
        <v>0</v>
      </c>
      <c r="D165" s="207">
        <v>0</v>
      </c>
      <c r="E165" s="209">
        <v>0</v>
      </c>
      <c r="F165" s="207">
        <v>0</v>
      </c>
      <c r="G165" s="208"/>
    </row>
    <row r="166" spans="1:7" ht="15.75">
      <c r="A166" s="202" t="s">
        <v>39</v>
      </c>
      <c r="B166" s="207">
        <f t="shared" si="8"/>
        <v>0</v>
      </c>
      <c r="C166" s="207">
        <v>0</v>
      </c>
      <c r="D166" s="207">
        <v>0</v>
      </c>
      <c r="E166" s="207">
        <v>0</v>
      </c>
      <c r="F166" s="207">
        <v>0</v>
      </c>
      <c r="G166" s="208"/>
    </row>
    <row r="167" spans="1:7" ht="15.75">
      <c r="A167" s="202" t="s">
        <v>19</v>
      </c>
      <c r="B167" s="207">
        <f t="shared" si="8"/>
        <v>653968541</v>
      </c>
      <c r="C167" s="207">
        <v>75617494</v>
      </c>
      <c r="D167" s="207">
        <v>0</v>
      </c>
      <c r="E167" s="207">
        <v>578351047</v>
      </c>
      <c r="F167" s="207">
        <v>0</v>
      </c>
      <c r="G167" s="208"/>
    </row>
    <row r="168" spans="1:7" ht="15.75">
      <c r="A168" s="200" t="s">
        <v>79</v>
      </c>
      <c r="B168" s="210">
        <f>SUM(B162:B167)</f>
        <v>653968541</v>
      </c>
      <c r="C168" s="210">
        <f>SUM(C162:C167)</f>
        <v>75617494</v>
      </c>
      <c r="D168" s="210">
        <f>SUM(D162:D167)</f>
        <v>0</v>
      </c>
      <c r="E168" s="210">
        <f>SUM(E162:E167)</f>
        <v>578351047</v>
      </c>
      <c r="F168" s="210">
        <f>SUM(F162:F167)</f>
        <v>0</v>
      </c>
      <c r="G168" s="208"/>
    </row>
    <row r="169" spans="1:7" ht="15.75">
      <c r="A169" s="199" t="s">
        <v>165</v>
      </c>
      <c r="B169" s="207">
        <v>153968541</v>
      </c>
      <c r="C169" s="207">
        <v>0</v>
      </c>
      <c r="D169" s="207">
        <v>0</v>
      </c>
      <c r="E169" s="207">
        <v>153968541</v>
      </c>
      <c r="F169" s="207">
        <v>0</v>
      </c>
      <c r="G169" s="208"/>
    </row>
    <row r="170" spans="1:7" ht="15.75">
      <c r="A170" s="199" t="s">
        <v>80</v>
      </c>
      <c r="B170" s="207">
        <f>SUM(D170:E170)</f>
        <v>0</v>
      </c>
      <c r="C170" s="207">
        <v>0</v>
      </c>
      <c r="D170" s="207">
        <v>0</v>
      </c>
      <c r="E170" s="207">
        <v>0</v>
      </c>
      <c r="F170" s="207">
        <v>0</v>
      </c>
      <c r="G170" s="208"/>
    </row>
    <row r="171" spans="1:7" ht="15.75">
      <c r="A171" s="199" t="s">
        <v>162</v>
      </c>
      <c r="B171" s="207">
        <v>500000000</v>
      </c>
      <c r="C171" s="207">
        <v>500000000</v>
      </c>
      <c r="D171" s="207"/>
      <c r="E171" s="211">
        <v>0</v>
      </c>
      <c r="F171" s="207">
        <v>0</v>
      </c>
      <c r="G171" s="208"/>
    </row>
    <row r="172" spans="1:7" ht="15.75">
      <c r="A172" s="199" t="s">
        <v>81</v>
      </c>
      <c r="B172" s="207">
        <f>SUM(C172:F172)</f>
        <v>0</v>
      </c>
      <c r="C172" s="207">
        <v>0</v>
      </c>
      <c r="D172" s="207">
        <v>0</v>
      </c>
      <c r="E172" s="207">
        <v>0</v>
      </c>
      <c r="F172" s="207">
        <v>0</v>
      </c>
      <c r="G172" s="208"/>
    </row>
    <row r="173" spans="1:7" ht="15.75">
      <c r="A173" s="200" t="s">
        <v>82</v>
      </c>
      <c r="B173" s="210">
        <f>SUM(B169:B172)</f>
        <v>653968541</v>
      </c>
      <c r="C173" s="210">
        <f>SUM(C169:C172)</f>
        <v>500000000</v>
      </c>
      <c r="D173" s="210">
        <f>SUM(D169:D172)</f>
        <v>0</v>
      </c>
      <c r="E173" s="212">
        <f>SUM(E169:E172)</f>
        <v>153968541</v>
      </c>
      <c r="F173" s="210">
        <f>SUM(F169:F172)</f>
        <v>0</v>
      </c>
      <c r="G173" s="208"/>
    </row>
    <row r="174" spans="2:7" ht="15.75">
      <c r="B174" s="208"/>
      <c r="C174" s="208"/>
      <c r="D174" s="208"/>
      <c r="E174" s="208"/>
      <c r="F174" s="208"/>
      <c r="G174" s="208"/>
    </row>
  </sheetData>
  <sheetProtection/>
  <mergeCells count="13">
    <mergeCell ref="A25:F25"/>
    <mergeCell ref="A42:F42"/>
    <mergeCell ref="A59:F59"/>
    <mergeCell ref="A76:F76"/>
    <mergeCell ref="A126:F126"/>
    <mergeCell ref="A160:F160"/>
    <mergeCell ref="A1:F1"/>
    <mergeCell ref="A4:F4"/>
    <mergeCell ref="A3:F3"/>
    <mergeCell ref="A93:F93"/>
    <mergeCell ref="A110:F110"/>
    <mergeCell ref="A143:F143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5" manualBreakCount="5">
    <brk id="40" max="255" man="1"/>
    <brk id="74" max="255" man="1"/>
    <brk id="108" max="255" man="1"/>
    <brk id="140" max="255" man="1"/>
    <brk id="1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95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9.875" style="76" customWidth="1"/>
    <col min="2" max="2" width="5.25390625" style="76" customWidth="1"/>
    <col min="3" max="4" width="14.25390625" style="76" bestFit="1" customWidth="1"/>
    <col min="5" max="5" width="16.625" style="76" bestFit="1" customWidth="1"/>
    <col min="6" max="6" width="1.875" style="76" customWidth="1"/>
    <col min="7" max="16384" width="9.125" style="76" customWidth="1"/>
  </cols>
  <sheetData>
    <row r="1" spans="1:5" ht="15">
      <c r="A1" s="361" t="s">
        <v>563</v>
      </c>
      <c r="B1" s="361"/>
      <c r="C1" s="361"/>
      <c r="D1" s="361"/>
      <c r="E1" s="361"/>
    </row>
    <row r="2" spans="1:5" ht="15.75">
      <c r="A2" s="4"/>
      <c r="B2" s="4"/>
      <c r="C2" s="4"/>
      <c r="D2" s="4"/>
      <c r="E2" s="4"/>
    </row>
    <row r="3" spans="1:5" ht="28.5" customHeight="1">
      <c r="A3" s="362" t="s">
        <v>139</v>
      </c>
      <c r="B3" s="362"/>
      <c r="C3" s="362"/>
      <c r="D3" s="362"/>
      <c r="E3" s="362"/>
    </row>
    <row r="4" spans="1:5" ht="20.25" customHeight="1">
      <c r="A4" s="77"/>
      <c r="B4" s="77"/>
      <c r="C4" s="77"/>
      <c r="D4" s="77"/>
      <c r="E4" s="10" t="s">
        <v>342</v>
      </c>
    </row>
    <row r="5" spans="1:9" ht="15" customHeight="1">
      <c r="A5" s="78" t="s">
        <v>140</v>
      </c>
      <c r="B5" s="79" t="s">
        <v>141</v>
      </c>
      <c r="C5" s="80" t="s">
        <v>353</v>
      </c>
      <c r="D5" s="80" t="s">
        <v>401</v>
      </c>
      <c r="E5" s="81" t="s">
        <v>453</v>
      </c>
      <c r="F5" s="82"/>
      <c r="G5" s="82"/>
      <c r="H5" s="82"/>
      <c r="I5" s="82"/>
    </row>
    <row r="6" spans="1:5" ht="29.25" customHeight="1">
      <c r="A6" s="83"/>
      <c r="B6" s="84"/>
      <c r="C6" s="80" t="s">
        <v>142</v>
      </c>
      <c r="D6" s="80"/>
      <c r="E6" s="85"/>
    </row>
    <row r="7" spans="1:5" ht="15.75">
      <c r="A7" s="81">
        <v>1</v>
      </c>
      <c r="B7" s="86">
        <v>2</v>
      </c>
      <c r="C7" s="87">
        <v>3</v>
      </c>
      <c r="D7" s="87">
        <v>4</v>
      </c>
      <c r="E7" s="81">
        <v>5</v>
      </c>
    </row>
    <row r="8" spans="1:5" ht="15.75">
      <c r="A8" s="92" t="s">
        <v>357</v>
      </c>
      <c r="B8" s="88" t="s">
        <v>143</v>
      </c>
      <c r="C8" s="240">
        <v>2200000000</v>
      </c>
      <c r="D8" s="240">
        <v>2250000000</v>
      </c>
      <c r="E8" s="240">
        <v>2300000000</v>
      </c>
    </row>
    <row r="9" spans="1:5" ht="47.25">
      <c r="A9" s="92" t="s">
        <v>358</v>
      </c>
      <c r="B9" s="88" t="s">
        <v>144</v>
      </c>
      <c r="C9" s="240">
        <v>300000000</v>
      </c>
      <c r="D9" s="240">
        <v>300000000</v>
      </c>
      <c r="E9" s="240">
        <v>300000000</v>
      </c>
    </row>
    <row r="10" spans="1:5" ht="18.75" customHeight="1">
      <c r="A10" s="92" t="s">
        <v>359</v>
      </c>
      <c r="B10" s="88" t="s">
        <v>145</v>
      </c>
      <c r="C10" s="240">
        <v>0</v>
      </c>
      <c r="D10" s="240">
        <v>0</v>
      </c>
      <c r="E10" s="240">
        <v>0</v>
      </c>
    </row>
    <row r="11" spans="1:5" ht="47.25">
      <c r="A11" s="92" t="s">
        <v>360</v>
      </c>
      <c r="B11" s="88" t="s">
        <v>146</v>
      </c>
      <c r="C11" s="240">
        <v>0</v>
      </c>
      <c r="D11" s="240">
        <v>0</v>
      </c>
      <c r="E11" s="240">
        <v>0</v>
      </c>
    </row>
    <row r="12" spans="1:5" ht="15.75">
      <c r="A12" s="92" t="s">
        <v>361</v>
      </c>
      <c r="B12" s="88" t="s">
        <v>147</v>
      </c>
      <c r="C12" s="240">
        <v>8000000</v>
      </c>
      <c r="D12" s="240">
        <v>8000000</v>
      </c>
      <c r="E12" s="240">
        <v>8000000</v>
      </c>
    </row>
    <row r="13" spans="1:5" ht="31.5">
      <c r="A13" s="92" t="s">
        <v>362</v>
      </c>
      <c r="B13" s="88" t="s">
        <v>148</v>
      </c>
      <c r="C13" s="240">
        <v>0</v>
      </c>
      <c r="D13" s="240">
        <v>0</v>
      </c>
      <c r="E13" s="240">
        <v>0</v>
      </c>
    </row>
    <row r="14" spans="1:5" ht="19.5" customHeight="1">
      <c r="A14" s="89" t="s">
        <v>149</v>
      </c>
      <c r="B14" s="90" t="s">
        <v>150</v>
      </c>
      <c r="C14" s="241">
        <f>SUM(C8:C13)</f>
        <v>2508000000</v>
      </c>
      <c r="D14" s="241">
        <f>SUM(D8:D13)</f>
        <v>2558000000</v>
      </c>
      <c r="E14" s="241">
        <f>SUM(E8:E13)</f>
        <v>2608000000</v>
      </c>
    </row>
    <row r="15" spans="1:5" s="91" customFormat="1" ht="30.75" customHeight="1">
      <c r="A15" s="89" t="s">
        <v>151</v>
      </c>
      <c r="B15" s="90" t="s">
        <v>152</v>
      </c>
      <c r="C15" s="241">
        <f>SUM(C16:C17)</f>
        <v>0</v>
      </c>
      <c r="D15" s="241">
        <f>SUM(D16:D17)</f>
        <v>0</v>
      </c>
      <c r="E15" s="241">
        <f>SUM(E16:E17)</f>
        <v>0</v>
      </c>
    </row>
    <row r="16" spans="1:5" s="91" customFormat="1" ht="15.75">
      <c r="A16" s="92" t="s">
        <v>153</v>
      </c>
      <c r="B16" s="88" t="s">
        <v>154</v>
      </c>
      <c r="C16" s="240">
        <v>0</v>
      </c>
      <c r="D16" s="240">
        <v>0</v>
      </c>
      <c r="E16" s="240">
        <v>0</v>
      </c>
    </row>
    <row r="17" spans="1:5" ht="31.5">
      <c r="A17" s="92" t="s">
        <v>155</v>
      </c>
      <c r="B17" s="93" t="s">
        <v>156</v>
      </c>
      <c r="C17" s="240">
        <v>0</v>
      </c>
      <c r="D17" s="240">
        <v>0</v>
      </c>
      <c r="E17" s="240">
        <v>0</v>
      </c>
    </row>
    <row r="18" spans="1:5" ht="31.5">
      <c r="A18" s="89" t="s">
        <v>348</v>
      </c>
      <c r="B18" s="90" t="s">
        <v>157</v>
      </c>
      <c r="C18" s="242">
        <f>C15/C14</f>
        <v>0</v>
      </c>
      <c r="D18" s="242">
        <f>D15/D14</f>
        <v>0</v>
      </c>
      <c r="E18" s="242">
        <f>E15/E14</f>
        <v>0</v>
      </c>
    </row>
    <row r="19" spans="1:5" ht="31.5">
      <c r="A19" s="92" t="s">
        <v>155</v>
      </c>
      <c r="B19" s="93" t="s">
        <v>156</v>
      </c>
      <c r="C19" s="240">
        <v>0</v>
      </c>
      <c r="D19" s="240">
        <v>0</v>
      </c>
      <c r="E19" s="240">
        <v>0</v>
      </c>
    </row>
    <row r="20" ht="12.75">
      <c r="A20" s="94"/>
    </row>
    <row r="21" ht="12.75">
      <c r="A21" s="94"/>
    </row>
    <row r="22" ht="12.75">
      <c r="A22" s="94"/>
    </row>
    <row r="23" ht="12.75">
      <c r="A23" s="94"/>
    </row>
    <row r="24" ht="12.75">
      <c r="A24" s="94"/>
    </row>
    <row r="25" ht="12.75">
      <c r="A25" s="94"/>
    </row>
    <row r="26" ht="12.75">
      <c r="A26" s="94"/>
    </row>
    <row r="27" ht="12.75">
      <c r="A27" s="94"/>
    </row>
    <row r="28" ht="12.75">
      <c r="A28" s="94"/>
    </row>
    <row r="29" ht="12.75">
      <c r="A29" s="94"/>
    </row>
    <row r="30" ht="12.75">
      <c r="A30" s="94"/>
    </row>
    <row r="31" ht="12.75">
      <c r="A31" s="94"/>
    </row>
    <row r="32" ht="12.75">
      <c r="A32" s="94"/>
    </row>
    <row r="33" ht="12.75">
      <c r="A33" s="94"/>
    </row>
    <row r="34" ht="12.75">
      <c r="A34" s="94"/>
    </row>
    <row r="35" ht="12.75">
      <c r="A35" s="94"/>
    </row>
    <row r="36" ht="12.75">
      <c r="A36" s="94"/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ht="12.75">
      <c r="A54" s="94"/>
    </row>
    <row r="55" ht="21.75" customHeight="1">
      <c r="A55" s="94"/>
    </row>
    <row r="56" ht="21.75" customHeight="1">
      <c r="A56" s="94"/>
    </row>
    <row r="57" ht="21.75" customHeight="1">
      <c r="A57" s="94"/>
    </row>
    <row r="58" ht="21.75" customHeight="1">
      <c r="A58" s="94"/>
    </row>
    <row r="59" ht="21.75" customHeight="1">
      <c r="A59" s="94"/>
    </row>
    <row r="60" ht="21.75" customHeight="1">
      <c r="A60" s="94"/>
    </row>
    <row r="61" ht="21.75" customHeight="1">
      <c r="A61" s="94"/>
    </row>
    <row r="62" ht="21.75" customHeight="1">
      <c r="A62" s="94"/>
    </row>
    <row r="63" ht="21.75" customHeight="1">
      <c r="A63" s="94"/>
    </row>
    <row r="64" ht="21.75" customHeight="1">
      <c r="A64" s="94"/>
    </row>
    <row r="65" ht="21.75" customHeight="1">
      <c r="A65" s="94"/>
    </row>
    <row r="66" ht="21.75" customHeight="1">
      <c r="A66" s="94"/>
    </row>
    <row r="67" ht="21.75" customHeight="1">
      <c r="A67" s="94"/>
    </row>
    <row r="68" ht="21.75" customHeight="1">
      <c r="A68" s="94"/>
    </row>
    <row r="69" ht="21.75" customHeight="1">
      <c r="A69" s="94"/>
    </row>
    <row r="70" ht="21.75" customHeight="1">
      <c r="A70" s="94"/>
    </row>
    <row r="71" ht="21.75" customHeight="1">
      <c r="A71" s="94"/>
    </row>
    <row r="72" ht="21.75" customHeight="1">
      <c r="A72" s="94"/>
    </row>
    <row r="73" ht="21.75" customHeight="1">
      <c r="A73" s="94"/>
    </row>
    <row r="74" ht="21.75" customHeight="1">
      <c r="A74" s="94"/>
    </row>
    <row r="75" ht="21.75" customHeight="1">
      <c r="A75" s="94"/>
    </row>
    <row r="76" ht="21.75" customHeight="1">
      <c r="A76" s="94"/>
    </row>
    <row r="77" ht="21.75" customHeight="1">
      <c r="A77" s="94"/>
    </row>
    <row r="78" ht="21.75" customHeight="1">
      <c r="A78" s="94"/>
    </row>
    <row r="79" ht="21.75" customHeight="1">
      <c r="A79" s="94"/>
    </row>
    <row r="80" ht="21.75" customHeight="1">
      <c r="A80" s="94"/>
    </row>
    <row r="81" ht="21.75" customHeight="1">
      <c r="A81" s="94"/>
    </row>
    <row r="82" ht="21.75" customHeight="1">
      <c r="A82" s="94"/>
    </row>
    <row r="83" ht="21.75" customHeight="1">
      <c r="A83" s="94"/>
    </row>
    <row r="84" ht="21.75" customHeight="1">
      <c r="A84" s="94"/>
    </row>
    <row r="85" ht="21.75" customHeight="1">
      <c r="A85" s="94"/>
    </row>
    <row r="86" ht="21.75" customHeight="1">
      <c r="A86" s="94"/>
    </row>
    <row r="87" ht="21.75" customHeight="1">
      <c r="A87" s="94"/>
    </row>
    <row r="88" ht="21.75" customHeight="1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</sheetData>
  <sheetProtection/>
  <mergeCells count="2">
    <mergeCell ref="A1:E1"/>
    <mergeCell ref="A3:E3"/>
  </mergeCells>
  <printOptions horizontalCentered="1"/>
  <pageMargins left="0.11811023622047245" right="0.07874015748031496" top="0.4724409448818898" bottom="0.28" header="0.2755905511811024" footer="0.14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875" style="2" customWidth="1"/>
    <col min="2" max="2" width="8.625" style="2" customWidth="1"/>
    <col min="3" max="3" width="50.75390625" style="2" customWidth="1"/>
    <col min="4" max="4" width="16.25390625" style="214" customWidth="1"/>
    <col min="5" max="16384" width="9.125" style="2" customWidth="1"/>
  </cols>
  <sheetData>
    <row r="1" spans="1:5" ht="15.75">
      <c r="A1" s="366" t="s">
        <v>564</v>
      </c>
      <c r="B1" s="366"/>
      <c r="C1" s="366"/>
      <c r="D1" s="366"/>
      <c r="E1" s="60"/>
    </row>
    <row r="2" spans="1:4" ht="15.75">
      <c r="A2" s="122"/>
      <c r="B2" s="122"/>
      <c r="C2" s="122"/>
      <c r="D2" s="231"/>
    </row>
    <row r="3" spans="1:4" ht="15.75">
      <c r="A3" s="353" t="s">
        <v>168</v>
      </c>
      <c r="B3" s="353"/>
      <c r="C3" s="353"/>
      <c r="D3" s="353"/>
    </row>
    <row r="4" spans="1:4" ht="15.75">
      <c r="A4" s="353" t="s">
        <v>454</v>
      </c>
      <c r="B4" s="353"/>
      <c r="C4" s="353"/>
      <c r="D4" s="353"/>
    </row>
    <row r="5" spans="1:4" ht="15.75">
      <c r="A5" s="123"/>
      <c r="B5" s="123"/>
      <c r="C5" s="123"/>
      <c r="D5" s="232" t="s">
        <v>169</v>
      </c>
    </row>
    <row r="6" spans="1:4" ht="15.75" customHeight="1">
      <c r="A6" s="124" t="s">
        <v>170</v>
      </c>
      <c r="B6" s="124" t="s">
        <v>171</v>
      </c>
      <c r="C6" s="124" t="s">
        <v>172</v>
      </c>
      <c r="D6" s="233"/>
    </row>
    <row r="7" spans="1:4" ht="33.75" customHeight="1">
      <c r="A7" s="124"/>
      <c r="B7" s="124"/>
      <c r="C7" s="124"/>
      <c r="D7" s="234" t="s">
        <v>33</v>
      </c>
    </row>
    <row r="8" spans="1:4" ht="15.75">
      <c r="A8" s="367" t="s">
        <v>173</v>
      </c>
      <c r="B8" s="124"/>
      <c r="C8" s="126" t="s">
        <v>174</v>
      </c>
      <c r="D8" s="216"/>
    </row>
    <row r="9" spans="1:4" ht="15.75">
      <c r="A9" s="367"/>
      <c r="B9" s="124" t="s">
        <v>173</v>
      </c>
      <c r="C9" s="127" t="s">
        <v>13</v>
      </c>
      <c r="D9" s="235">
        <v>5</v>
      </c>
    </row>
    <row r="10" spans="1:4" ht="15.75">
      <c r="A10" s="367"/>
      <c r="B10" s="124"/>
      <c r="C10" s="127" t="s">
        <v>175</v>
      </c>
      <c r="D10" s="235">
        <v>0</v>
      </c>
    </row>
    <row r="11" spans="1:4" ht="15.75">
      <c r="A11" s="367"/>
      <c r="B11" s="124" t="s">
        <v>176</v>
      </c>
      <c r="C11" s="123" t="s">
        <v>32</v>
      </c>
      <c r="D11" s="235">
        <v>101</v>
      </c>
    </row>
    <row r="12" spans="1:4" ht="15.75">
      <c r="A12" s="367"/>
      <c r="B12" s="124"/>
      <c r="C12" s="127" t="s">
        <v>175</v>
      </c>
      <c r="D12" s="235">
        <v>5</v>
      </c>
    </row>
    <row r="13" spans="1:4" ht="15.75">
      <c r="A13" s="128"/>
      <c r="B13" s="124"/>
      <c r="C13" s="126" t="s">
        <v>177</v>
      </c>
      <c r="D13" s="236">
        <f>D9+D11</f>
        <v>106</v>
      </c>
    </row>
    <row r="14" spans="1:4" ht="15.75">
      <c r="A14" s="129"/>
      <c r="B14" s="124"/>
      <c r="C14" s="127" t="s">
        <v>175</v>
      </c>
      <c r="D14" s="235">
        <f>D12+D10</f>
        <v>5</v>
      </c>
    </row>
    <row r="15" spans="1:4" ht="15.75">
      <c r="A15" s="129"/>
      <c r="B15" s="124"/>
      <c r="C15" s="127"/>
      <c r="D15" s="235"/>
    </row>
    <row r="16" spans="1:4" ht="15.75">
      <c r="A16" s="367" t="s">
        <v>176</v>
      </c>
      <c r="B16" s="124"/>
      <c r="C16" s="126" t="s">
        <v>178</v>
      </c>
      <c r="D16" s="235"/>
    </row>
    <row r="17" spans="1:4" ht="15.75">
      <c r="A17" s="367"/>
      <c r="B17" s="124" t="s">
        <v>173</v>
      </c>
      <c r="C17" s="127" t="s">
        <v>20</v>
      </c>
      <c r="D17" s="235">
        <v>63</v>
      </c>
    </row>
    <row r="18" spans="1:4" ht="15.75">
      <c r="A18" s="367"/>
      <c r="B18" s="124"/>
      <c r="C18" s="127" t="s">
        <v>175</v>
      </c>
      <c r="D18" s="235">
        <v>3</v>
      </c>
    </row>
    <row r="19" spans="1:4" ht="15.75">
      <c r="A19" s="367"/>
      <c r="B19" s="124" t="s">
        <v>176</v>
      </c>
      <c r="C19" s="127" t="s">
        <v>23</v>
      </c>
      <c r="D19" s="235">
        <v>54</v>
      </c>
    </row>
    <row r="20" spans="1:4" ht="15.75">
      <c r="A20" s="367"/>
      <c r="B20" s="124"/>
      <c r="C20" s="127" t="s">
        <v>175</v>
      </c>
      <c r="D20" s="235">
        <v>3</v>
      </c>
    </row>
    <row r="21" spans="1:4" ht="15.75">
      <c r="A21" s="367"/>
      <c r="B21" s="124" t="s">
        <v>179</v>
      </c>
      <c r="C21" s="127" t="s">
        <v>24</v>
      </c>
      <c r="D21" s="235">
        <v>64</v>
      </c>
    </row>
    <row r="22" spans="1:4" ht="15.75">
      <c r="A22" s="367"/>
      <c r="B22" s="124"/>
      <c r="C22" s="127" t="s">
        <v>175</v>
      </c>
      <c r="D22" s="235">
        <v>3</v>
      </c>
    </row>
    <row r="23" spans="1:4" ht="15.75">
      <c r="A23" s="128"/>
      <c r="B23" s="124"/>
      <c r="C23" s="126" t="s">
        <v>181</v>
      </c>
      <c r="D23" s="236">
        <f>SUM(D17+D19+D21)</f>
        <v>181</v>
      </c>
    </row>
    <row r="24" spans="1:4" ht="15.75">
      <c r="A24" s="129"/>
      <c r="B24" s="124"/>
      <c r="C24" s="127" t="s">
        <v>175</v>
      </c>
      <c r="D24" s="235">
        <f>D18+D20+D22</f>
        <v>9</v>
      </c>
    </row>
    <row r="25" spans="1:4" ht="15.75">
      <c r="A25" s="129"/>
      <c r="B25" s="124"/>
      <c r="C25" s="126"/>
      <c r="D25" s="236"/>
    </row>
    <row r="26" spans="1:4" ht="15.75">
      <c r="A26" s="367" t="s">
        <v>179</v>
      </c>
      <c r="B26" s="124"/>
      <c r="C26" s="126" t="s">
        <v>182</v>
      </c>
      <c r="D26" s="237"/>
    </row>
    <row r="27" spans="1:4" ht="15.75">
      <c r="A27" s="367"/>
      <c r="B27" s="124" t="s">
        <v>173</v>
      </c>
      <c r="C27" s="127" t="s">
        <v>183</v>
      </c>
      <c r="D27" s="235">
        <v>68</v>
      </c>
    </row>
    <row r="28" spans="1:4" ht="15.75">
      <c r="A28" s="367"/>
      <c r="B28" s="124"/>
      <c r="C28" s="127" t="s">
        <v>175</v>
      </c>
      <c r="D28" s="235">
        <v>3</v>
      </c>
    </row>
    <row r="29" spans="1:4" ht="15.75">
      <c r="A29" s="125"/>
      <c r="B29" s="124"/>
      <c r="C29" s="126" t="s">
        <v>184</v>
      </c>
      <c r="D29" s="236">
        <f>SUM(D27)</f>
        <v>68</v>
      </c>
    </row>
    <row r="30" spans="1:4" ht="15.75">
      <c r="A30" s="125"/>
      <c r="B30" s="124"/>
      <c r="C30" s="127" t="s">
        <v>175</v>
      </c>
      <c r="D30" s="235">
        <f>D28</f>
        <v>3</v>
      </c>
    </row>
    <row r="31" spans="1:4" ht="15.75">
      <c r="A31" s="125"/>
      <c r="B31" s="124"/>
      <c r="C31" s="127"/>
      <c r="D31" s="235"/>
    </row>
    <row r="32" spans="1:4" ht="15.75">
      <c r="A32" s="363" t="s">
        <v>180</v>
      </c>
      <c r="B32" s="124"/>
      <c r="C32" s="126" t="s">
        <v>354</v>
      </c>
      <c r="D32" s="235"/>
    </row>
    <row r="33" spans="1:4" ht="15.75">
      <c r="A33" s="364"/>
      <c r="B33" s="124" t="s">
        <v>173</v>
      </c>
      <c r="C33" s="127" t="s">
        <v>349</v>
      </c>
      <c r="D33" s="235">
        <v>19</v>
      </c>
    </row>
    <row r="34" spans="1:4" ht="15.75">
      <c r="A34" s="364"/>
      <c r="B34" s="124"/>
      <c r="C34" s="127" t="s">
        <v>175</v>
      </c>
      <c r="D34" s="235">
        <v>0</v>
      </c>
    </row>
    <row r="35" spans="1:4" ht="15.75">
      <c r="A35" s="364"/>
      <c r="B35" s="124" t="s">
        <v>176</v>
      </c>
      <c r="C35" s="127" t="s">
        <v>31</v>
      </c>
      <c r="D35" s="235">
        <v>10</v>
      </c>
    </row>
    <row r="36" spans="1:4" ht="15.75">
      <c r="A36" s="365"/>
      <c r="B36" s="124"/>
      <c r="C36" s="127" t="s">
        <v>175</v>
      </c>
      <c r="D36" s="235">
        <v>0</v>
      </c>
    </row>
    <row r="37" spans="1:4" ht="15.75">
      <c r="A37" s="125"/>
      <c r="B37" s="124"/>
      <c r="C37" s="126" t="s">
        <v>185</v>
      </c>
      <c r="D37" s="236">
        <f>D33+D35</f>
        <v>29</v>
      </c>
    </row>
    <row r="38" spans="1:4" ht="15.75">
      <c r="A38" s="125"/>
      <c r="B38" s="124"/>
      <c r="C38" s="127" t="s">
        <v>175</v>
      </c>
      <c r="D38" s="235">
        <f>D34+D36</f>
        <v>0</v>
      </c>
    </row>
    <row r="39" spans="1:4" ht="15.75">
      <c r="A39" s="125"/>
      <c r="B39" s="124"/>
      <c r="C39" s="127"/>
      <c r="D39" s="235"/>
    </row>
    <row r="40" spans="1:4" ht="15.75">
      <c r="A40" s="125"/>
      <c r="B40" s="124"/>
      <c r="C40" s="130" t="s">
        <v>177</v>
      </c>
      <c r="D40" s="236">
        <f>SUM(D13)</f>
        <v>106</v>
      </c>
    </row>
    <row r="41" spans="1:4" ht="15.75">
      <c r="A41" s="125"/>
      <c r="B41" s="124"/>
      <c r="C41" s="127" t="s">
        <v>175</v>
      </c>
      <c r="D41" s="235">
        <f>D14</f>
        <v>5</v>
      </c>
    </row>
    <row r="42" spans="1:4" ht="15.75">
      <c r="A42" s="125"/>
      <c r="B42" s="124"/>
      <c r="C42" s="130" t="s">
        <v>186</v>
      </c>
      <c r="D42" s="238">
        <f>SUM(D23+D29+D37)</f>
        <v>278</v>
      </c>
    </row>
    <row r="43" spans="1:4" ht="15.75">
      <c r="A43" s="125"/>
      <c r="B43" s="124"/>
      <c r="C43" s="127" t="s">
        <v>175</v>
      </c>
      <c r="D43" s="239">
        <f>D24+D14</f>
        <v>14</v>
      </c>
    </row>
    <row r="44" spans="1:4" ht="15.75">
      <c r="A44" s="132"/>
      <c r="B44" s="127"/>
      <c r="C44" s="130" t="s">
        <v>187</v>
      </c>
      <c r="D44" s="238">
        <f>D40+D42</f>
        <v>384</v>
      </c>
    </row>
    <row r="45" spans="1:4" ht="15.75">
      <c r="A45" s="127"/>
      <c r="B45" s="127"/>
      <c r="C45" s="127" t="s">
        <v>175</v>
      </c>
      <c r="D45" s="239">
        <f>D41+D43</f>
        <v>19</v>
      </c>
    </row>
  </sheetData>
  <sheetProtection/>
  <mergeCells count="7">
    <mergeCell ref="A32:A36"/>
    <mergeCell ref="A1:D1"/>
    <mergeCell ref="A3:D3"/>
    <mergeCell ref="A4:D4"/>
    <mergeCell ref="A8:A12"/>
    <mergeCell ref="A16:A22"/>
    <mergeCell ref="A26:A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E6" sqref="E6"/>
    </sheetView>
  </sheetViews>
  <sheetFormatPr defaultColWidth="11.875" defaultRowHeight="12.75"/>
  <cols>
    <col min="1" max="1" width="26.75390625" style="44" customWidth="1"/>
    <col min="2" max="2" width="15.375" style="2" bestFit="1" customWidth="1"/>
    <col min="3" max="3" width="12.375" style="2" bestFit="1" customWidth="1"/>
    <col min="4" max="4" width="13.375" style="2" bestFit="1" customWidth="1"/>
    <col min="5" max="7" width="14.25390625" style="2" bestFit="1" customWidth="1"/>
    <col min="8" max="8" width="12.375" style="2" bestFit="1" customWidth="1"/>
    <col min="9" max="9" width="13.375" style="2" bestFit="1" customWidth="1"/>
    <col min="10" max="13" width="14.25390625" style="2" bestFit="1" customWidth="1"/>
    <col min="14" max="14" width="15.00390625" style="2" customWidth="1"/>
    <col min="15" max="16384" width="11.875" style="2" customWidth="1"/>
  </cols>
  <sheetData>
    <row r="1" spans="1:14" ht="15.75">
      <c r="A1" s="330" t="s">
        <v>565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15.7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ht="15.75">
      <c r="A3" s="331" t="s">
        <v>29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ht="15.75">
      <c r="A4" s="331" t="s">
        <v>455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4" ht="15.75">
      <c r="A5" s="5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5.75">
      <c r="N6" s="6" t="s">
        <v>342</v>
      </c>
    </row>
    <row r="7" spans="1:14" ht="15.75">
      <c r="A7" s="185" t="s">
        <v>15</v>
      </c>
      <c r="B7" s="186" t="s">
        <v>363</v>
      </c>
      <c r="C7" s="368" t="s">
        <v>364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15.75">
      <c r="A8" s="187"/>
      <c r="B8" s="188" t="s">
        <v>365</v>
      </c>
      <c r="C8" s="189" t="s">
        <v>366</v>
      </c>
      <c r="D8" s="189" t="s">
        <v>367</v>
      </c>
      <c r="E8" s="189" t="s">
        <v>368</v>
      </c>
      <c r="F8" s="189" t="s">
        <v>369</v>
      </c>
      <c r="G8" s="189" t="s">
        <v>370</v>
      </c>
      <c r="H8" s="189" t="s">
        <v>371</v>
      </c>
      <c r="I8" s="189" t="s">
        <v>372</v>
      </c>
      <c r="J8" s="189" t="s">
        <v>373</v>
      </c>
      <c r="K8" s="189" t="s">
        <v>374</v>
      </c>
      <c r="L8" s="189" t="s">
        <v>375</v>
      </c>
      <c r="M8" s="189" t="s">
        <v>376</v>
      </c>
      <c r="N8" s="190" t="s">
        <v>377</v>
      </c>
    </row>
    <row r="9" spans="1:14" ht="15.75">
      <c r="A9" s="191" t="s">
        <v>26</v>
      </c>
      <c r="B9" s="11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31.5">
      <c r="A10" s="119" t="s">
        <v>378</v>
      </c>
      <c r="B10" s="1">
        <f>1!M11</f>
        <v>2024145247</v>
      </c>
      <c r="C10" s="1">
        <f>$B$10/12</f>
        <v>168678770.58333334</v>
      </c>
      <c r="D10" s="1">
        <f aca="true" t="shared" si="0" ref="D10:N10">$B$10/12</f>
        <v>168678770.58333334</v>
      </c>
      <c r="E10" s="1">
        <f t="shared" si="0"/>
        <v>168678770.58333334</v>
      </c>
      <c r="F10" s="1">
        <f t="shared" si="0"/>
        <v>168678770.58333334</v>
      </c>
      <c r="G10" s="1">
        <f t="shared" si="0"/>
        <v>168678770.58333334</v>
      </c>
      <c r="H10" s="1">
        <f t="shared" si="0"/>
        <v>168678770.58333334</v>
      </c>
      <c r="I10" s="1">
        <f t="shared" si="0"/>
        <v>168678770.58333334</v>
      </c>
      <c r="J10" s="1">
        <f t="shared" si="0"/>
        <v>168678770.58333334</v>
      </c>
      <c r="K10" s="1">
        <f t="shared" si="0"/>
        <v>168678770.58333334</v>
      </c>
      <c r="L10" s="1">
        <f t="shared" si="0"/>
        <v>168678770.58333334</v>
      </c>
      <c r="M10" s="1">
        <f t="shared" si="0"/>
        <v>168678770.58333334</v>
      </c>
      <c r="N10" s="1">
        <f t="shared" si="0"/>
        <v>168678770.58333334</v>
      </c>
    </row>
    <row r="11" spans="1:14" ht="31.5">
      <c r="A11" s="119" t="s">
        <v>310</v>
      </c>
      <c r="B11" s="1">
        <f>1!M14</f>
        <v>2391114336</v>
      </c>
      <c r="C11" s="1">
        <f>$B$11/12</f>
        <v>199259528</v>
      </c>
      <c r="D11" s="1">
        <f aca="true" t="shared" si="1" ref="D11:N11">$B$11/12</f>
        <v>199259528</v>
      </c>
      <c r="E11" s="1">
        <f t="shared" si="1"/>
        <v>199259528</v>
      </c>
      <c r="F11" s="1">
        <f t="shared" si="1"/>
        <v>199259528</v>
      </c>
      <c r="G11" s="1">
        <f t="shared" si="1"/>
        <v>199259528</v>
      </c>
      <c r="H11" s="1">
        <f t="shared" si="1"/>
        <v>199259528</v>
      </c>
      <c r="I11" s="1">
        <f t="shared" si="1"/>
        <v>199259528</v>
      </c>
      <c r="J11" s="1">
        <f t="shared" si="1"/>
        <v>199259528</v>
      </c>
      <c r="K11" s="1">
        <f t="shared" si="1"/>
        <v>199259528</v>
      </c>
      <c r="L11" s="1">
        <f t="shared" si="1"/>
        <v>199259528</v>
      </c>
      <c r="M11" s="1">
        <f t="shared" si="1"/>
        <v>199259528</v>
      </c>
      <c r="N11" s="1">
        <f t="shared" si="1"/>
        <v>199259528</v>
      </c>
    </row>
    <row r="12" spans="1:14" ht="31.5">
      <c r="A12" s="53" t="s">
        <v>379</v>
      </c>
      <c r="B12" s="1">
        <f>1!M17</f>
        <v>2612000000</v>
      </c>
      <c r="C12" s="1">
        <f>$B$12/12-100000000</f>
        <v>117666666.66666666</v>
      </c>
      <c r="D12" s="1">
        <f>$B$12/12-100000000</f>
        <v>117666666.66666666</v>
      </c>
      <c r="E12" s="1">
        <f>$B$12/12+200000000</f>
        <v>417666666.6666666</v>
      </c>
      <c r="F12" s="1">
        <f>$B$12/12</f>
        <v>217666666.66666666</v>
      </c>
      <c r="G12" s="1">
        <f>$B$12/12</f>
        <v>217666666.66666666</v>
      </c>
      <c r="H12" s="1">
        <f>$B$12/12-100000000</f>
        <v>117666666.66666666</v>
      </c>
      <c r="I12" s="1">
        <f>$B$12/12-100000000</f>
        <v>117666666.66666666</v>
      </c>
      <c r="J12" s="1">
        <f>$B$12/12</f>
        <v>217666666.66666666</v>
      </c>
      <c r="K12" s="1">
        <f>$B$12/12+200000000</f>
        <v>417666666.6666666</v>
      </c>
      <c r="L12" s="1">
        <f>$B$12/12</f>
        <v>217666666.66666666</v>
      </c>
      <c r="M12" s="1">
        <f>$B$12/12-100000000</f>
        <v>117666666.66666666</v>
      </c>
      <c r="N12" s="1">
        <f>$B$12/12+100000000</f>
        <v>317666666.6666666</v>
      </c>
    </row>
    <row r="13" spans="1:14" ht="15.75">
      <c r="A13" s="53" t="s">
        <v>312</v>
      </c>
      <c r="B13" s="1">
        <f>1!M20</f>
        <v>18300000</v>
      </c>
      <c r="C13" s="1">
        <f>$B$13/12</f>
        <v>1525000</v>
      </c>
      <c r="D13" s="1">
        <f aca="true" t="shared" si="2" ref="D13:N13">$B$13/12</f>
        <v>1525000</v>
      </c>
      <c r="E13" s="1">
        <f t="shared" si="2"/>
        <v>1525000</v>
      </c>
      <c r="F13" s="1">
        <f t="shared" si="2"/>
        <v>1525000</v>
      </c>
      <c r="G13" s="1">
        <f t="shared" si="2"/>
        <v>1525000</v>
      </c>
      <c r="H13" s="1">
        <f t="shared" si="2"/>
        <v>1525000</v>
      </c>
      <c r="I13" s="1">
        <f t="shared" si="2"/>
        <v>1525000</v>
      </c>
      <c r="J13" s="1">
        <f t="shared" si="2"/>
        <v>1525000</v>
      </c>
      <c r="K13" s="1">
        <f t="shared" si="2"/>
        <v>1525000</v>
      </c>
      <c r="L13" s="1">
        <f t="shared" si="2"/>
        <v>1525000</v>
      </c>
      <c r="M13" s="1">
        <f t="shared" si="2"/>
        <v>1525000</v>
      </c>
      <c r="N13" s="1">
        <f t="shared" si="2"/>
        <v>1525000</v>
      </c>
    </row>
    <row r="14" spans="1:14" ht="16.5" customHeight="1">
      <c r="A14" s="192" t="s">
        <v>313</v>
      </c>
      <c r="B14" s="1">
        <f>1!M23</f>
        <v>683314404</v>
      </c>
      <c r="C14" s="1">
        <f>$B$14/12</f>
        <v>56942867</v>
      </c>
      <c r="D14" s="1">
        <f aca="true" t="shared" si="3" ref="D14:N14">$B$14/12</f>
        <v>56942867</v>
      </c>
      <c r="E14" s="1">
        <f t="shared" si="3"/>
        <v>56942867</v>
      </c>
      <c r="F14" s="1">
        <f t="shared" si="3"/>
        <v>56942867</v>
      </c>
      <c r="G14" s="1">
        <f t="shared" si="3"/>
        <v>56942867</v>
      </c>
      <c r="H14" s="1">
        <f t="shared" si="3"/>
        <v>56942867</v>
      </c>
      <c r="I14" s="1">
        <f t="shared" si="3"/>
        <v>56942867</v>
      </c>
      <c r="J14" s="1">
        <f t="shared" si="3"/>
        <v>56942867</v>
      </c>
      <c r="K14" s="1">
        <f t="shared" si="3"/>
        <v>56942867</v>
      </c>
      <c r="L14" s="1">
        <f t="shared" si="3"/>
        <v>56942867</v>
      </c>
      <c r="M14" s="1">
        <f t="shared" si="3"/>
        <v>56942867</v>
      </c>
      <c r="N14" s="1">
        <f t="shared" si="3"/>
        <v>56942867</v>
      </c>
    </row>
    <row r="15" spans="1:14" ht="31.5">
      <c r="A15" s="53" t="s">
        <v>315</v>
      </c>
      <c r="B15" s="1">
        <f>1!M26</f>
        <v>70680000</v>
      </c>
      <c r="C15" s="1">
        <f>$B$15/12</f>
        <v>5890000</v>
      </c>
      <c r="D15" s="1">
        <f aca="true" t="shared" si="4" ref="D15:N15">$B$15/12</f>
        <v>5890000</v>
      </c>
      <c r="E15" s="1">
        <f t="shared" si="4"/>
        <v>5890000</v>
      </c>
      <c r="F15" s="1">
        <f t="shared" si="4"/>
        <v>5890000</v>
      </c>
      <c r="G15" s="1">
        <f t="shared" si="4"/>
        <v>5890000</v>
      </c>
      <c r="H15" s="1">
        <f t="shared" si="4"/>
        <v>5890000</v>
      </c>
      <c r="I15" s="1">
        <f t="shared" si="4"/>
        <v>5890000</v>
      </c>
      <c r="J15" s="1">
        <f t="shared" si="4"/>
        <v>5890000</v>
      </c>
      <c r="K15" s="1">
        <f t="shared" si="4"/>
        <v>5890000</v>
      </c>
      <c r="L15" s="1">
        <f t="shared" si="4"/>
        <v>5890000</v>
      </c>
      <c r="M15" s="1">
        <f t="shared" si="4"/>
        <v>5890000</v>
      </c>
      <c r="N15" s="1">
        <f t="shared" si="4"/>
        <v>5890000</v>
      </c>
    </row>
    <row r="16" spans="1:14" ht="47.25">
      <c r="A16" s="119" t="s">
        <v>311</v>
      </c>
      <c r="B16" s="1">
        <f>1!M32</f>
        <v>1381731499</v>
      </c>
      <c r="C16" s="1">
        <f>$B$16/12</f>
        <v>115144291.58333333</v>
      </c>
      <c r="D16" s="1">
        <f aca="true" t="shared" si="5" ref="D16:N16">$B$16/12</f>
        <v>115144291.58333333</v>
      </c>
      <c r="E16" s="1">
        <f t="shared" si="5"/>
        <v>115144291.58333333</v>
      </c>
      <c r="F16" s="1">
        <f t="shared" si="5"/>
        <v>115144291.58333333</v>
      </c>
      <c r="G16" s="1">
        <f t="shared" si="5"/>
        <v>115144291.58333333</v>
      </c>
      <c r="H16" s="1">
        <f t="shared" si="5"/>
        <v>115144291.58333333</v>
      </c>
      <c r="I16" s="1">
        <f t="shared" si="5"/>
        <v>115144291.58333333</v>
      </c>
      <c r="J16" s="1">
        <f t="shared" si="5"/>
        <v>115144291.58333333</v>
      </c>
      <c r="K16" s="1">
        <f t="shared" si="5"/>
        <v>115144291.58333333</v>
      </c>
      <c r="L16" s="1">
        <f t="shared" si="5"/>
        <v>115144291.58333333</v>
      </c>
      <c r="M16" s="1">
        <f t="shared" si="5"/>
        <v>115144291.58333333</v>
      </c>
      <c r="N16" s="1">
        <f t="shared" si="5"/>
        <v>115144291.58333333</v>
      </c>
    </row>
    <row r="17" spans="1:14" ht="15.75">
      <c r="A17" s="53" t="s">
        <v>314</v>
      </c>
      <c r="B17" s="1">
        <f>1!M35</f>
        <v>396124466</v>
      </c>
      <c r="C17" s="1">
        <f>$B$17/12</f>
        <v>33010372.166666668</v>
      </c>
      <c r="D17" s="1">
        <f aca="true" t="shared" si="6" ref="D17:N17">$B$17/12</f>
        <v>33010372.166666668</v>
      </c>
      <c r="E17" s="1">
        <f t="shared" si="6"/>
        <v>33010372.166666668</v>
      </c>
      <c r="F17" s="1">
        <f t="shared" si="6"/>
        <v>33010372.166666668</v>
      </c>
      <c r="G17" s="1">
        <f t="shared" si="6"/>
        <v>33010372.166666668</v>
      </c>
      <c r="H17" s="1">
        <f t="shared" si="6"/>
        <v>33010372.166666668</v>
      </c>
      <c r="I17" s="1">
        <f t="shared" si="6"/>
        <v>33010372.166666668</v>
      </c>
      <c r="J17" s="1">
        <f t="shared" si="6"/>
        <v>33010372.166666668</v>
      </c>
      <c r="K17" s="1">
        <f t="shared" si="6"/>
        <v>33010372.166666668</v>
      </c>
      <c r="L17" s="1">
        <f t="shared" si="6"/>
        <v>33010372.166666668</v>
      </c>
      <c r="M17" s="1">
        <f t="shared" si="6"/>
        <v>33010372.166666668</v>
      </c>
      <c r="N17" s="1">
        <f t="shared" si="6"/>
        <v>33010372.166666668</v>
      </c>
    </row>
    <row r="18" spans="1:14" ht="31.5">
      <c r="A18" s="53" t="s">
        <v>380</v>
      </c>
      <c r="B18" s="1">
        <f>1!M38</f>
        <v>6600032</v>
      </c>
      <c r="C18" s="1">
        <f>$B$18/12</f>
        <v>550002.6666666666</v>
      </c>
      <c r="D18" s="1">
        <f aca="true" t="shared" si="7" ref="D18:N18">$B$18/12</f>
        <v>550002.6666666666</v>
      </c>
      <c r="E18" s="1">
        <f t="shared" si="7"/>
        <v>550002.6666666666</v>
      </c>
      <c r="F18" s="1">
        <f t="shared" si="7"/>
        <v>550002.6666666666</v>
      </c>
      <c r="G18" s="1">
        <f t="shared" si="7"/>
        <v>550002.6666666666</v>
      </c>
      <c r="H18" s="1">
        <f t="shared" si="7"/>
        <v>550002.6666666666</v>
      </c>
      <c r="I18" s="1">
        <f t="shared" si="7"/>
        <v>550002.6666666666</v>
      </c>
      <c r="J18" s="1">
        <f t="shared" si="7"/>
        <v>550002.6666666666</v>
      </c>
      <c r="K18" s="1">
        <f t="shared" si="7"/>
        <v>550002.6666666666</v>
      </c>
      <c r="L18" s="1">
        <f t="shared" si="7"/>
        <v>550002.6666666666</v>
      </c>
      <c r="M18" s="1">
        <f t="shared" si="7"/>
        <v>550002.6666666666</v>
      </c>
      <c r="N18" s="1">
        <f t="shared" si="7"/>
        <v>550002.6666666666</v>
      </c>
    </row>
    <row r="19" spans="1:14" ht="15.75">
      <c r="A19" s="23" t="s">
        <v>381</v>
      </c>
      <c r="B19" s="1">
        <f>1!M44</f>
        <v>3551269215</v>
      </c>
      <c r="C19" s="1">
        <f>$B$19/12</f>
        <v>295939101.25</v>
      </c>
      <c r="D19" s="1">
        <f>$B$19/12</f>
        <v>295939101.25</v>
      </c>
      <c r="E19" s="1">
        <f aca="true" t="shared" si="8" ref="E19:N19">$B$19/12</f>
        <v>295939101.25</v>
      </c>
      <c r="F19" s="1">
        <f t="shared" si="8"/>
        <v>295939101.25</v>
      </c>
      <c r="G19" s="1">
        <f t="shared" si="8"/>
        <v>295939101.25</v>
      </c>
      <c r="H19" s="1">
        <f t="shared" si="8"/>
        <v>295939101.25</v>
      </c>
      <c r="I19" s="1">
        <f t="shared" si="8"/>
        <v>295939101.25</v>
      </c>
      <c r="J19" s="1">
        <f t="shared" si="8"/>
        <v>295939101.25</v>
      </c>
      <c r="K19" s="1">
        <f t="shared" si="8"/>
        <v>295939101.25</v>
      </c>
      <c r="L19" s="1">
        <f t="shared" si="8"/>
        <v>295939101.25</v>
      </c>
      <c r="M19" s="1">
        <f t="shared" si="8"/>
        <v>295939101.25</v>
      </c>
      <c r="N19" s="1">
        <f t="shared" si="8"/>
        <v>295939101.25</v>
      </c>
    </row>
    <row r="20" spans="1:14" ht="15.75">
      <c r="A20" s="30" t="s">
        <v>17</v>
      </c>
      <c r="B20" s="193">
        <f>B11+B13+B14+B15+B16+B17+B18+B19+B12</f>
        <v>11111133952</v>
      </c>
      <c r="C20" s="193">
        <f aca="true" t="shared" si="9" ref="C20:N20">C11+C13+C14+C15+C16+C17+C18+C19+C12</f>
        <v>825927829.3333334</v>
      </c>
      <c r="D20" s="193">
        <f t="shared" si="9"/>
        <v>825927829.3333334</v>
      </c>
      <c r="E20" s="193">
        <f t="shared" si="9"/>
        <v>1125927829.3333335</v>
      </c>
      <c r="F20" s="193">
        <f t="shared" si="9"/>
        <v>925927829.3333334</v>
      </c>
      <c r="G20" s="193">
        <f t="shared" si="9"/>
        <v>925927829.3333334</v>
      </c>
      <c r="H20" s="193">
        <f t="shared" si="9"/>
        <v>825927829.3333334</v>
      </c>
      <c r="I20" s="193">
        <f t="shared" si="9"/>
        <v>825927829.3333334</v>
      </c>
      <c r="J20" s="193">
        <f t="shared" si="9"/>
        <v>925927829.3333334</v>
      </c>
      <c r="K20" s="193">
        <f t="shared" si="9"/>
        <v>1125927829.3333335</v>
      </c>
      <c r="L20" s="193">
        <f t="shared" si="9"/>
        <v>925927829.3333334</v>
      </c>
      <c r="M20" s="193">
        <f t="shared" si="9"/>
        <v>825927829.3333334</v>
      </c>
      <c r="N20" s="193">
        <f t="shared" si="9"/>
        <v>1025927829.3333334</v>
      </c>
    </row>
    <row r="21" spans="1:14" ht="15.75">
      <c r="A21" s="30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48" t="s">
        <v>122</v>
      </c>
      <c r="B22" s="1">
        <f>1!Z11</f>
        <v>1569203002</v>
      </c>
      <c r="C22" s="1">
        <f>$B$22/12</f>
        <v>130766916.83333333</v>
      </c>
      <c r="D22" s="1">
        <f aca="true" t="shared" si="10" ref="D22:N22">$B$22/12</f>
        <v>130766916.83333333</v>
      </c>
      <c r="E22" s="1">
        <f t="shared" si="10"/>
        <v>130766916.83333333</v>
      </c>
      <c r="F22" s="1">
        <f t="shared" si="10"/>
        <v>130766916.83333333</v>
      </c>
      <c r="G22" s="1">
        <f t="shared" si="10"/>
        <v>130766916.83333333</v>
      </c>
      <c r="H22" s="1">
        <f t="shared" si="10"/>
        <v>130766916.83333333</v>
      </c>
      <c r="I22" s="1">
        <f t="shared" si="10"/>
        <v>130766916.83333333</v>
      </c>
      <c r="J22" s="1">
        <f t="shared" si="10"/>
        <v>130766916.83333333</v>
      </c>
      <c r="K22" s="1">
        <f t="shared" si="10"/>
        <v>130766916.83333333</v>
      </c>
      <c r="L22" s="1">
        <f t="shared" si="10"/>
        <v>130766916.83333333</v>
      </c>
      <c r="M22" s="1">
        <f t="shared" si="10"/>
        <v>130766916.83333333</v>
      </c>
      <c r="N22" s="1">
        <f t="shared" si="10"/>
        <v>130766916.83333333</v>
      </c>
    </row>
    <row r="23" spans="1:14" ht="47.25">
      <c r="A23" s="48" t="s">
        <v>37</v>
      </c>
      <c r="B23" s="1">
        <f>1!Z14</f>
        <v>289692530</v>
      </c>
      <c r="C23" s="1">
        <f>$B$23/12</f>
        <v>24141044.166666668</v>
      </c>
      <c r="D23" s="1">
        <f aca="true" t="shared" si="11" ref="D23:N23">$B$23/12</f>
        <v>24141044.166666668</v>
      </c>
      <c r="E23" s="1">
        <f t="shared" si="11"/>
        <v>24141044.166666668</v>
      </c>
      <c r="F23" s="1">
        <f t="shared" si="11"/>
        <v>24141044.166666668</v>
      </c>
      <c r="G23" s="1">
        <f t="shared" si="11"/>
        <v>24141044.166666668</v>
      </c>
      <c r="H23" s="1">
        <f t="shared" si="11"/>
        <v>24141044.166666668</v>
      </c>
      <c r="I23" s="1">
        <f t="shared" si="11"/>
        <v>24141044.166666668</v>
      </c>
      <c r="J23" s="1">
        <f t="shared" si="11"/>
        <v>24141044.166666668</v>
      </c>
      <c r="K23" s="1">
        <f t="shared" si="11"/>
        <v>24141044.166666668</v>
      </c>
      <c r="L23" s="1">
        <f t="shared" si="11"/>
        <v>24141044.166666668</v>
      </c>
      <c r="M23" s="1">
        <f t="shared" si="11"/>
        <v>24141044.166666668</v>
      </c>
      <c r="N23" s="1">
        <f t="shared" si="11"/>
        <v>24141044.166666668</v>
      </c>
    </row>
    <row r="24" spans="1:15" ht="15.75">
      <c r="A24" s="48" t="s">
        <v>18</v>
      </c>
      <c r="B24" s="1">
        <f>1!Z17</f>
        <v>1798710490</v>
      </c>
      <c r="C24" s="1">
        <f>$B$24/12</f>
        <v>149892540.83333334</v>
      </c>
      <c r="D24" s="1">
        <f aca="true" t="shared" si="12" ref="D24:N24">$B$24/12</f>
        <v>149892540.83333334</v>
      </c>
      <c r="E24" s="1">
        <f t="shared" si="12"/>
        <v>149892540.83333334</v>
      </c>
      <c r="F24" s="1">
        <f t="shared" si="12"/>
        <v>149892540.83333334</v>
      </c>
      <c r="G24" s="1">
        <f t="shared" si="12"/>
        <v>149892540.83333334</v>
      </c>
      <c r="H24" s="1">
        <f t="shared" si="12"/>
        <v>149892540.83333334</v>
      </c>
      <c r="I24" s="1">
        <f t="shared" si="12"/>
        <v>149892540.83333334</v>
      </c>
      <c r="J24" s="1">
        <f t="shared" si="12"/>
        <v>149892540.83333334</v>
      </c>
      <c r="K24" s="1">
        <f t="shared" si="12"/>
        <v>149892540.83333334</v>
      </c>
      <c r="L24" s="1">
        <f t="shared" si="12"/>
        <v>149892540.83333334</v>
      </c>
      <c r="M24" s="1">
        <f t="shared" si="12"/>
        <v>149892540.83333334</v>
      </c>
      <c r="N24" s="1">
        <f t="shared" si="12"/>
        <v>149892540.83333334</v>
      </c>
      <c r="O24" s="8"/>
    </row>
    <row r="25" spans="1:14" ht="15.75">
      <c r="A25" s="194" t="s">
        <v>340</v>
      </c>
      <c r="B25" s="1">
        <f>1!Z20</f>
        <v>50374600</v>
      </c>
      <c r="C25" s="1">
        <f>$B$25/12</f>
        <v>4197883.333333333</v>
      </c>
      <c r="D25" s="1">
        <f aca="true" t="shared" si="13" ref="D25:N25">$B$25/12</f>
        <v>4197883.333333333</v>
      </c>
      <c r="E25" s="1">
        <f t="shared" si="13"/>
        <v>4197883.333333333</v>
      </c>
      <c r="F25" s="1">
        <f t="shared" si="13"/>
        <v>4197883.333333333</v>
      </c>
      <c r="G25" s="1">
        <f t="shared" si="13"/>
        <v>4197883.333333333</v>
      </c>
      <c r="H25" s="1">
        <f t="shared" si="13"/>
        <v>4197883.333333333</v>
      </c>
      <c r="I25" s="1">
        <f t="shared" si="13"/>
        <v>4197883.333333333</v>
      </c>
      <c r="J25" s="1">
        <f t="shared" si="13"/>
        <v>4197883.333333333</v>
      </c>
      <c r="K25" s="1">
        <f t="shared" si="13"/>
        <v>4197883.333333333</v>
      </c>
      <c r="L25" s="1">
        <f t="shared" si="13"/>
        <v>4197883.333333333</v>
      </c>
      <c r="M25" s="1">
        <f t="shared" si="13"/>
        <v>4197883.333333333</v>
      </c>
      <c r="N25" s="1">
        <f t="shared" si="13"/>
        <v>4197883.333333333</v>
      </c>
    </row>
    <row r="26" spans="1:14" ht="31.5">
      <c r="A26" s="194" t="s">
        <v>341</v>
      </c>
      <c r="B26" s="1">
        <f>1!Z23</f>
        <v>1937078554</v>
      </c>
      <c r="C26" s="1">
        <f>$B$26/12</f>
        <v>161423212.83333334</v>
      </c>
      <c r="D26" s="1">
        <f aca="true" t="shared" si="14" ref="D26:N26">$B$26/12</f>
        <v>161423212.83333334</v>
      </c>
      <c r="E26" s="1">
        <f t="shared" si="14"/>
        <v>161423212.83333334</v>
      </c>
      <c r="F26" s="1">
        <f t="shared" si="14"/>
        <v>161423212.83333334</v>
      </c>
      <c r="G26" s="1">
        <f t="shared" si="14"/>
        <v>161423212.83333334</v>
      </c>
      <c r="H26" s="1">
        <f t="shared" si="14"/>
        <v>161423212.83333334</v>
      </c>
      <c r="I26" s="1">
        <f t="shared" si="14"/>
        <v>161423212.83333334</v>
      </c>
      <c r="J26" s="1">
        <f t="shared" si="14"/>
        <v>161423212.83333334</v>
      </c>
      <c r="K26" s="1">
        <f t="shared" si="14"/>
        <v>161423212.83333334</v>
      </c>
      <c r="L26" s="1">
        <f t="shared" si="14"/>
        <v>161423212.83333334</v>
      </c>
      <c r="M26" s="1">
        <f t="shared" si="14"/>
        <v>161423212.83333334</v>
      </c>
      <c r="N26" s="1">
        <f t="shared" si="14"/>
        <v>161423212.83333334</v>
      </c>
    </row>
    <row r="27" spans="1:14" ht="15.75">
      <c r="A27" s="48" t="s">
        <v>38</v>
      </c>
      <c r="B27" s="1">
        <f>1!Z32</f>
        <v>2143354854</v>
      </c>
      <c r="C27" s="1">
        <f>$B$27/12</f>
        <v>178612904.5</v>
      </c>
      <c r="D27" s="1">
        <f aca="true" t="shared" si="15" ref="D27:N27">$B$27/12</f>
        <v>178612904.5</v>
      </c>
      <c r="E27" s="1">
        <f t="shared" si="15"/>
        <v>178612904.5</v>
      </c>
      <c r="F27" s="1">
        <f t="shared" si="15"/>
        <v>178612904.5</v>
      </c>
      <c r="G27" s="1">
        <f t="shared" si="15"/>
        <v>178612904.5</v>
      </c>
      <c r="H27" s="1">
        <f t="shared" si="15"/>
        <v>178612904.5</v>
      </c>
      <c r="I27" s="1">
        <f t="shared" si="15"/>
        <v>178612904.5</v>
      </c>
      <c r="J27" s="1">
        <f t="shared" si="15"/>
        <v>178612904.5</v>
      </c>
      <c r="K27" s="1">
        <f t="shared" si="15"/>
        <v>178612904.5</v>
      </c>
      <c r="L27" s="1">
        <f t="shared" si="15"/>
        <v>178612904.5</v>
      </c>
      <c r="M27" s="1">
        <f t="shared" si="15"/>
        <v>178612904.5</v>
      </c>
      <c r="N27" s="1">
        <f t="shared" si="15"/>
        <v>178612904.5</v>
      </c>
    </row>
    <row r="28" spans="1:14" ht="15.75">
      <c r="A28" s="194" t="s">
        <v>39</v>
      </c>
      <c r="B28" s="1">
        <f>1!Z35</f>
        <v>406988102</v>
      </c>
      <c r="C28" s="1">
        <f>$B$28/12</f>
        <v>33915675.166666664</v>
      </c>
      <c r="D28" s="1">
        <f aca="true" t="shared" si="16" ref="D28:N28">$B$28/12</f>
        <v>33915675.166666664</v>
      </c>
      <c r="E28" s="1">
        <f t="shared" si="16"/>
        <v>33915675.166666664</v>
      </c>
      <c r="F28" s="1">
        <f t="shared" si="16"/>
        <v>33915675.166666664</v>
      </c>
      <c r="G28" s="1">
        <f t="shared" si="16"/>
        <v>33915675.166666664</v>
      </c>
      <c r="H28" s="1">
        <f t="shared" si="16"/>
        <v>33915675.166666664</v>
      </c>
      <c r="I28" s="1">
        <f t="shared" si="16"/>
        <v>33915675.166666664</v>
      </c>
      <c r="J28" s="1">
        <f t="shared" si="16"/>
        <v>33915675.166666664</v>
      </c>
      <c r="K28" s="1">
        <f t="shared" si="16"/>
        <v>33915675.166666664</v>
      </c>
      <c r="L28" s="1">
        <f t="shared" si="16"/>
        <v>33915675.166666664</v>
      </c>
      <c r="M28" s="1">
        <f t="shared" si="16"/>
        <v>33915675.166666664</v>
      </c>
      <c r="N28" s="1">
        <f t="shared" si="16"/>
        <v>33915675.166666664</v>
      </c>
    </row>
    <row r="29" spans="1:14" ht="31.5">
      <c r="A29" s="194" t="s">
        <v>19</v>
      </c>
      <c r="B29" s="1">
        <f>1!Z38</f>
        <v>598251047</v>
      </c>
      <c r="C29" s="1">
        <f>$B$29/12</f>
        <v>49854253.916666664</v>
      </c>
      <c r="D29" s="1">
        <f aca="true" t="shared" si="17" ref="D29:N29">$B$29/12</f>
        <v>49854253.916666664</v>
      </c>
      <c r="E29" s="1">
        <f t="shared" si="17"/>
        <v>49854253.916666664</v>
      </c>
      <c r="F29" s="1">
        <f t="shared" si="17"/>
        <v>49854253.916666664</v>
      </c>
      <c r="G29" s="1">
        <f t="shared" si="17"/>
        <v>49854253.916666664</v>
      </c>
      <c r="H29" s="1">
        <f t="shared" si="17"/>
        <v>49854253.916666664</v>
      </c>
      <c r="I29" s="1">
        <f t="shared" si="17"/>
        <v>49854253.916666664</v>
      </c>
      <c r="J29" s="1">
        <f t="shared" si="17"/>
        <v>49854253.916666664</v>
      </c>
      <c r="K29" s="1">
        <f t="shared" si="17"/>
        <v>49854253.916666664</v>
      </c>
      <c r="L29" s="1">
        <f t="shared" si="17"/>
        <v>49854253.916666664</v>
      </c>
      <c r="M29" s="1">
        <f t="shared" si="17"/>
        <v>49854253.916666664</v>
      </c>
      <c r="N29" s="1">
        <f t="shared" si="17"/>
        <v>49854253.916666664</v>
      </c>
    </row>
    <row r="30" spans="1:14" ht="15.75">
      <c r="A30" s="23" t="s">
        <v>381</v>
      </c>
      <c r="B30" s="1">
        <f>1!Z44</f>
        <v>2317480773</v>
      </c>
      <c r="C30" s="1">
        <f>$B$30/12</f>
        <v>193123397.75</v>
      </c>
      <c r="D30" s="1">
        <f aca="true" t="shared" si="18" ref="D30:N30">$B$30/12</f>
        <v>193123397.75</v>
      </c>
      <c r="E30" s="1">
        <f t="shared" si="18"/>
        <v>193123397.75</v>
      </c>
      <c r="F30" s="1">
        <f t="shared" si="18"/>
        <v>193123397.75</v>
      </c>
      <c r="G30" s="1">
        <f t="shared" si="18"/>
        <v>193123397.75</v>
      </c>
      <c r="H30" s="1">
        <f t="shared" si="18"/>
        <v>193123397.75</v>
      </c>
      <c r="I30" s="1">
        <f t="shared" si="18"/>
        <v>193123397.75</v>
      </c>
      <c r="J30" s="1">
        <f t="shared" si="18"/>
        <v>193123397.75</v>
      </c>
      <c r="K30" s="1">
        <f t="shared" si="18"/>
        <v>193123397.75</v>
      </c>
      <c r="L30" s="1">
        <f t="shared" si="18"/>
        <v>193123397.75</v>
      </c>
      <c r="M30" s="1">
        <f t="shared" si="18"/>
        <v>193123397.75</v>
      </c>
      <c r="N30" s="1">
        <f t="shared" si="18"/>
        <v>193123397.75</v>
      </c>
    </row>
    <row r="31" spans="1:14" ht="15.75">
      <c r="A31" s="30" t="s">
        <v>17</v>
      </c>
      <c r="B31" s="193">
        <f>SUM(B22:B30)</f>
        <v>11111133952</v>
      </c>
      <c r="C31" s="193">
        <f>SUM(C22:C30)</f>
        <v>925927829.3333333</v>
      </c>
      <c r="D31" s="193">
        <f aca="true" t="shared" si="19" ref="D31:N31">SUM(D22:D30)</f>
        <v>925927829.3333333</v>
      </c>
      <c r="E31" s="193">
        <f t="shared" si="19"/>
        <v>925927829.3333333</v>
      </c>
      <c r="F31" s="193">
        <f t="shared" si="19"/>
        <v>925927829.3333333</v>
      </c>
      <c r="G31" s="193">
        <f t="shared" si="19"/>
        <v>925927829.3333333</v>
      </c>
      <c r="H31" s="193">
        <f t="shared" si="19"/>
        <v>925927829.3333333</v>
      </c>
      <c r="I31" s="193">
        <f t="shared" si="19"/>
        <v>925927829.3333333</v>
      </c>
      <c r="J31" s="193">
        <f t="shared" si="19"/>
        <v>925927829.3333333</v>
      </c>
      <c r="K31" s="193">
        <f t="shared" si="19"/>
        <v>925927829.3333333</v>
      </c>
      <c r="L31" s="193">
        <f t="shared" si="19"/>
        <v>925927829.3333333</v>
      </c>
      <c r="M31" s="193">
        <f t="shared" si="19"/>
        <v>925927829.3333333</v>
      </c>
      <c r="N31" s="193">
        <f t="shared" si="19"/>
        <v>925927829.3333333</v>
      </c>
    </row>
  </sheetData>
  <sheetProtection/>
  <mergeCells count="5">
    <mergeCell ref="A1:N1"/>
    <mergeCell ref="A2:N2"/>
    <mergeCell ref="A3:N3"/>
    <mergeCell ref="A4:N4"/>
    <mergeCell ref="C7:N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6.75390625" style="179" customWidth="1"/>
    <col min="2" max="2" width="12.25390625" style="179" customWidth="1"/>
    <col min="3" max="3" width="8.00390625" style="179" customWidth="1"/>
    <col min="4" max="4" width="9.375" style="179" customWidth="1"/>
    <col min="5" max="5" width="15.00390625" style="179" customWidth="1"/>
    <col min="6" max="6" width="8.375" style="179" customWidth="1"/>
    <col min="7" max="7" width="10.125" style="179" bestFit="1" customWidth="1"/>
    <col min="8" max="8" width="12.75390625" style="179" customWidth="1"/>
    <col min="9" max="9" width="8.375" style="179" customWidth="1"/>
    <col min="10" max="10" width="8.375" style="179" bestFit="1" customWidth="1"/>
    <col min="11" max="11" width="10.75390625" style="179" customWidth="1"/>
    <col min="12" max="16384" width="9.125" style="179" customWidth="1"/>
  </cols>
  <sheetData>
    <row r="1" spans="1:14" ht="15.75">
      <c r="A1" s="330" t="s">
        <v>566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58"/>
      <c r="M1" s="58"/>
      <c r="N1" s="58"/>
    </row>
    <row r="2" spans="1:14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1" ht="15.75">
      <c r="A3" s="374" t="s">
        <v>29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ht="15.75">
      <c r="A4" s="374" t="s">
        <v>456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7" ht="15.75">
      <c r="A5" s="18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1"/>
      <c r="M5" s="221"/>
      <c r="N5" s="221"/>
      <c r="O5" s="221"/>
      <c r="P5" s="221"/>
      <c r="Q5" s="221"/>
    </row>
    <row r="6" spans="2:17" ht="15.75">
      <c r="B6" s="221"/>
      <c r="C6" s="221"/>
      <c r="D6" s="221"/>
      <c r="E6" s="221"/>
      <c r="F6" s="221"/>
      <c r="G6" s="221"/>
      <c r="H6" s="221"/>
      <c r="I6" s="221"/>
      <c r="J6" s="375" t="s">
        <v>342</v>
      </c>
      <c r="K6" s="375"/>
      <c r="L6" s="221"/>
      <c r="M6" s="221"/>
      <c r="N6" s="221"/>
      <c r="O6" s="221"/>
      <c r="P6" s="221"/>
      <c r="Q6" s="221"/>
    </row>
    <row r="7" spans="1:17" ht="15.75">
      <c r="A7" s="369" t="s">
        <v>382</v>
      </c>
      <c r="B7" s="371" t="s">
        <v>383</v>
      </c>
      <c r="C7" s="371"/>
      <c r="D7" s="371"/>
      <c r="E7" s="371" t="s">
        <v>384</v>
      </c>
      <c r="F7" s="371"/>
      <c r="G7" s="371"/>
      <c r="H7" s="371" t="s">
        <v>385</v>
      </c>
      <c r="I7" s="371"/>
      <c r="J7" s="371"/>
      <c r="K7" s="372" t="s">
        <v>386</v>
      </c>
      <c r="L7" s="221"/>
      <c r="M7" s="221"/>
      <c r="N7" s="221"/>
      <c r="O7" s="221"/>
      <c r="P7" s="221"/>
      <c r="Q7" s="221"/>
    </row>
    <row r="8" spans="1:17" ht="15.75">
      <c r="A8" s="370"/>
      <c r="B8" s="222" t="s">
        <v>387</v>
      </c>
      <c r="C8" s="222" t="s">
        <v>388</v>
      </c>
      <c r="D8" s="222" t="s">
        <v>389</v>
      </c>
      <c r="E8" s="222" t="s">
        <v>387</v>
      </c>
      <c r="F8" s="222" t="s">
        <v>388</v>
      </c>
      <c r="G8" s="222" t="s">
        <v>389</v>
      </c>
      <c r="H8" s="222" t="s">
        <v>387</v>
      </c>
      <c r="I8" s="222" t="s">
        <v>388</v>
      </c>
      <c r="J8" s="222" t="s">
        <v>389</v>
      </c>
      <c r="K8" s="373"/>
      <c r="L8" s="221"/>
      <c r="M8" s="221"/>
      <c r="N8" s="221"/>
      <c r="O8" s="221"/>
      <c r="P8" s="221"/>
      <c r="Q8" s="221"/>
    </row>
    <row r="9" spans="1:17" ht="31.5">
      <c r="A9" s="182" t="s">
        <v>390</v>
      </c>
      <c r="B9" s="265" t="s">
        <v>391</v>
      </c>
      <c r="C9" s="265" t="s">
        <v>392</v>
      </c>
      <c r="D9" s="266">
        <v>50500</v>
      </c>
      <c r="E9" s="225" t="s">
        <v>405</v>
      </c>
      <c r="F9" s="267">
        <v>0.2</v>
      </c>
      <c r="G9" s="266">
        <v>483000</v>
      </c>
      <c r="H9" s="268"/>
      <c r="I9" s="268"/>
      <c r="J9" s="266">
        <v>0</v>
      </c>
      <c r="K9" s="269">
        <f>SUM(G9+D9)</f>
        <v>533500</v>
      </c>
      <c r="L9" s="221"/>
      <c r="M9" s="221"/>
      <c r="N9" s="221"/>
      <c r="O9" s="221"/>
      <c r="P9" s="221"/>
      <c r="Q9" s="221"/>
    </row>
    <row r="10" spans="1:17" ht="16.5" customHeight="1">
      <c r="A10" s="182" t="s">
        <v>393</v>
      </c>
      <c r="B10" s="223" t="s">
        <v>492</v>
      </c>
      <c r="C10" s="223"/>
      <c r="D10" s="224">
        <v>441000</v>
      </c>
      <c r="E10" s="223"/>
      <c r="F10" s="226"/>
      <c r="G10" s="224">
        <v>0</v>
      </c>
      <c r="H10" s="227"/>
      <c r="I10" s="227"/>
      <c r="J10" s="224">
        <v>0</v>
      </c>
      <c r="K10" s="228">
        <f>SUM(G10+D10)</f>
        <v>441000</v>
      </c>
      <c r="L10" s="221"/>
      <c r="M10" s="221"/>
      <c r="N10" s="221"/>
      <c r="O10" s="221"/>
      <c r="P10" s="221"/>
      <c r="Q10" s="221"/>
    </row>
    <row r="11" spans="1:17" ht="16.5" customHeight="1">
      <c r="A11" s="182" t="s">
        <v>394</v>
      </c>
      <c r="B11" s="223" t="s">
        <v>391</v>
      </c>
      <c r="C11" s="223" t="s">
        <v>392</v>
      </c>
      <c r="D11" s="224">
        <v>0</v>
      </c>
      <c r="E11" s="223"/>
      <c r="F11" s="226"/>
      <c r="G11" s="224">
        <v>0</v>
      </c>
      <c r="H11" s="227"/>
      <c r="I11" s="227"/>
      <c r="J11" s="224">
        <v>0</v>
      </c>
      <c r="K11" s="228">
        <f>SUM(G11+D11)</f>
        <v>0</v>
      </c>
      <c r="L11" s="221"/>
      <c r="M11" s="221"/>
      <c r="N11" s="221"/>
      <c r="O11" s="221"/>
      <c r="P11" s="221"/>
      <c r="Q11" s="221"/>
    </row>
    <row r="12" spans="1:17" ht="47.25">
      <c r="A12" s="183" t="s">
        <v>395</v>
      </c>
      <c r="B12" s="223"/>
      <c r="C12" s="223"/>
      <c r="D12" s="224"/>
      <c r="E12" s="223"/>
      <c r="F12" s="226"/>
      <c r="G12" s="224"/>
      <c r="H12" s="227"/>
      <c r="I12" s="227"/>
      <c r="J12" s="224"/>
      <c r="K12" s="228">
        <v>0</v>
      </c>
      <c r="L12" s="221"/>
      <c r="M12" s="221"/>
      <c r="N12" s="221"/>
      <c r="O12" s="221"/>
      <c r="P12" s="221"/>
      <c r="Q12" s="221"/>
    </row>
    <row r="13" spans="1:17" ht="47.25">
      <c r="A13" s="183" t="s">
        <v>396</v>
      </c>
      <c r="B13" s="223"/>
      <c r="C13" s="223"/>
      <c r="D13" s="224"/>
      <c r="E13" s="223"/>
      <c r="F13" s="226"/>
      <c r="G13" s="224"/>
      <c r="H13" s="227"/>
      <c r="I13" s="227"/>
      <c r="J13" s="224"/>
      <c r="K13" s="228">
        <v>0</v>
      </c>
      <c r="L13" s="221"/>
      <c r="M13" s="221"/>
      <c r="N13" s="221"/>
      <c r="O13" s="221"/>
      <c r="P13" s="221"/>
      <c r="Q13" s="221"/>
    </row>
    <row r="14" spans="1:17" ht="47.25">
      <c r="A14" s="183" t="s">
        <v>397</v>
      </c>
      <c r="B14" s="223"/>
      <c r="C14" s="223"/>
      <c r="D14" s="224"/>
      <c r="E14" s="223"/>
      <c r="F14" s="226"/>
      <c r="G14" s="224"/>
      <c r="H14" s="229" t="s">
        <v>459</v>
      </c>
      <c r="I14" s="267">
        <v>0.5</v>
      </c>
      <c r="J14" s="224"/>
      <c r="K14" s="228">
        <f>SUM(J14)</f>
        <v>0</v>
      </c>
      <c r="L14" s="221"/>
      <c r="M14" s="221"/>
      <c r="N14" s="221"/>
      <c r="O14" s="221"/>
      <c r="P14" s="221"/>
      <c r="Q14" s="221"/>
    </row>
    <row r="15" spans="1:17" ht="31.5">
      <c r="A15" s="183" t="s">
        <v>398</v>
      </c>
      <c r="B15" s="223"/>
      <c r="C15" s="223"/>
      <c r="D15" s="224"/>
      <c r="E15" s="223"/>
      <c r="F15" s="226"/>
      <c r="G15" s="224"/>
      <c r="H15" s="227"/>
      <c r="I15" s="227"/>
      <c r="J15" s="224"/>
      <c r="K15" s="228">
        <v>0</v>
      </c>
      <c r="L15" s="221"/>
      <c r="M15" s="221"/>
      <c r="N15" s="221"/>
      <c r="O15" s="221"/>
      <c r="P15" s="221"/>
      <c r="Q15" s="221"/>
    </row>
    <row r="16" spans="1:17" ht="16.5" customHeight="1">
      <c r="A16" s="184" t="s">
        <v>17</v>
      </c>
      <c r="B16" s="223"/>
      <c r="C16" s="227"/>
      <c r="D16" s="224">
        <f>SUM(D9:D15)</f>
        <v>491500</v>
      </c>
      <c r="E16" s="223"/>
      <c r="F16" s="226"/>
      <c r="G16" s="224">
        <f>SUM(G9:G15)</f>
        <v>483000</v>
      </c>
      <c r="H16" s="227"/>
      <c r="I16" s="227"/>
      <c r="J16" s="224">
        <f>SUM(J14:J15)</f>
        <v>0</v>
      </c>
      <c r="K16" s="228">
        <f>SUM(K9:K15)</f>
        <v>974500</v>
      </c>
      <c r="L16" s="221"/>
      <c r="M16" s="221"/>
      <c r="N16" s="221"/>
      <c r="O16" s="221"/>
      <c r="P16" s="221"/>
      <c r="Q16" s="221"/>
    </row>
    <row r="17" spans="2:17" ht="15.75"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</row>
    <row r="18" spans="2:17" ht="15.75"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</row>
    <row r="19" spans="2:17" ht="15.75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</row>
    <row r="20" spans="2:17" ht="15.75"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2:17" ht="15.75"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</row>
    <row r="22" spans="2:17" ht="15.75"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2:17" ht="15.75">
      <c r="B23" s="221"/>
      <c r="C23" s="221"/>
      <c r="D23" s="221"/>
      <c r="E23" s="230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2:17" ht="15.75">
      <c r="B24" s="221"/>
      <c r="C24" s="221"/>
      <c r="D24" s="221"/>
      <c r="E24" s="230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</row>
    <row r="25" ht="15.75">
      <c r="E25" s="181"/>
    </row>
    <row r="26" ht="15.75">
      <c r="E26" s="181"/>
    </row>
    <row r="27" ht="15.75">
      <c r="E27" s="181"/>
    </row>
    <row r="28" ht="15.75">
      <c r="E28" s="181"/>
    </row>
    <row r="29" ht="15.75">
      <c r="E29" s="181"/>
    </row>
    <row r="30" ht="15.75">
      <c r="E30" s="181"/>
    </row>
    <row r="31" ht="15.75">
      <c r="E31" s="181"/>
    </row>
    <row r="32" ht="15.75">
      <c r="E32" s="181"/>
    </row>
    <row r="33" ht="15.75">
      <c r="E33" s="181"/>
    </row>
    <row r="34" ht="15.75">
      <c r="E34" s="181"/>
    </row>
    <row r="35" ht="15.75">
      <c r="E35" s="181"/>
    </row>
    <row r="36" ht="15.75">
      <c r="E36" s="181"/>
    </row>
    <row r="37" ht="15.75">
      <c r="E37" s="181"/>
    </row>
    <row r="38" ht="15.75">
      <c r="E38" s="181"/>
    </row>
  </sheetData>
  <sheetProtection/>
  <mergeCells count="9">
    <mergeCell ref="A7:A8"/>
    <mergeCell ref="B7:D7"/>
    <mergeCell ref="E7:G7"/>
    <mergeCell ref="H7:J7"/>
    <mergeCell ref="K7:K8"/>
    <mergeCell ref="A1:K1"/>
    <mergeCell ref="A3:K3"/>
    <mergeCell ref="A4:K4"/>
    <mergeCell ref="J6:K6"/>
  </mergeCells>
  <dataValidations count="1">
    <dataValidation type="textLength" operator="greaterThan" showErrorMessage="1" sqref="E23:E38">
      <formula1>0</formula1>
    </dataValidation>
  </dataValidation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zoomScale="115" zoomScaleNormal="115" zoomScalePageLayoutView="0" workbookViewId="0" topLeftCell="A1">
      <selection activeCell="A1" sqref="A1:J1"/>
    </sheetView>
  </sheetViews>
  <sheetFormatPr defaultColWidth="8.00390625" defaultRowHeight="12.75"/>
  <cols>
    <col min="1" max="1" width="49.75390625" style="16" customWidth="1"/>
    <col min="2" max="3" width="14.25390625" style="18" bestFit="1" customWidth="1"/>
    <col min="4" max="4" width="11.00390625" style="18" customWidth="1"/>
    <col min="5" max="5" width="14.25390625" style="18" bestFit="1" customWidth="1"/>
    <col min="6" max="6" width="35.75390625" style="16" customWidth="1"/>
    <col min="7" max="8" width="14.25390625" style="16" bestFit="1" customWidth="1"/>
    <col min="9" max="9" width="11.625" style="16" customWidth="1"/>
    <col min="10" max="10" width="15.25390625" style="16" bestFit="1" customWidth="1"/>
    <col min="11" max="16384" width="8.00390625" style="16" customWidth="1"/>
  </cols>
  <sheetData>
    <row r="1" spans="1:10" ht="15.75">
      <c r="A1" s="319" t="s">
        <v>550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.75">
      <c r="A2" s="319"/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 customHeight="1">
      <c r="A3" s="317" t="s">
        <v>29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5.75">
      <c r="A4" s="317" t="s">
        <v>442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5.7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6:10" ht="13.5" customHeight="1">
      <c r="F6" s="19"/>
      <c r="G6" s="6"/>
      <c r="H6" s="18"/>
      <c r="J6" s="10" t="s">
        <v>342</v>
      </c>
    </row>
    <row r="7" spans="1:10" ht="15.75">
      <c r="A7" s="318" t="s">
        <v>26</v>
      </c>
      <c r="B7" s="318"/>
      <c r="C7" s="318"/>
      <c r="D7" s="318"/>
      <c r="E7" s="318"/>
      <c r="F7" s="318" t="s">
        <v>14</v>
      </c>
      <c r="G7" s="318"/>
      <c r="H7" s="318"/>
      <c r="I7" s="318"/>
      <c r="J7" s="318"/>
    </row>
    <row r="8" spans="1:10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</row>
    <row r="9" spans="1:10" s="28" customFormat="1" ht="15.75" customHeight="1">
      <c r="A9" s="95" t="s">
        <v>15</v>
      </c>
      <c r="B9" s="325" t="s">
        <v>33</v>
      </c>
      <c r="C9" s="326"/>
      <c r="D9" s="326"/>
      <c r="E9" s="327"/>
      <c r="F9" s="95" t="s">
        <v>15</v>
      </c>
      <c r="G9" s="325" t="s">
        <v>33</v>
      </c>
      <c r="H9" s="326"/>
      <c r="I9" s="326"/>
      <c r="J9" s="327"/>
    </row>
    <row r="10" spans="1:10" s="28" customFormat="1" ht="31.5">
      <c r="A10" s="41" t="s">
        <v>36</v>
      </c>
      <c r="B10" s="26" t="s">
        <v>34</v>
      </c>
      <c r="C10" s="37" t="s">
        <v>35</v>
      </c>
      <c r="D10" s="37" t="s">
        <v>190</v>
      </c>
      <c r="E10" s="37" t="s">
        <v>17</v>
      </c>
      <c r="F10" s="41" t="s">
        <v>36</v>
      </c>
      <c r="G10" s="26" t="s">
        <v>34</v>
      </c>
      <c r="H10" s="37" t="s">
        <v>35</v>
      </c>
      <c r="I10" s="37" t="s">
        <v>190</v>
      </c>
      <c r="J10" s="37" t="s">
        <v>17</v>
      </c>
    </row>
    <row r="11" spans="1:10" s="21" customFormat="1" ht="15.75" customHeight="1">
      <c r="A11" s="52" t="s">
        <v>54</v>
      </c>
      <c r="B11" s="96">
        <f>1!J12</f>
        <v>2024145247</v>
      </c>
      <c r="C11" s="96">
        <f>1!K12</f>
        <v>0</v>
      </c>
      <c r="D11" s="96">
        <f>1!L12</f>
        <v>0</v>
      </c>
      <c r="E11" s="96">
        <f aca="true" t="shared" si="0" ref="E11:E16">SUM(B11:D11)</f>
        <v>2024145247</v>
      </c>
      <c r="F11" s="97" t="s">
        <v>121</v>
      </c>
      <c r="G11" s="20">
        <f>1!W12</f>
        <v>122862803</v>
      </c>
      <c r="H11" s="20">
        <f>1!X12</f>
        <v>1920000</v>
      </c>
      <c r="I11" s="20">
        <f>1!Y12</f>
        <v>0</v>
      </c>
      <c r="J11" s="20">
        <f>SUM(G11:I11)</f>
        <v>124782803</v>
      </c>
    </row>
    <row r="12" spans="1:10" s="21" customFormat="1" ht="33" customHeight="1">
      <c r="A12" s="52" t="s">
        <v>85</v>
      </c>
      <c r="B12" s="20">
        <f>1!J15</f>
        <v>2200528243</v>
      </c>
      <c r="C12" s="20">
        <f>1!K15</f>
        <v>11812500</v>
      </c>
      <c r="D12" s="20">
        <f>1!L15</f>
        <v>0</v>
      </c>
      <c r="E12" s="96">
        <f t="shared" si="0"/>
        <v>2212340743</v>
      </c>
      <c r="F12" s="97" t="s">
        <v>98</v>
      </c>
      <c r="G12" s="20">
        <f>1!W15</f>
        <v>21053037</v>
      </c>
      <c r="H12" s="20">
        <f>1!X15</f>
        <v>336000</v>
      </c>
      <c r="I12" s="20">
        <f>1!Y15</f>
        <v>0</v>
      </c>
      <c r="J12" s="20">
        <f>SUM(G12:I12)</f>
        <v>21389037</v>
      </c>
    </row>
    <row r="13" spans="1:10" s="21" customFormat="1" ht="15.75">
      <c r="A13" s="97" t="s">
        <v>86</v>
      </c>
      <c r="B13" s="20">
        <f>1!J18</f>
        <v>2612000000</v>
      </c>
      <c r="C13" s="20">
        <f>1!K18</f>
        <v>0</v>
      </c>
      <c r="D13" s="20">
        <f>1!L18</f>
        <v>0</v>
      </c>
      <c r="E13" s="96">
        <f t="shared" si="0"/>
        <v>2612000000</v>
      </c>
      <c r="F13" s="97" t="s">
        <v>99</v>
      </c>
      <c r="G13" s="20">
        <f>1!W18</f>
        <v>815849763</v>
      </c>
      <c r="H13" s="20">
        <f>1!X18</f>
        <v>82141304</v>
      </c>
      <c r="I13" s="20">
        <f>1!Y18</f>
        <v>0</v>
      </c>
      <c r="J13" s="20">
        <f>SUM(G13:I13)</f>
        <v>897991067</v>
      </c>
    </row>
    <row r="14" spans="1:10" s="21" customFormat="1" ht="15.75">
      <c r="A14" s="49" t="s">
        <v>87</v>
      </c>
      <c r="B14" s="20">
        <f>1!J21</f>
        <v>8800000</v>
      </c>
      <c r="C14" s="20">
        <f>1!K21</f>
        <v>9500000</v>
      </c>
      <c r="D14" s="20">
        <f>1!L21</f>
        <v>0</v>
      </c>
      <c r="E14" s="11">
        <f t="shared" si="0"/>
        <v>18300000</v>
      </c>
      <c r="F14" s="43" t="s">
        <v>100</v>
      </c>
      <c r="G14" s="20">
        <f>1!W21</f>
        <v>9700000</v>
      </c>
      <c r="H14" s="20">
        <f>1!X21</f>
        <v>40674600</v>
      </c>
      <c r="I14" s="20">
        <f>1!Y21</f>
        <v>0</v>
      </c>
      <c r="J14" s="20">
        <f>SUM(G14:I14)</f>
        <v>50374600</v>
      </c>
    </row>
    <row r="15" spans="1:10" s="21" customFormat="1" ht="15.75" customHeight="1">
      <c r="A15" s="43" t="s">
        <v>88</v>
      </c>
      <c r="B15" s="20">
        <f>1!J24</f>
        <v>445012876</v>
      </c>
      <c r="C15" s="20">
        <f>1!K24</f>
        <v>15458092</v>
      </c>
      <c r="D15" s="20">
        <f>1!L24</f>
        <v>0</v>
      </c>
      <c r="E15" s="11">
        <f t="shared" si="0"/>
        <v>460470968</v>
      </c>
      <c r="F15" s="43" t="s">
        <v>101</v>
      </c>
      <c r="G15" s="20">
        <f>1!W24</f>
        <v>1770663554</v>
      </c>
      <c r="H15" s="20">
        <f>1!X24</f>
        <v>166415000</v>
      </c>
      <c r="I15" s="20">
        <f>1!Y24</f>
        <v>0</v>
      </c>
      <c r="J15" s="20">
        <f>SUM(G15:I15)</f>
        <v>1937078554</v>
      </c>
    </row>
    <row r="16" spans="1:10" s="21" customFormat="1" ht="15.75">
      <c r="A16" s="49" t="s">
        <v>89</v>
      </c>
      <c r="B16" s="20">
        <f>1!J27</f>
        <v>0</v>
      </c>
      <c r="C16" s="20">
        <f>1!K27</f>
        <v>70680000</v>
      </c>
      <c r="D16" s="20">
        <f>1!L27</f>
        <v>0</v>
      </c>
      <c r="E16" s="11">
        <f t="shared" si="0"/>
        <v>70680000</v>
      </c>
      <c r="F16" s="23" t="s">
        <v>158</v>
      </c>
      <c r="G16" s="29">
        <f>1!W26</f>
        <v>500167807</v>
      </c>
      <c r="H16" s="29">
        <f>1!X26</f>
        <v>12000000</v>
      </c>
      <c r="I16" s="29">
        <f>1!Y26</f>
        <v>0</v>
      </c>
      <c r="J16" s="29">
        <f>G16+H16</f>
        <v>512167807</v>
      </c>
    </row>
    <row r="17" spans="1:10" s="31" customFormat="1" ht="31.5">
      <c r="A17" s="22" t="s">
        <v>167</v>
      </c>
      <c r="B17" s="20">
        <f>B12+B14+B15+B16+B13</f>
        <v>5266341119</v>
      </c>
      <c r="C17" s="20">
        <f>C12+C14+C15+C16+C13</f>
        <v>107450592</v>
      </c>
      <c r="D17" s="20">
        <f>D12+D14+D15+D16+D13</f>
        <v>0</v>
      </c>
      <c r="E17" s="20">
        <f>E12+E14+E15+E16+E13</f>
        <v>5373791711</v>
      </c>
      <c r="F17" s="22" t="s">
        <v>102</v>
      </c>
      <c r="G17" s="20">
        <f>G11+G12+G13+G14+G15</f>
        <v>2740129157</v>
      </c>
      <c r="H17" s="20">
        <f>H11+H12+H13+H14+H15</f>
        <v>291486904</v>
      </c>
      <c r="I17" s="20">
        <f>I11+I12+I13+I14+I15</f>
        <v>0</v>
      </c>
      <c r="J17" s="20">
        <f>J11+J12+J13+J14+J15</f>
        <v>3031616061</v>
      </c>
    </row>
    <row r="18" spans="1:10" s="31" customFormat="1" ht="15.75">
      <c r="A18" s="102" t="s">
        <v>163</v>
      </c>
      <c r="B18" s="99"/>
      <c r="C18" s="99"/>
      <c r="D18" s="99"/>
      <c r="E18" s="99"/>
      <c r="F18" s="98"/>
      <c r="G18" s="99"/>
      <c r="H18" s="99"/>
      <c r="I18" s="99"/>
      <c r="J18" s="100">
        <f>E17-J17</f>
        <v>2342175650</v>
      </c>
    </row>
    <row r="19" spans="1:10" s="31" customFormat="1" ht="15.75">
      <c r="A19" s="322" t="s">
        <v>28</v>
      </c>
      <c r="B19" s="323"/>
      <c r="C19" s="323"/>
      <c r="D19" s="323"/>
      <c r="E19" s="323"/>
      <c r="F19" s="323"/>
      <c r="G19" s="323"/>
      <c r="H19" s="323"/>
      <c r="I19" s="323"/>
      <c r="J19" s="324"/>
    </row>
    <row r="20" spans="1:10" s="21" customFormat="1" ht="31.5">
      <c r="A20" s="57" t="s">
        <v>90</v>
      </c>
      <c r="B20" s="40">
        <f>1!J33</f>
        <v>1381731499</v>
      </c>
      <c r="C20" s="40">
        <f>1!K33</f>
        <v>0</v>
      </c>
      <c r="D20" s="40">
        <f>1!L33</f>
        <v>0</v>
      </c>
      <c r="E20" s="40">
        <f>SUM(B20:D20)</f>
        <v>1381731499</v>
      </c>
      <c r="F20" s="50" t="s">
        <v>103</v>
      </c>
      <c r="G20" s="40">
        <f>1!W33</f>
        <v>2066655068</v>
      </c>
      <c r="H20" s="40">
        <f>1!X33</f>
        <v>50700236</v>
      </c>
      <c r="I20" s="40">
        <f>1!Y33</f>
        <v>0</v>
      </c>
      <c r="J20" s="40">
        <f>SUM(G20:I20)</f>
        <v>2117355304</v>
      </c>
    </row>
    <row r="21" spans="1:10" s="21" customFormat="1" ht="15.75">
      <c r="A21" s="54" t="s">
        <v>91</v>
      </c>
      <c r="B21" s="20">
        <f>1!J36</f>
        <v>4000000</v>
      </c>
      <c r="C21" s="20">
        <f>1!K36</f>
        <v>392124466</v>
      </c>
      <c r="D21" s="20">
        <f>1!L36</f>
        <v>0</v>
      </c>
      <c r="E21" s="40">
        <f aca="true" t="shared" si="1" ref="E21:E27">SUM(B21:D21)</f>
        <v>396124466</v>
      </c>
      <c r="F21" s="38" t="s">
        <v>104</v>
      </c>
      <c r="G21" s="32">
        <f>1!W36</f>
        <v>406353102</v>
      </c>
      <c r="H21" s="32">
        <f>1!X36</f>
        <v>0</v>
      </c>
      <c r="I21" s="32">
        <f>1!Y36</f>
        <v>0</v>
      </c>
      <c r="J21" s="40">
        <f aca="true" t="shared" si="2" ref="J21:J26">SUM(G21:I21)</f>
        <v>406353102</v>
      </c>
    </row>
    <row r="22" spans="1:10" s="21" customFormat="1" ht="31.5">
      <c r="A22" s="49" t="s">
        <v>68</v>
      </c>
      <c r="B22" s="20">
        <f>1!J39</f>
        <v>0</v>
      </c>
      <c r="C22" s="20">
        <f>1!K39</f>
        <v>5000000</v>
      </c>
      <c r="D22" s="20">
        <f>1!L39</f>
        <v>0</v>
      </c>
      <c r="E22" s="40">
        <f t="shared" si="1"/>
        <v>5000000</v>
      </c>
      <c r="F22" s="43" t="s">
        <v>105</v>
      </c>
      <c r="G22" s="20">
        <f>1!W39</f>
        <v>578351047</v>
      </c>
      <c r="H22" s="20">
        <f>1!X39</f>
        <v>18900000</v>
      </c>
      <c r="I22" s="20">
        <f>1!Y39</f>
        <v>0</v>
      </c>
      <c r="J22" s="40">
        <f t="shared" si="2"/>
        <v>597251047</v>
      </c>
    </row>
    <row r="23" spans="1:10" s="21" customFormat="1" ht="31.5">
      <c r="A23" s="22" t="s">
        <v>92</v>
      </c>
      <c r="B23" s="20">
        <f>B20+B21+B22</f>
        <v>1385731499</v>
      </c>
      <c r="C23" s="20">
        <f>C20+C21+C22</f>
        <v>397124466</v>
      </c>
      <c r="D23" s="20">
        <f>D20+D21+D22</f>
        <v>0</v>
      </c>
      <c r="E23" s="20">
        <f>E20+E21+E22</f>
        <v>1782855965</v>
      </c>
      <c r="F23" s="22" t="s">
        <v>106</v>
      </c>
      <c r="G23" s="30">
        <f>G20+G21+G22</f>
        <v>3051359217</v>
      </c>
      <c r="H23" s="30">
        <f>H20+H21+H22</f>
        <v>69600236</v>
      </c>
      <c r="I23" s="30">
        <f>I20+I21+I22</f>
        <v>0</v>
      </c>
      <c r="J23" s="40">
        <f t="shared" si="2"/>
        <v>3120959453</v>
      </c>
    </row>
    <row r="24" spans="1:10" s="21" customFormat="1" ht="15.75">
      <c r="A24" s="102" t="s">
        <v>164</v>
      </c>
      <c r="B24" s="20"/>
      <c r="C24" s="20"/>
      <c r="D24" s="20"/>
      <c r="E24" s="20"/>
      <c r="F24" s="22"/>
      <c r="G24" s="30"/>
      <c r="H24" s="30"/>
      <c r="I24" s="30"/>
      <c r="J24" s="30">
        <f>E23-J23</f>
        <v>-1338103488</v>
      </c>
    </row>
    <row r="25" spans="1:10" s="21" customFormat="1" ht="15.75">
      <c r="A25" s="22" t="s">
        <v>95</v>
      </c>
      <c r="B25" s="20">
        <f>B17+B23</f>
        <v>6652072618</v>
      </c>
      <c r="C25" s="20">
        <f>C17+C23</f>
        <v>504575058</v>
      </c>
      <c r="D25" s="20">
        <f>D17+D23</f>
        <v>0</v>
      </c>
      <c r="E25" s="40">
        <f t="shared" si="1"/>
        <v>7156647676</v>
      </c>
      <c r="F25" s="22" t="s">
        <v>107</v>
      </c>
      <c r="G25" s="30">
        <f>G17+G23</f>
        <v>5791488374</v>
      </c>
      <c r="H25" s="30">
        <f>H17+H23</f>
        <v>361087140</v>
      </c>
      <c r="I25" s="30">
        <f>I17+I23</f>
        <v>0</v>
      </c>
      <c r="J25" s="40">
        <f t="shared" si="2"/>
        <v>6152575514</v>
      </c>
    </row>
    <row r="26" spans="1:10" s="21" customFormat="1" ht="15.75">
      <c r="A26" s="27" t="s">
        <v>93</v>
      </c>
      <c r="B26" s="20">
        <f>1!J45</f>
        <v>1313408612</v>
      </c>
      <c r="C26" s="20">
        <f>1!K45</f>
        <v>0</v>
      </c>
      <c r="D26" s="20">
        <f>1!L45</f>
        <v>0</v>
      </c>
      <c r="E26" s="40">
        <f t="shared" si="1"/>
        <v>1313408612</v>
      </c>
      <c r="F26" s="22" t="s">
        <v>138</v>
      </c>
      <c r="G26" s="36">
        <f>1!W45</f>
        <v>2317480773</v>
      </c>
      <c r="H26" s="36">
        <f>1!X45</f>
        <v>0</v>
      </c>
      <c r="I26" s="36">
        <f>1!Y45</f>
        <v>0</v>
      </c>
      <c r="J26" s="40">
        <f t="shared" si="2"/>
        <v>2317480773</v>
      </c>
    </row>
    <row r="27" spans="1:10" s="31" customFormat="1" ht="15.75">
      <c r="A27" s="22" t="s">
        <v>94</v>
      </c>
      <c r="B27" s="20">
        <f>B25+B26</f>
        <v>7965481230</v>
      </c>
      <c r="C27" s="20">
        <f>C25+C26</f>
        <v>504575058</v>
      </c>
      <c r="D27" s="20">
        <f>D25+D26</f>
        <v>0</v>
      </c>
      <c r="E27" s="40">
        <f t="shared" si="1"/>
        <v>8470056288</v>
      </c>
      <c r="F27" s="22" t="s">
        <v>108</v>
      </c>
      <c r="G27" s="20">
        <f>G25+G26</f>
        <v>8108969147</v>
      </c>
      <c r="H27" s="20">
        <f>H25+H26</f>
        <v>361087140</v>
      </c>
      <c r="I27" s="20">
        <f>I25+I26</f>
        <v>0</v>
      </c>
      <c r="J27" s="40">
        <f>SUM(G27:I27)+1</f>
        <v>8470056288</v>
      </c>
    </row>
    <row r="28" spans="1:8" ht="15.75">
      <c r="A28" s="17"/>
      <c r="B28" s="16"/>
      <c r="D28" s="16"/>
      <c r="E28" s="16"/>
      <c r="H28" s="18"/>
    </row>
    <row r="29" spans="1:10" ht="15.75">
      <c r="A29" s="17"/>
      <c r="B29" s="16"/>
      <c r="C29" s="16"/>
      <c r="D29" s="16"/>
      <c r="E29" s="16"/>
      <c r="F29" s="18"/>
      <c r="J29" s="18"/>
    </row>
    <row r="30" spans="1:10" ht="15.75">
      <c r="A30" s="17"/>
      <c r="B30" s="16"/>
      <c r="C30" s="16"/>
      <c r="D30" s="16"/>
      <c r="E30" s="16"/>
      <c r="J30" s="18"/>
    </row>
    <row r="31" spans="1:5" ht="15.75">
      <c r="A31" s="17"/>
      <c r="B31" s="16"/>
      <c r="C31" s="16"/>
      <c r="D31" s="16"/>
      <c r="E31" s="16"/>
    </row>
    <row r="32" spans="1:5" ht="15.75">
      <c r="A32" s="17"/>
      <c r="B32" s="16"/>
      <c r="C32" s="16"/>
      <c r="D32" s="16"/>
      <c r="E32" s="16"/>
    </row>
    <row r="33" spans="1:5" ht="15.75">
      <c r="A33" s="17"/>
      <c r="B33" s="16"/>
      <c r="C33" s="16"/>
      <c r="D33" s="16"/>
      <c r="E33" s="16"/>
    </row>
    <row r="34" spans="1:5" ht="15.75">
      <c r="A34" s="17"/>
      <c r="B34" s="16"/>
      <c r="C34" s="16"/>
      <c r="D34" s="16"/>
      <c r="E34" s="16"/>
    </row>
    <row r="35" spans="1:5" ht="15.75">
      <c r="A35" s="17"/>
      <c r="B35" s="16"/>
      <c r="C35" s="16"/>
      <c r="D35" s="16"/>
      <c r="E35" s="16"/>
    </row>
    <row r="36" spans="1:5" ht="15.75">
      <c r="A36" s="17"/>
      <c r="B36" s="16"/>
      <c r="C36" s="16"/>
      <c r="D36" s="16"/>
      <c r="E36" s="16"/>
    </row>
    <row r="37" spans="1:5" ht="15.75">
      <c r="A37" s="17"/>
      <c r="B37" s="16"/>
      <c r="C37" s="16"/>
      <c r="D37" s="16"/>
      <c r="E37" s="16"/>
    </row>
    <row r="38" spans="1:5" ht="15.75">
      <c r="A38" s="17"/>
      <c r="B38" s="16"/>
      <c r="C38" s="16"/>
      <c r="D38" s="16"/>
      <c r="E38" s="16"/>
    </row>
    <row r="39" spans="1:5" ht="15.75">
      <c r="A39" s="17"/>
      <c r="B39" s="16"/>
      <c r="C39" s="16"/>
      <c r="D39" s="16"/>
      <c r="E39" s="16"/>
    </row>
    <row r="40" spans="1:5" ht="15.75">
      <c r="A40" s="17"/>
      <c r="B40" s="16"/>
      <c r="C40" s="16"/>
      <c r="D40" s="16"/>
      <c r="E40" s="16"/>
    </row>
    <row r="41" spans="1:5" ht="15.75">
      <c r="A41" s="17"/>
      <c r="B41" s="16"/>
      <c r="C41" s="16"/>
      <c r="D41" s="16"/>
      <c r="E41" s="16"/>
    </row>
    <row r="42" spans="1:5" ht="15.75">
      <c r="A42" s="17"/>
      <c r="B42" s="16"/>
      <c r="C42" s="16"/>
      <c r="D42" s="16"/>
      <c r="E42" s="16"/>
    </row>
    <row r="43" spans="1:5" ht="15.75">
      <c r="A43" s="17"/>
      <c r="B43" s="16"/>
      <c r="C43" s="16"/>
      <c r="D43" s="16"/>
      <c r="E43" s="16"/>
    </row>
    <row r="44" spans="1:5" ht="15.75">
      <c r="A44" s="17"/>
      <c r="B44" s="16"/>
      <c r="C44" s="16"/>
      <c r="D44" s="16"/>
      <c r="E44" s="16"/>
    </row>
    <row r="45" spans="1:5" ht="15.75">
      <c r="A45" s="17"/>
      <c r="B45" s="16"/>
      <c r="C45" s="16"/>
      <c r="D45" s="16"/>
      <c r="E45" s="16"/>
    </row>
    <row r="46" spans="1:5" ht="15.75">
      <c r="A46" s="17"/>
      <c r="B46" s="16"/>
      <c r="C46" s="16"/>
      <c r="D46" s="16"/>
      <c r="E46" s="16"/>
    </row>
    <row r="47" spans="1:5" ht="15.75">
      <c r="A47" s="17"/>
      <c r="B47" s="16"/>
      <c r="C47" s="16"/>
      <c r="D47" s="16"/>
      <c r="E47" s="16"/>
    </row>
    <row r="48" spans="1:5" ht="15.75">
      <c r="A48" s="17"/>
      <c r="B48" s="16"/>
      <c r="C48" s="16"/>
      <c r="D48" s="16"/>
      <c r="E48" s="16"/>
    </row>
    <row r="49" spans="1:5" ht="15.75">
      <c r="A49" s="17"/>
      <c r="B49" s="16"/>
      <c r="C49" s="16"/>
      <c r="D49" s="16"/>
      <c r="E49" s="16"/>
    </row>
    <row r="50" spans="1:5" ht="15.75">
      <c r="A50" s="17"/>
      <c r="B50" s="16"/>
      <c r="C50" s="16"/>
      <c r="D50" s="16"/>
      <c r="E50" s="16"/>
    </row>
    <row r="51" spans="1:5" ht="15.75">
      <c r="A51" s="17"/>
      <c r="B51" s="16"/>
      <c r="C51" s="16"/>
      <c r="D51" s="16"/>
      <c r="E51" s="16"/>
    </row>
    <row r="52" spans="1:5" ht="15.75">
      <c r="A52" s="17"/>
      <c r="B52" s="16"/>
      <c r="C52" s="16"/>
      <c r="D52" s="16"/>
      <c r="E52" s="16"/>
    </row>
    <row r="53" spans="1:5" ht="15.75">
      <c r="A53" s="17"/>
      <c r="B53" s="16"/>
      <c r="C53" s="16"/>
      <c r="D53" s="16"/>
      <c r="E53" s="16"/>
    </row>
    <row r="54" spans="1:5" ht="15.75">
      <c r="A54" s="17"/>
      <c r="B54" s="16"/>
      <c r="C54" s="16"/>
      <c r="D54" s="16"/>
      <c r="E54" s="16"/>
    </row>
    <row r="55" spans="1:5" ht="15.75">
      <c r="A55" s="17"/>
      <c r="B55" s="16"/>
      <c r="C55" s="16"/>
      <c r="D55" s="16"/>
      <c r="E55" s="16"/>
    </row>
    <row r="56" spans="1:5" ht="15.75">
      <c r="A56" s="17"/>
      <c r="B56" s="16"/>
      <c r="C56" s="16"/>
      <c r="D56" s="16"/>
      <c r="E56" s="16"/>
    </row>
    <row r="57" spans="1:5" ht="15.75">
      <c r="A57" s="17"/>
      <c r="B57" s="16"/>
      <c r="C57" s="16"/>
      <c r="D57" s="16"/>
      <c r="E57" s="16"/>
    </row>
    <row r="58" spans="1:5" ht="15.75">
      <c r="A58" s="17"/>
      <c r="B58" s="16"/>
      <c r="C58" s="16"/>
      <c r="D58" s="16"/>
      <c r="E58" s="16"/>
    </row>
    <row r="59" spans="1:5" ht="15.75">
      <c r="A59" s="17"/>
      <c r="B59" s="16"/>
      <c r="C59" s="16"/>
      <c r="D59" s="16"/>
      <c r="E59" s="16"/>
    </row>
    <row r="60" spans="1:5" ht="15.75">
      <c r="A60" s="17"/>
      <c r="B60" s="16"/>
      <c r="C60" s="16"/>
      <c r="D60" s="16"/>
      <c r="E60" s="16"/>
    </row>
    <row r="61" spans="1:5" ht="15.75">
      <c r="A61" s="17"/>
      <c r="B61" s="16"/>
      <c r="C61" s="16"/>
      <c r="D61" s="16"/>
      <c r="E61" s="16"/>
    </row>
    <row r="62" spans="1:5" ht="15.75">
      <c r="A62" s="17"/>
      <c r="B62" s="16"/>
      <c r="C62" s="16"/>
      <c r="D62" s="16"/>
      <c r="E62" s="16"/>
    </row>
    <row r="63" spans="1:5" ht="15.75">
      <c r="A63" s="17"/>
      <c r="B63" s="16"/>
      <c r="C63" s="16"/>
      <c r="D63" s="16"/>
      <c r="E63" s="16"/>
    </row>
    <row r="64" spans="1:5" ht="15.75">
      <c r="A64" s="17"/>
      <c r="B64" s="16"/>
      <c r="C64" s="16"/>
      <c r="D64" s="16"/>
      <c r="E64" s="16"/>
    </row>
    <row r="65" spans="1:5" ht="15.75">
      <c r="A65" s="17"/>
      <c r="B65" s="16"/>
      <c r="C65" s="16"/>
      <c r="D65" s="16"/>
      <c r="E65" s="16"/>
    </row>
    <row r="66" spans="1:5" ht="15.75">
      <c r="A66" s="17"/>
      <c r="B66" s="16"/>
      <c r="C66" s="16"/>
      <c r="D66" s="16"/>
      <c r="E66" s="16"/>
    </row>
    <row r="67" spans="1:5" ht="15.75">
      <c r="A67" s="17"/>
      <c r="B67" s="16"/>
      <c r="C67" s="16"/>
      <c r="D67" s="16"/>
      <c r="E67" s="16"/>
    </row>
    <row r="68" spans="1:5" ht="15.75">
      <c r="A68" s="17"/>
      <c r="B68" s="16"/>
      <c r="C68" s="16"/>
      <c r="D68" s="16"/>
      <c r="E68" s="16"/>
    </row>
    <row r="69" spans="1:5" ht="15.75">
      <c r="A69" s="17"/>
      <c r="B69" s="16"/>
      <c r="C69" s="16"/>
      <c r="D69" s="16"/>
      <c r="E69" s="16"/>
    </row>
    <row r="70" spans="1:5" ht="15.75">
      <c r="A70" s="17"/>
      <c r="B70" s="16"/>
      <c r="C70" s="16"/>
      <c r="D70" s="16"/>
      <c r="E70" s="16"/>
    </row>
    <row r="71" spans="1:5" ht="15.75">
      <c r="A71" s="17"/>
      <c r="B71" s="16"/>
      <c r="C71" s="16"/>
      <c r="D71" s="16"/>
      <c r="E71" s="16"/>
    </row>
    <row r="72" spans="1:5" ht="15.75">
      <c r="A72" s="17"/>
      <c r="B72" s="16"/>
      <c r="C72" s="16"/>
      <c r="D72" s="16"/>
      <c r="E72" s="16"/>
    </row>
    <row r="73" spans="1:5" ht="15.75">
      <c r="A73" s="17"/>
      <c r="B73" s="16"/>
      <c r="C73" s="16"/>
      <c r="D73" s="16"/>
      <c r="E73" s="16"/>
    </row>
    <row r="74" spans="1:5" ht="15.75">
      <c r="A74" s="17"/>
      <c r="B74" s="16"/>
      <c r="C74" s="16"/>
      <c r="D74" s="16"/>
      <c r="E74" s="16"/>
    </row>
    <row r="75" spans="1:5" ht="15.75">
      <c r="A75" s="17"/>
      <c r="B75" s="16"/>
      <c r="C75" s="16"/>
      <c r="D75" s="16"/>
      <c r="E75" s="16"/>
    </row>
    <row r="76" spans="1:5" ht="15.75">
      <c r="A76" s="17"/>
      <c r="B76" s="16"/>
      <c r="C76" s="16"/>
      <c r="D76" s="16"/>
      <c r="E76" s="16"/>
    </row>
    <row r="77" spans="1:5" ht="15.75">
      <c r="A77" s="17"/>
      <c r="B77" s="16"/>
      <c r="C77" s="16"/>
      <c r="D77" s="16"/>
      <c r="E77" s="16"/>
    </row>
    <row r="78" spans="1:5" ht="15.75">
      <c r="A78" s="17"/>
      <c r="B78" s="16"/>
      <c r="C78" s="16"/>
      <c r="D78" s="16"/>
      <c r="E78" s="16"/>
    </row>
    <row r="79" spans="1:5" ht="15.75">
      <c r="A79" s="17"/>
      <c r="B79" s="16"/>
      <c r="C79" s="16"/>
      <c r="D79" s="16"/>
      <c r="E79" s="16"/>
    </row>
    <row r="80" spans="1:5" ht="15.75">
      <c r="A80" s="17"/>
      <c r="B80" s="16"/>
      <c r="C80" s="16"/>
      <c r="D80" s="16"/>
      <c r="E80" s="16"/>
    </row>
    <row r="81" spans="1:5" ht="15.75">
      <c r="A81" s="17"/>
      <c r="B81" s="16"/>
      <c r="C81" s="16"/>
      <c r="D81" s="16"/>
      <c r="E81" s="16"/>
    </row>
    <row r="82" spans="1:5" ht="15.75">
      <c r="A82" s="17"/>
      <c r="B82" s="16"/>
      <c r="C82" s="16"/>
      <c r="D82" s="16"/>
      <c r="E82" s="16"/>
    </row>
    <row r="83" spans="1:5" ht="15.75">
      <c r="A83" s="17"/>
      <c r="B83" s="16"/>
      <c r="C83" s="16"/>
      <c r="D83" s="16"/>
      <c r="E83" s="16"/>
    </row>
    <row r="84" spans="1:5" ht="15.75">
      <c r="A84" s="17"/>
      <c r="B84" s="16"/>
      <c r="C84" s="16"/>
      <c r="D84" s="16"/>
      <c r="E84" s="16"/>
    </row>
    <row r="85" spans="1:5" ht="15.75">
      <c r="A85" s="17"/>
      <c r="B85" s="16"/>
      <c r="C85" s="16"/>
      <c r="D85" s="16"/>
      <c r="E85" s="16"/>
    </row>
    <row r="86" spans="1:5" ht="15.75">
      <c r="A86" s="17"/>
      <c r="B86" s="16"/>
      <c r="C86" s="16"/>
      <c r="D86" s="16"/>
      <c r="E86" s="16"/>
    </row>
    <row r="87" spans="1:5" ht="15.75">
      <c r="A87" s="17"/>
      <c r="B87" s="16"/>
      <c r="C87" s="16"/>
      <c r="D87" s="16"/>
      <c r="E87" s="16"/>
    </row>
    <row r="88" spans="1:5" ht="15.75">
      <c r="A88" s="17"/>
      <c r="B88" s="16"/>
      <c r="C88" s="16"/>
      <c r="D88" s="16"/>
      <c r="E88" s="16"/>
    </row>
    <row r="89" spans="1:5" ht="15.75">
      <c r="A89" s="17"/>
      <c r="B89" s="16"/>
      <c r="C89" s="16"/>
      <c r="D89" s="16"/>
      <c r="E89" s="16"/>
    </row>
    <row r="90" spans="1:5" ht="15.75">
      <c r="A90" s="17"/>
      <c r="B90" s="16"/>
      <c r="C90" s="16"/>
      <c r="D90" s="16"/>
      <c r="E90" s="16"/>
    </row>
    <row r="91" spans="1:5" ht="15.75">
      <c r="A91" s="17"/>
      <c r="B91" s="16"/>
      <c r="C91" s="16"/>
      <c r="D91" s="16"/>
      <c r="E91" s="16"/>
    </row>
    <row r="92" spans="1:5" ht="15.75">
      <c r="A92" s="17"/>
      <c r="B92" s="16"/>
      <c r="C92" s="16"/>
      <c r="D92" s="16"/>
      <c r="E92" s="16"/>
    </row>
    <row r="93" spans="1:5" ht="15.75">
      <c r="A93" s="17"/>
      <c r="B93" s="16"/>
      <c r="C93" s="16"/>
      <c r="D93" s="16"/>
      <c r="E93" s="16"/>
    </row>
    <row r="94" spans="1:5" ht="15.75">
      <c r="A94" s="17"/>
      <c r="B94" s="16"/>
      <c r="C94" s="16"/>
      <c r="D94" s="16"/>
      <c r="E94" s="16"/>
    </row>
    <row r="95" spans="1:5" ht="15.75">
      <c r="A95" s="17"/>
      <c r="B95" s="16"/>
      <c r="C95" s="16"/>
      <c r="D95" s="16"/>
      <c r="E95" s="16"/>
    </row>
    <row r="96" spans="1:5" ht="15.75">
      <c r="A96" s="17"/>
      <c r="B96" s="16"/>
      <c r="C96" s="16"/>
      <c r="D96" s="16"/>
      <c r="E96" s="16"/>
    </row>
    <row r="97" spans="1:5" ht="15.75">
      <c r="A97" s="17"/>
      <c r="B97" s="16"/>
      <c r="C97" s="16"/>
      <c r="D97" s="16"/>
      <c r="E97" s="16"/>
    </row>
    <row r="98" spans="1:5" ht="15.75">
      <c r="A98" s="17"/>
      <c r="B98" s="16"/>
      <c r="C98" s="16"/>
      <c r="D98" s="16"/>
      <c r="E98" s="16"/>
    </row>
    <row r="99" spans="1:5" ht="15.75">
      <c r="A99" s="17"/>
      <c r="B99" s="16"/>
      <c r="C99" s="16"/>
      <c r="D99" s="16"/>
      <c r="E99" s="16"/>
    </row>
    <row r="100" spans="1:5" ht="15.75">
      <c r="A100" s="17"/>
      <c r="B100" s="16"/>
      <c r="C100" s="16"/>
      <c r="D100" s="16"/>
      <c r="E100" s="16"/>
    </row>
    <row r="101" spans="1:5" ht="15.75">
      <c r="A101" s="17"/>
      <c r="B101" s="16"/>
      <c r="C101" s="16"/>
      <c r="D101" s="16"/>
      <c r="E101" s="16"/>
    </row>
    <row r="102" spans="1:5" ht="15.75">
      <c r="A102" s="17"/>
      <c r="B102" s="16"/>
      <c r="C102" s="16"/>
      <c r="D102" s="16"/>
      <c r="E102" s="16"/>
    </row>
    <row r="103" spans="1:5" ht="15.75">
      <c r="A103" s="17"/>
      <c r="B103" s="16"/>
      <c r="C103" s="16"/>
      <c r="D103" s="16"/>
      <c r="E103" s="16"/>
    </row>
    <row r="104" spans="1:5" ht="15.75">
      <c r="A104" s="17"/>
      <c r="B104" s="16"/>
      <c r="C104" s="16"/>
      <c r="D104" s="16"/>
      <c r="E104" s="16"/>
    </row>
    <row r="105" spans="1:5" ht="15.75">
      <c r="A105" s="17"/>
      <c r="B105" s="16"/>
      <c r="C105" s="16"/>
      <c r="D105" s="16"/>
      <c r="E105" s="16"/>
    </row>
    <row r="106" spans="1:5" ht="15.75">
      <c r="A106" s="17"/>
      <c r="B106" s="16"/>
      <c r="C106" s="16"/>
      <c r="D106" s="16"/>
      <c r="E106" s="16"/>
    </row>
    <row r="107" spans="1:5" ht="15.75">
      <c r="A107" s="17"/>
      <c r="B107" s="16"/>
      <c r="C107" s="16"/>
      <c r="D107" s="16"/>
      <c r="E107" s="16"/>
    </row>
    <row r="108" spans="1:5" ht="15.75">
      <c r="A108" s="17"/>
      <c r="B108" s="16"/>
      <c r="C108" s="16"/>
      <c r="D108" s="16"/>
      <c r="E108" s="16"/>
    </row>
    <row r="109" spans="1:5" ht="15.75">
      <c r="A109" s="17"/>
      <c r="B109" s="16"/>
      <c r="C109" s="16"/>
      <c r="D109" s="16"/>
      <c r="E109" s="16"/>
    </row>
    <row r="110" spans="1:5" ht="15.75">
      <c r="A110" s="17"/>
      <c r="B110" s="16"/>
      <c r="C110" s="16"/>
      <c r="D110" s="16"/>
      <c r="E110" s="16"/>
    </row>
    <row r="111" spans="1:5" ht="15.75">
      <c r="A111" s="17"/>
      <c r="B111" s="16"/>
      <c r="C111" s="16"/>
      <c r="D111" s="16"/>
      <c r="E111" s="16"/>
    </row>
    <row r="112" spans="1:5" ht="15.75">
      <c r="A112" s="17"/>
      <c r="B112" s="16"/>
      <c r="C112" s="16"/>
      <c r="D112" s="16"/>
      <c r="E112" s="16"/>
    </row>
    <row r="113" spans="1:5" ht="15.75">
      <c r="A113" s="17"/>
      <c r="B113" s="16"/>
      <c r="C113" s="16"/>
      <c r="D113" s="16"/>
      <c r="E113" s="16"/>
    </row>
    <row r="114" spans="1:5" ht="15.75">
      <c r="A114" s="17"/>
      <c r="B114" s="16"/>
      <c r="C114" s="16"/>
      <c r="D114" s="16"/>
      <c r="E114" s="16"/>
    </row>
    <row r="115" spans="1:5" ht="15.75">
      <c r="A115" s="17"/>
      <c r="B115" s="16"/>
      <c r="C115" s="16"/>
      <c r="D115" s="16"/>
      <c r="E115" s="16"/>
    </row>
    <row r="116" spans="1:5" ht="15.75">
      <c r="A116" s="17"/>
      <c r="B116" s="16"/>
      <c r="C116" s="16"/>
      <c r="D116" s="16"/>
      <c r="E116" s="16"/>
    </row>
    <row r="117" spans="1:5" ht="15.75">
      <c r="A117" s="17"/>
      <c r="B117" s="16"/>
      <c r="C117" s="16"/>
      <c r="D117" s="16"/>
      <c r="E117" s="16"/>
    </row>
    <row r="118" spans="1:5" ht="15.75">
      <c r="A118" s="17"/>
      <c r="B118" s="16"/>
      <c r="C118" s="16"/>
      <c r="D118" s="16"/>
      <c r="E118" s="16"/>
    </row>
    <row r="119" spans="1:5" ht="15.75">
      <c r="A119" s="17"/>
      <c r="B119" s="16"/>
      <c r="C119" s="16"/>
      <c r="D119" s="16"/>
      <c r="E119" s="16"/>
    </row>
    <row r="120" spans="1:5" ht="15.75">
      <c r="A120" s="17"/>
      <c r="B120" s="16"/>
      <c r="C120" s="16"/>
      <c r="D120" s="16"/>
      <c r="E120" s="16"/>
    </row>
    <row r="121" spans="1:5" ht="15.75">
      <c r="A121" s="17"/>
      <c r="B121" s="16"/>
      <c r="C121" s="16"/>
      <c r="D121" s="16"/>
      <c r="E121" s="16"/>
    </row>
    <row r="122" spans="1:5" ht="15.75">
      <c r="A122" s="17"/>
      <c r="B122" s="16"/>
      <c r="C122" s="16"/>
      <c r="D122" s="16"/>
      <c r="E122" s="16"/>
    </row>
    <row r="123" spans="1:5" ht="15.75">
      <c r="A123" s="17"/>
      <c r="B123" s="16"/>
      <c r="C123" s="16"/>
      <c r="D123" s="16"/>
      <c r="E123" s="16"/>
    </row>
    <row r="124" spans="1:5" ht="15.75">
      <c r="A124" s="17"/>
      <c r="B124" s="16"/>
      <c r="C124" s="16"/>
      <c r="D124" s="16"/>
      <c r="E124" s="16"/>
    </row>
    <row r="125" spans="1:5" ht="15.75">
      <c r="A125" s="17"/>
      <c r="B125" s="16"/>
      <c r="C125" s="16"/>
      <c r="D125" s="16"/>
      <c r="E125" s="16"/>
    </row>
    <row r="126" spans="1:5" ht="15.75">
      <c r="A126" s="17"/>
      <c r="B126" s="16"/>
      <c r="C126" s="16"/>
      <c r="D126" s="16"/>
      <c r="E126" s="16"/>
    </row>
    <row r="127" spans="1:5" ht="15.75">
      <c r="A127" s="17"/>
      <c r="B127" s="16"/>
      <c r="C127" s="16"/>
      <c r="D127" s="16"/>
      <c r="E127" s="16"/>
    </row>
    <row r="128" spans="1:5" ht="15.75">
      <c r="A128" s="17"/>
      <c r="B128" s="16"/>
      <c r="C128" s="16"/>
      <c r="D128" s="16"/>
      <c r="E128" s="16"/>
    </row>
    <row r="129" spans="1:5" ht="15.75">
      <c r="A129" s="17"/>
      <c r="B129" s="16"/>
      <c r="C129" s="16"/>
      <c r="D129" s="16"/>
      <c r="E129" s="16"/>
    </row>
    <row r="130" spans="1:5" ht="15.75">
      <c r="A130" s="17"/>
      <c r="B130" s="16"/>
      <c r="C130" s="16"/>
      <c r="D130" s="16"/>
      <c r="E130" s="16"/>
    </row>
    <row r="131" spans="1:5" ht="15.75">
      <c r="A131" s="17"/>
      <c r="B131" s="16"/>
      <c r="C131" s="16"/>
      <c r="D131" s="16"/>
      <c r="E131" s="16"/>
    </row>
    <row r="132" spans="1:5" ht="15.75">
      <c r="A132" s="17"/>
      <c r="B132" s="16"/>
      <c r="C132" s="16"/>
      <c r="D132" s="16"/>
      <c r="E132" s="16"/>
    </row>
    <row r="133" spans="1:5" ht="15.75">
      <c r="A133" s="17"/>
      <c r="B133" s="16"/>
      <c r="C133" s="16"/>
      <c r="D133" s="16"/>
      <c r="E133" s="16"/>
    </row>
    <row r="134" spans="1:5" ht="15.75">
      <c r="A134" s="17"/>
      <c r="B134" s="16"/>
      <c r="C134" s="16"/>
      <c r="D134" s="16"/>
      <c r="E134" s="16"/>
    </row>
    <row r="135" spans="1:5" ht="15.75">
      <c r="A135" s="17"/>
      <c r="B135" s="16"/>
      <c r="C135" s="16"/>
      <c r="D135" s="16"/>
      <c r="E135" s="16"/>
    </row>
    <row r="136" spans="1:5" ht="15.75">
      <c r="A136" s="17"/>
      <c r="B136" s="16"/>
      <c r="C136" s="16"/>
      <c r="D136" s="16"/>
      <c r="E136" s="16"/>
    </row>
    <row r="137" spans="1:5" ht="15.75">
      <c r="A137" s="17"/>
      <c r="B137" s="16"/>
      <c r="C137" s="16"/>
      <c r="D137" s="16"/>
      <c r="E137" s="16"/>
    </row>
    <row r="138" spans="1:5" ht="15.75">
      <c r="A138" s="17"/>
      <c r="B138" s="16"/>
      <c r="C138" s="16"/>
      <c r="D138" s="16"/>
      <c r="E138" s="16"/>
    </row>
    <row r="139" spans="1:5" ht="15.75">
      <c r="A139" s="17"/>
      <c r="B139" s="16"/>
      <c r="C139" s="16"/>
      <c r="D139" s="16"/>
      <c r="E139" s="16"/>
    </row>
    <row r="140" spans="1:5" ht="15.75">
      <c r="A140" s="17"/>
      <c r="B140" s="16"/>
      <c r="C140" s="16"/>
      <c r="D140" s="16"/>
      <c r="E140" s="16"/>
    </row>
    <row r="141" spans="1:5" ht="15.75">
      <c r="A141" s="17"/>
      <c r="B141" s="16"/>
      <c r="C141" s="16"/>
      <c r="D141" s="16"/>
      <c r="E141" s="16"/>
    </row>
    <row r="142" spans="1:5" ht="15.75">
      <c r="A142" s="17"/>
      <c r="B142" s="16"/>
      <c r="C142" s="16"/>
      <c r="D142" s="16"/>
      <c r="E142" s="16"/>
    </row>
    <row r="143" spans="1:5" ht="15.75">
      <c r="A143" s="17"/>
      <c r="B143" s="16"/>
      <c r="C143" s="16"/>
      <c r="D143" s="16"/>
      <c r="E143" s="16"/>
    </row>
    <row r="144" spans="1:5" ht="15.75">
      <c r="A144" s="17"/>
      <c r="B144" s="16"/>
      <c r="C144" s="16"/>
      <c r="D144" s="16"/>
      <c r="E144" s="16"/>
    </row>
    <row r="145" spans="1:5" ht="15.75">
      <c r="A145" s="17"/>
      <c r="B145" s="16"/>
      <c r="C145" s="16"/>
      <c r="D145" s="16"/>
      <c r="E145" s="16"/>
    </row>
    <row r="146" spans="1:5" ht="15.75">
      <c r="A146" s="17"/>
      <c r="B146" s="16"/>
      <c r="C146" s="16"/>
      <c r="D146" s="16"/>
      <c r="E146" s="16"/>
    </row>
    <row r="147" spans="1:5" ht="15.75">
      <c r="A147" s="17"/>
      <c r="B147" s="16"/>
      <c r="C147" s="16"/>
      <c r="D147" s="16"/>
      <c r="E147" s="16"/>
    </row>
    <row r="148" spans="1:5" ht="15.75">
      <c r="A148" s="17"/>
      <c r="B148" s="16"/>
      <c r="C148" s="16"/>
      <c r="D148" s="16"/>
      <c r="E148" s="16"/>
    </row>
    <row r="149" spans="1:5" ht="15.75">
      <c r="A149" s="17"/>
      <c r="B149" s="16"/>
      <c r="C149" s="16"/>
      <c r="D149" s="16"/>
      <c r="E149" s="16"/>
    </row>
    <row r="150" spans="1:5" ht="15.75">
      <c r="A150" s="17"/>
      <c r="B150" s="16"/>
      <c r="C150" s="16"/>
      <c r="D150" s="16"/>
      <c r="E150" s="16"/>
    </row>
    <row r="151" spans="1:5" ht="15.75">
      <c r="A151" s="17"/>
      <c r="B151" s="16"/>
      <c r="C151" s="16"/>
      <c r="D151" s="16"/>
      <c r="E151" s="16"/>
    </row>
    <row r="152" spans="1:5" ht="15.75">
      <c r="A152" s="17"/>
      <c r="B152" s="16"/>
      <c r="C152" s="16"/>
      <c r="D152" s="16"/>
      <c r="E152" s="16"/>
    </row>
  </sheetData>
  <sheetProtection/>
  <mergeCells count="10">
    <mergeCell ref="A1:J1"/>
    <mergeCell ref="A2:J2"/>
    <mergeCell ref="A3:J3"/>
    <mergeCell ref="A4:J4"/>
    <mergeCell ref="A19:J19"/>
    <mergeCell ref="A7:E7"/>
    <mergeCell ref="F7:J7"/>
    <mergeCell ref="A8:J8"/>
    <mergeCell ref="B9:E9"/>
    <mergeCell ref="G9:J9"/>
  </mergeCells>
  <printOptions horizontalCentered="1"/>
  <pageMargins left="0.7874015748031497" right="0.7874015748031497" top="0" bottom="0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9.125" style="2" customWidth="1"/>
    <col min="2" max="2" width="53.375" style="44" customWidth="1"/>
    <col min="3" max="3" width="14.25390625" style="214" bestFit="1" customWidth="1"/>
    <col min="4" max="4" width="13.625" style="2" customWidth="1"/>
    <col min="5" max="5" width="10.375" style="2" customWidth="1"/>
    <col min="6" max="6" width="13.875" style="2" customWidth="1"/>
    <col min="7" max="7" width="21.625" style="252" bestFit="1" customWidth="1"/>
    <col min="8" max="16384" width="9.125" style="2" customWidth="1"/>
  </cols>
  <sheetData>
    <row r="1" spans="1:6" ht="15.75">
      <c r="A1" s="330" t="s">
        <v>551</v>
      </c>
      <c r="B1" s="330"/>
      <c r="C1" s="330"/>
      <c r="D1" s="330"/>
      <c r="E1" s="330"/>
      <c r="F1" s="330"/>
    </row>
    <row r="2" spans="2:3" ht="15.75">
      <c r="B2" s="330"/>
      <c r="C2" s="330"/>
    </row>
    <row r="3" spans="1:6" ht="15.75">
      <c r="A3" s="331" t="s">
        <v>11</v>
      </c>
      <c r="B3" s="331"/>
      <c r="C3" s="331"/>
      <c r="D3" s="331"/>
      <c r="E3" s="331"/>
      <c r="F3" s="331"/>
    </row>
    <row r="4" spans="1:6" ht="15.75">
      <c r="A4" s="331" t="s">
        <v>12</v>
      </c>
      <c r="B4" s="331"/>
      <c r="C4" s="331"/>
      <c r="D4" s="331"/>
      <c r="E4" s="331"/>
      <c r="F4" s="331"/>
    </row>
    <row r="5" spans="1:6" ht="15.75">
      <c r="A5" s="331" t="s">
        <v>443</v>
      </c>
      <c r="B5" s="331"/>
      <c r="C5" s="331"/>
      <c r="D5" s="331"/>
      <c r="E5" s="331"/>
      <c r="F5" s="331"/>
    </row>
    <row r="6" spans="2:6" ht="15.75">
      <c r="B6" s="51"/>
      <c r="C6" s="273"/>
      <c r="D6" s="274"/>
      <c r="E6" s="274"/>
      <c r="F6" s="274"/>
    </row>
    <row r="7" spans="2:6" ht="15.75">
      <c r="B7" s="56"/>
      <c r="C7" s="275"/>
      <c r="D7" s="276"/>
      <c r="E7" s="276"/>
      <c r="F7" s="275" t="s">
        <v>342</v>
      </c>
    </row>
    <row r="8" spans="1:6" ht="17.25" customHeight="1">
      <c r="A8" s="328" t="s">
        <v>239</v>
      </c>
      <c r="B8" s="46" t="s">
        <v>15</v>
      </c>
      <c r="C8" s="332" t="s">
        <v>33</v>
      </c>
      <c r="D8" s="332"/>
      <c r="E8" s="332"/>
      <c r="F8" s="333" t="s">
        <v>17</v>
      </c>
    </row>
    <row r="9" spans="1:6" ht="31.5">
      <c r="A9" s="329"/>
      <c r="B9" s="46" t="s">
        <v>36</v>
      </c>
      <c r="C9" s="277" t="s">
        <v>34</v>
      </c>
      <c r="D9" s="278" t="s">
        <v>35</v>
      </c>
      <c r="E9" s="278" t="s">
        <v>190</v>
      </c>
      <c r="F9" s="333"/>
    </row>
    <row r="10" spans="1:6" ht="15.75">
      <c r="A10" s="116" t="s">
        <v>143</v>
      </c>
      <c r="B10" s="119" t="s">
        <v>43</v>
      </c>
      <c r="C10" s="271">
        <v>368268814</v>
      </c>
      <c r="D10" s="271">
        <v>0</v>
      </c>
      <c r="E10" s="271">
        <v>0</v>
      </c>
      <c r="F10" s="271">
        <f aca="true" t="shared" si="0" ref="F10:F15">SUM(C10:E10)</f>
        <v>368268814</v>
      </c>
    </row>
    <row r="11" spans="1:6" ht="31.5">
      <c r="A11" s="116" t="s">
        <v>144</v>
      </c>
      <c r="B11" s="119" t="s">
        <v>44</v>
      </c>
      <c r="C11" s="271">
        <v>655637130</v>
      </c>
      <c r="D11" s="271">
        <v>0</v>
      </c>
      <c r="E11" s="271">
        <v>0</v>
      </c>
      <c r="F11" s="271">
        <f t="shared" si="0"/>
        <v>655637130</v>
      </c>
    </row>
    <row r="12" spans="1:6" ht="31.5">
      <c r="A12" s="116" t="s">
        <v>145</v>
      </c>
      <c r="B12" s="119" t="s">
        <v>202</v>
      </c>
      <c r="C12" s="271">
        <v>920425144</v>
      </c>
      <c r="D12" s="271">
        <v>0</v>
      </c>
      <c r="E12" s="271">
        <v>0</v>
      </c>
      <c r="F12" s="271">
        <f t="shared" si="0"/>
        <v>920425144</v>
      </c>
    </row>
    <row r="13" spans="1:6" ht="31.5">
      <c r="A13" s="116" t="s">
        <v>146</v>
      </c>
      <c r="B13" s="119" t="s">
        <v>45</v>
      </c>
      <c r="C13" s="271">
        <v>79814159</v>
      </c>
      <c r="D13" s="271">
        <v>0</v>
      </c>
      <c r="E13" s="271">
        <v>0</v>
      </c>
      <c r="F13" s="271">
        <f t="shared" si="0"/>
        <v>79814159</v>
      </c>
    </row>
    <row r="14" spans="1:6" ht="31.5">
      <c r="A14" s="116" t="s">
        <v>147</v>
      </c>
      <c r="B14" s="119" t="s">
        <v>203</v>
      </c>
      <c r="C14" s="271">
        <v>0</v>
      </c>
      <c r="D14" s="271">
        <v>0</v>
      </c>
      <c r="E14" s="271">
        <v>0</v>
      </c>
      <c r="F14" s="271">
        <f t="shared" si="0"/>
        <v>0</v>
      </c>
    </row>
    <row r="15" spans="1:6" ht="15.75">
      <c r="A15" s="116" t="s">
        <v>148</v>
      </c>
      <c r="B15" s="119" t="s">
        <v>204</v>
      </c>
      <c r="C15" s="271">
        <v>0</v>
      </c>
      <c r="D15" s="271">
        <v>0</v>
      </c>
      <c r="E15" s="271">
        <v>0</v>
      </c>
      <c r="F15" s="271">
        <f t="shared" si="0"/>
        <v>0</v>
      </c>
    </row>
    <row r="16" spans="1:6" ht="15.75">
      <c r="A16" s="116" t="s">
        <v>150</v>
      </c>
      <c r="B16" s="119" t="s">
        <v>205</v>
      </c>
      <c r="C16" s="271">
        <f>SUM(C10:C15)</f>
        <v>2024145247</v>
      </c>
      <c r="D16" s="271">
        <f>SUM(D10:D15)</f>
        <v>0</v>
      </c>
      <c r="E16" s="271">
        <f>SUM(E10:E15)</f>
        <v>0</v>
      </c>
      <c r="F16" s="271">
        <f>SUM(F10:F15)</f>
        <v>2024145247</v>
      </c>
    </row>
    <row r="17" spans="1:6" ht="15.75">
      <c r="A17" s="116" t="s">
        <v>152</v>
      </c>
      <c r="B17" s="119" t="s">
        <v>206</v>
      </c>
      <c r="C17" s="271">
        <v>0</v>
      </c>
      <c r="D17" s="271">
        <v>0</v>
      </c>
      <c r="E17" s="271">
        <v>0</v>
      </c>
      <c r="F17" s="271">
        <f>SUM(C17:E17)</f>
        <v>0</v>
      </c>
    </row>
    <row r="18" spans="1:6" ht="31.5">
      <c r="A18" s="116" t="s">
        <v>154</v>
      </c>
      <c r="B18" s="119" t="s">
        <v>207</v>
      </c>
      <c r="C18" s="271">
        <v>0</v>
      </c>
      <c r="D18" s="271">
        <v>0</v>
      </c>
      <c r="E18" s="271">
        <v>0</v>
      </c>
      <c r="F18" s="271">
        <f>SUM(C18:E18)</f>
        <v>0</v>
      </c>
    </row>
    <row r="19" spans="1:6" ht="31.5">
      <c r="A19" s="116" t="s">
        <v>156</v>
      </c>
      <c r="B19" s="119" t="s">
        <v>208</v>
      </c>
      <c r="C19" s="271">
        <v>0</v>
      </c>
      <c r="D19" s="271">
        <v>0</v>
      </c>
      <c r="E19" s="271">
        <v>0</v>
      </c>
      <c r="F19" s="271">
        <f>SUM(C19:E19)</f>
        <v>0</v>
      </c>
    </row>
    <row r="20" spans="1:6" ht="31.5">
      <c r="A20" s="116" t="s">
        <v>157</v>
      </c>
      <c r="B20" s="119" t="s">
        <v>209</v>
      </c>
      <c r="C20" s="271">
        <v>0</v>
      </c>
      <c r="D20" s="271">
        <v>0</v>
      </c>
      <c r="E20" s="271">
        <v>0</v>
      </c>
      <c r="F20" s="271">
        <f>SUM(C20:E20)</f>
        <v>0</v>
      </c>
    </row>
    <row r="21" spans="1:6" ht="31.5">
      <c r="A21" s="116" t="s">
        <v>240</v>
      </c>
      <c r="B21" s="119" t="s">
        <v>69</v>
      </c>
      <c r="C21" s="271">
        <f>188195496-6480000</f>
        <v>181715496</v>
      </c>
      <c r="D21" s="271">
        <v>6480000</v>
      </c>
      <c r="E21" s="271">
        <v>0</v>
      </c>
      <c r="F21" s="271">
        <f>SUM(C21:E21)</f>
        <v>188195496</v>
      </c>
    </row>
    <row r="22" spans="1:6" ht="31.5">
      <c r="A22" s="117" t="s">
        <v>241</v>
      </c>
      <c r="B22" s="52" t="s">
        <v>210</v>
      </c>
      <c r="C22" s="272">
        <f>SUM(C16:C21)</f>
        <v>2205860743</v>
      </c>
      <c r="D22" s="272">
        <f>SUM(D16:D21)</f>
        <v>6480000</v>
      </c>
      <c r="E22" s="272">
        <f>SUM(E16:E21)</f>
        <v>0</v>
      </c>
      <c r="F22" s="272">
        <f>SUM(F16:F21)</f>
        <v>2212340743</v>
      </c>
    </row>
    <row r="23" spans="1:6" ht="15.75">
      <c r="A23" s="116" t="s">
        <v>242</v>
      </c>
      <c r="B23" s="119" t="s">
        <v>46</v>
      </c>
      <c r="C23" s="271">
        <v>1281731499</v>
      </c>
      <c r="D23" s="271">
        <v>0</v>
      </c>
      <c r="E23" s="271">
        <v>0</v>
      </c>
      <c r="F23" s="271">
        <f>SUM(C23:E23)</f>
        <v>1281731499</v>
      </c>
    </row>
    <row r="24" spans="1:6" ht="31.5">
      <c r="A24" s="116" t="s">
        <v>243</v>
      </c>
      <c r="B24" s="119" t="s">
        <v>211</v>
      </c>
      <c r="C24" s="271">
        <v>0</v>
      </c>
      <c r="D24" s="271">
        <v>0</v>
      </c>
      <c r="E24" s="271">
        <v>0</v>
      </c>
      <c r="F24" s="271">
        <f>SUM(C24:E24)</f>
        <v>0</v>
      </c>
    </row>
    <row r="25" spans="1:6" ht="31.5">
      <c r="A25" s="116" t="s">
        <v>244</v>
      </c>
      <c r="B25" s="119" t="s">
        <v>212</v>
      </c>
      <c r="C25" s="271">
        <v>0</v>
      </c>
      <c r="D25" s="271">
        <v>0</v>
      </c>
      <c r="E25" s="271">
        <v>0</v>
      </c>
      <c r="F25" s="271">
        <f>SUM(C25:E25)</f>
        <v>0</v>
      </c>
    </row>
    <row r="26" spans="1:6" ht="31.5">
      <c r="A26" s="116" t="s">
        <v>245</v>
      </c>
      <c r="B26" s="119" t="s">
        <v>213</v>
      </c>
      <c r="C26" s="271">
        <v>0</v>
      </c>
      <c r="D26" s="271">
        <v>0</v>
      </c>
      <c r="E26" s="271">
        <v>0</v>
      </c>
      <c r="F26" s="271">
        <f>SUM(C26:E26)</f>
        <v>0</v>
      </c>
    </row>
    <row r="27" spans="1:6" ht="31.5">
      <c r="A27" s="116" t="s">
        <v>246</v>
      </c>
      <c r="B27" s="119" t="s">
        <v>47</v>
      </c>
      <c r="C27" s="271"/>
      <c r="D27" s="271">
        <v>0</v>
      </c>
      <c r="E27" s="271">
        <v>0</v>
      </c>
      <c r="F27" s="271">
        <f>SUM(C27:E27)</f>
        <v>0</v>
      </c>
    </row>
    <row r="28" spans="1:6" ht="31.5">
      <c r="A28" s="117" t="s">
        <v>247</v>
      </c>
      <c r="B28" s="52" t="s">
        <v>214</v>
      </c>
      <c r="C28" s="279">
        <f>SUM(C23:C27)</f>
        <v>1281731499</v>
      </c>
      <c r="D28" s="279">
        <f>SUM(D23:D27)</f>
        <v>0</v>
      </c>
      <c r="E28" s="279">
        <f>SUM(E23:E27)</f>
        <v>0</v>
      </c>
      <c r="F28" s="279">
        <f>SUM(F23:F27)</f>
        <v>1281731499</v>
      </c>
    </row>
    <row r="29" spans="1:6" ht="15.75">
      <c r="A29" s="116" t="s">
        <v>248</v>
      </c>
      <c r="B29" s="119" t="s">
        <v>215</v>
      </c>
      <c r="C29" s="271">
        <v>0</v>
      </c>
      <c r="D29" s="271">
        <v>0</v>
      </c>
      <c r="E29" s="271">
        <v>0</v>
      </c>
      <c r="F29" s="271">
        <f>SUM(C29:E29)</f>
        <v>0</v>
      </c>
    </row>
    <row r="30" spans="1:6" ht="15.75">
      <c r="A30" s="116" t="s">
        <v>249</v>
      </c>
      <c r="B30" s="119" t="s">
        <v>216</v>
      </c>
      <c r="C30" s="271">
        <v>0</v>
      </c>
      <c r="D30" s="271">
        <v>0</v>
      </c>
      <c r="E30" s="271">
        <v>0</v>
      </c>
      <c r="F30" s="271">
        <f aca="true" t="shared" si="1" ref="F30:F41">SUM(C30:E30)</f>
        <v>0</v>
      </c>
    </row>
    <row r="31" spans="1:6" ht="15.75">
      <c r="A31" s="116" t="s">
        <v>250</v>
      </c>
      <c r="B31" s="119" t="s">
        <v>217</v>
      </c>
      <c r="C31" s="271">
        <f>SUM(C29:C30)</f>
        <v>0</v>
      </c>
      <c r="D31" s="271">
        <f>SUM(D29:D30)</f>
        <v>0</v>
      </c>
      <c r="E31" s="271">
        <f>SUM(E29:E30)</f>
        <v>0</v>
      </c>
      <c r="F31" s="271">
        <f>SUM(F29:F30)</f>
        <v>0</v>
      </c>
    </row>
    <row r="32" spans="1:6" ht="15.75">
      <c r="A32" s="116" t="s">
        <v>251</v>
      </c>
      <c r="B32" s="119" t="s">
        <v>218</v>
      </c>
      <c r="C32" s="271">
        <v>0</v>
      </c>
      <c r="D32" s="271">
        <v>0</v>
      </c>
      <c r="E32" s="271">
        <v>0</v>
      </c>
      <c r="F32" s="271">
        <f t="shared" si="1"/>
        <v>0</v>
      </c>
    </row>
    <row r="33" spans="1:6" ht="15.75">
      <c r="A33" s="116" t="s">
        <v>252</v>
      </c>
      <c r="B33" s="119" t="s">
        <v>219</v>
      </c>
      <c r="C33" s="271">
        <v>0</v>
      </c>
      <c r="D33" s="271">
        <v>0</v>
      </c>
      <c r="E33" s="271">
        <v>0</v>
      </c>
      <c r="F33" s="271">
        <f t="shared" si="1"/>
        <v>0</v>
      </c>
    </row>
    <row r="34" spans="1:6" ht="15.75">
      <c r="A34" s="116" t="s">
        <v>253</v>
      </c>
      <c r="B34" s="119" t="s">
        <v>220</v>
      </c>
      <c r="C34" s="271">
        <v>357000000</v>
      </c>
      <c r="D34" s="271">
        <v>0</v>
      </c>
      <c r="E34" s="271">
        <v>0</v>
      </c>
      <c r="F34" s="271">
        <f t="shared" si="1"/>
        <v>357000000</v>
      </c>
    </row>
    <row r="35" spans="1:6" ht="15.75">
      <c r="A35" s="116" t="s">
        <v>254</v>
      </c>
      <c r="B35" s="119" t="s">
        <v>221</v>
      </c>
      <c r="C35" s="271">
        <f>1945000000+160000000</f>
        <v>2105000000</v>
      </c>
      <c r="D35" s="271">
        <v>0</v>
      </c>
      <c r="E35" s="271">
        <v>0</v>
      </c>
      <c r="F35" s="271">
        <f t="shared" si="1"/>
        <v>2105000000</v>
      </c>
    </row>
    <row r="36" spans="1:6" ht="15.75">
      <c r="A36" s="116" t="s">
        <v>255</v>
      </c>
      <c r="B36" s="119" t="s">
        <v>222</v>
      </c>
      <c r="C36" s="271">
        <v>0</v>
      </c>
      <c r="D36" s="271">
        <v>0</v>
      </c>
      <c r="E36" s="271">
        <v>0</v>
      </c>
      <c r="F36" s="271">
        <f t="shared" si="1"/>
        <v>0</v>
      </c>
    </row>
    <row r="37" spans="1:6" ht="15.75">
      <c r="A37" s="116" t="s">
        <v>256</v>
      </c>
      <c r="B37" s="119" t="s">
        <v>223</v>
      </c>
      <c r="C37" s="271">
        <v>0</v>
      </c>
      <c r="D37" s="271">
        <v>0</v>
      </c>
      <c r="E37" s="271">
        <v>0</v>
      </c>
      <c r="F37" s="271">
        <f t="shared" si="1"/>
        <v>0</v>
      </c>
    </row>
    <row r="38" spans="1:6" ht="15.75">
      <c r="A38" s="116" t="s">
        <v>257</v>
      </c>
      <c r="B38" s="119" t="s">
        <v>224</v>
      </c>
      <c r="C38" s="271">
        <v>128000000</v>
      </c>
      <c r="D38" s="271">
        <v>0</v>
      </c>
      <c r="E38" s="271">
        <v>0</v>
      </c>
      <c r="F38" s="271">
        <f t="shared" si="1"/>
        <v>128000000</v>
      </c>
    </row>
    <row r="39" spans="1:6" ht="15.75">
      <c r="A39" s="116" t="s">
        <v>258</v>
      </c>
      <c r="B39" s="119" t="s">
        <v>225</v>
      </c>
      <c r="C39" s="271">
        <v>22000000</v>
      </c>
      <c r="D39" s="271">
        <v>0</v>
      </c>
      <c r="E39" s="271">
        <v>0</v>
      </c>
      <c r="F39" s="271">
        <f t="shared" si="1"/>
        <v>22000000</v>
      </c>
    </row>
    <row r="40" spans="1:6" ht="15.75">
      <c r="A40" s="116" t="s">
        <v>259</v>
      </c>
      <c r="B40" s="119" t="s">
        <v>226</v>
      </c>
      <c r="C40" s="271"/>
      <c r="D40" s="271">
        <f>SUM(D35:D39)</f>
        <v>0</v>
      </c>
      <c r="E40" s="271">
        <f>SUM(E35:E39)</f>
        <v>0</v>
      </c>
      <c r="F40" s="271">
        <f>SUM(F35:F39)</f>
        <v>2255000000</v>
      </c>
    </row>
    <row r="41" spans="1:6" ht="15.75">
      <c r="A41" s="116" t="s">
        <v>260</v>
      </c>
      <c r="B41" s="119" t="s">
        <v>84</v>
      </c>
      <c r="C41" s="271">
        <v>18300000</v>
      </c>
      <c r="D41" s="271"/>
      <c r="E41" s="271">
        <v>0</v>
      </c>
      <c r="F41" s="271">
        <f t="shared" si="1"/>
        <v>18300000</v>
      </c>
    </row>
    <row r="42" spans="1:6" ht="15.75">
      <c r="A42" s="117" t="s">
        <v>261</v>
      </c>
      <c r="B42" s="52" t="s">
        <v>227</v>
      </c>
      <c r="C42" s="272">
        <f>C31+C32+C33+C34+C40+C41+C35+C39+C38</f>
        <v>2630300000</v>
      </c>
      <c r="D42" s="272">
        <f>D31+D32+D33+D34+D40+D41</f>
        <v>0</v>
      </c>
      <c r="E42" s="272">
        <f>E31+E32+E33+E34+E40+E41</f>
        <v>0</v>
      </c>
      <c r="F42" s="272">
        <f>F31+F32+F33+F34+F40+F41</f>
        <v>2630300000</v>
      </c>
    </row>
    <row r="43" spans="1:6" ht="15.75">
      <c r="A43" s="116" t="s">
        <v>262</v>
      </c>
      <c r="B43" s="119" t="s">
        <v>193</v>
      </c>
      <c r="C43" s="271">
        <v>0</v>
      </c>
      <c r="D43" s="271">
        <v>0</v>
      </c>
      <c r="E43" s="271">
        <v>0</v>
      </c>
      <c r="F43" s="271">
        <f>SUM(C43:E43)</f>
        <v>0</v>
      </c>
    </row>
    <row r="44" spans="1:6" ht="15.75">
      <c r="A44" s="116" t="s">
        <v>263</v>
      </c>
      <c r="B44" s="119" t="s">
        <v>48</v>
      </c>
      <c r="C44" s="271">
        <v>0</v>
      </c>
      <c r="D44" s="271">
        <v>0</v>
      </c>
      <c r="E44" s="271">
        <v>0</v>
      </c>
      <c r="F44" s="271">
        <f aca="true" t="shared" si="2" ref="F44:F57">SUM(C44:E44)</f>
        <v>0</v>
      </c>
    </row>
    <row r="45" spans="1:6" ht="15.75">
      <c r="A45" s="116" t="s">
        <v>264</v>
      </c>
      <c r="B45" s="119" t="s">
        <v>194</v>
      </c>
      <c r="C45" s="271">
        <v>0</v>
      </c>
      <c r="D45" s="271">
        <v>0</v>
      </c>
      <c r="E45" s="271">
        <v>0</v>
      </c>
      <c r="F45" s="271">
        <f t="shared" si="2"/>
        <v>0</v>
      </c>
    </row>
    <row r="46" spans="1:6" ht="15.75">
      <c r="A46" s="116" t="s">
        <v>265</v>
      </c>
      <c r="B46" s="119" t="s">
        <v>49</v>
      </c>
      <c r="C46" s="271">
        <v>0</v>
      </c>
      <c r="D46" s="271">
        <v>0</v>
      </c>
      <c r="E46" s="271">
        <v>0</v>
      </c>
      <c r="F46" s="271">
        <f t="shared" si="2"/>
        <v>0</v>
      </c>
    </row>
    <row r="47" spans="1:6" ht="15.75">
      <c r="A47" s="116" t="s">
        <v>266</v>
      </c>
      <c r="B47" s="119" t="s">
        <v>50</v>
      </c>
      <c r="C47" s="271">
        <v>0</v>
      </c>
      <c r="D47" s="271">
        <v>0</v>
      </c>
      <c r="E47" s="271">
        <v>0</v>
      </c>
      <c r="F47" s="271">
        <f t="shared" si="2"/>
        <v>0</v>
      </c>
    </row>
    <row r="48" spans="1:6" ht="15.75">
      <c r="A48" s="116" t="s">
        <v>267</v>
      </c>
      <c r="B48" s="119" t="s">
        <v>51</v>
      </c>
      <c r="C48" s="271">
        <v>0</v>
      </c>
      <c r="D48" s="271">
        <v>0</v>
      </c>
      <c r="E48" s="271">
        <v>0</v>
      </c>
      <c r="F48" s="271">
        <f t="shared" si="2"/>
        <v>0</v>
      </c>
    </row>
    <row r="49" spans="1:6" ht="15.75">
      <c r="A49" s="116" t="s">
        <v>268</v>
      </c>
      <c r="B49" s="119" t="s">
        <v>52</v>
      </c>
      <c r="C49" s="271">
        <v>0</v>
      </c>
      <c r="D49" s="271">
        <v>0</v>
      </c>
      <c r="E49" s="271">
        <v>0</v>
      </c>
      <c r="F49" s="271">
        <f t="shared" si="2"/>
        <v>0</v>
      </c>
    </row>
    <row r="50" spans="1:6" ht="15.75">
      <c r="A50" s="116" t="s">
        <v>269</v>
      </c>
      <c r="B50" s="119" t="s">
        <v>195</v>
      </c>
      <c r="C50" s="271">
        <v>0</v>
      </c>
      <c r="D50" s="271">
        <v>0</v>
      </c>
      <c r="E50" s="271">
        <v>0</v>
      </c>
      <c r="F50" s="271">
        <f t="shared" si="2"/>
        <v>0</v>
      </c>
    </row>
    <row r="51" spans="1:6" ht="15.75">
      <c r="A51" s="116" t="s">
        <v>270</v>
      </c>
      <c r="B51" s="119" t="s">
        <v>196</v>
      </c>
      <c r="C51" s="271">
        <v>0</v>
      </c>
      <c r="D51" s="271">
        <v>0</v>
      </c>
      <c r="E51" s="271">
        <v>0</v>
      </c>
      <c r="F51" s="271">
        <f t="shared" si="2"/>
        <v>0</v>
      </c>
    </row>
    <row r="52" spans="1:6" ht="31.5">
      <c r="A52" s="116" t="s">
        <v>271</v>
      </c>
      <c r="B52" s="119" t="s">
        <v>197</v>
      </c>
      <c r="C52" s="271">
        <f>SUM(C50:C51)</f>
        <v>0</v>
      </c>
      <c r="D52" s="271">
        <f>SUM(D50:D51)</f>
        <v>0</v>
      </c>
      <c r="E52" s="271">
        <f>SUM(E50:E51)</f>
        <v>0</v>
      </c>
      <c r="F52" s="271">
        <f>SUM(F50:F51)</f>
        <v>0</v>
      </c>
    </row>
    <row r="53" spans="1:6" ht="15.75">
      <c r="A53" s="116" t="s">
        <v>272</v>
      </c>
      <c r="B53" s="119" t="s">
        <v>198</v>
      </c>
      <c r="C53" s="271">
        <v>0</v>
      </c>
      <c r="D53" s="271">
        <v>0</v>
      </c>
      <c r="E53" s="271">
        <v>0</v>
      </c>
      <c r="F53" s="271">
        <f t="shared" si="2"/>
        <v>0</v>
      </c>
    </row>
    <row r="54" spans="1:6" ht="15.75">
      <c r="A54" s="116" t="s">
        <v>273</v>
      </c>
      <c r="B54" s="119" t="s">
        <v>199</v>
      </c>
      <c r="C54" s="271">
        <v>0</v>
      </c>
      <c r="D54" s="271">
        <v>0</v>
      </c>
      <c r="E54" s="271">
        <v>0</v>
      </c>
      <c r="F54" s="271">
        <f t="shared" si="2"/>
        <v>0</v>
      </c>
    </row>
    <row r="55" spans="1:6" ht="15.75">
      <c r="A55" s="116" t="s">
        <v>274</v>
      </c>
      <c r="B55" s="119" t="s">
        <v>200</v>
      </c>
      <c r="C55" s="271">
        <f>SUM(C53:C54)</f>
        <v>0</v>
      </c>
      <c r="D55" s="271">
        <f>SUM(D53:D54)</f>
        <v>0</v>
      </c>
      <c r="E55" s="271">
        <f>SUM(E53:E54)</f>
        <v>0</v>
      </c>
      <c r="F55" s="271">
        <f>SUM(F53:F54)</f>
        <v>0</v>
      </c>
    </row>
    <row r="56" spans="1:6" ht="15.75">
      <c r="A56" s="116" t="s">
        <v>275</v>
      </c>
      <c r="B56" s="119" t="s">
        <v>201</v>
      </c>
      <c r="C56" s="271">
        <v>0</v>
      </c>
      <c r="D56" s="271">
        <v>0</v>
      </c>
      <c r="E56" s="271">
        <v>0</v>
      </c>
      <c r="F56" s="271">
        <f t="shared" si="2"/>
        <v>0</v>
      </c>
    </row>
    <row r="57" spans="1:6" ht="15.75">
      <c r="A57" s="116" t="s">
        <v>276</v>
      </c>
      <c r="B57" s="119" t="s">
        <v>53</v>
      </c>
      <c r="C57" s="271">
        <v>443719784</v>
      </c>
      <c r="D57" s="271">
        <v>0</v>
      </c>
      <c r="E57" s="271">
        <v>0</v>
      </c>
      <c r="F57" s="271">
        <f t="shared" si="2"/>
        <v>443719784</v>
      </c>
    </row>
    <row r="58" spans="1:6" ht="15.75">
      <c r="A58" s="117" t="s">
        <v>277</v>
      </c>
      <c r="B58" s="52" t="s">
        <v>228</v>
      </c>
      <c r="C58" s="272">
        <f>C43+C44+C45+C46+C47+C48+C49+C52+C55+C56+C57</f>
        <v>443719784</v>
      </c>
      <c r="D58" s="272">
        <f>D43+D44+D45+D46+D47+D48+D49+D52+D55+D56+D57</f>
        <v>0</v>
      </c>
      <c r="E58" s="272">
        <f>E43+E44+E45+E46+E47+E48+E49+E52+E55+E56+E57</f>
        <v>0</v>
      </c>
      <c r="F58" s="272">
        <f>F43+F44+F45+F46+F47+F48+F49+F52+F55+F56+F57</f>
        <v>443719784</v>
      </c>
    </row>
    <row r="59" spans="1:6" ht="15.75">
      <c r="A59" s="116" t="s">
        <v>278</v>
      </c>
      <c r="B59" s="119" t="s">
        <v>57</v>
      </c>
      <c r="C59" s="271">
        <v>0</v>
      </c>
      <c r="D59" s="271">
        <v>0</v>
      </c>
      <c r="E59" s="271">
        <v>0</v>
      </c>
      <c r="F59" s="271">
        <f>SUM(C59:E59)</f>
        <v>0</v>
      </c>
    </row>
    <row r="60" spans="1:6" ht="15.75">
      <c r="A60" s="116" t="s">
        <v>279</v>
      </c>
      <c r="B60" s="119" t="s">
        <v>58</v>
      </c>
      <c r="C60" s="271">
        <v>0</v>
      </c>
      <c r="D60" s="271">
        <f>395724464+400000</f>
        <v>396124464</v>
      </c>
      <c r="E60" s="271">
        <v>0</v>
      </c>
      <c r="F60" s="271">
        <f>SUM(C60:E60)</f>
        <v>396124464</v>
      </c>
    </row>
    <row r="61" spans="1:6" ht="15.75">
      <c r="A61" s="116" t="s">
        <v>280</v>
      </c>
      <c r="B61" s="119" t="s">
        <v>59</v>
      </c>
      <c r="C61" s="271"/>
      <c r="D61" s="271">
        <v>0</v>
      </c>
      <c r="E61" s="271">
        <v>0</v>
      </c>
      <c r="F61" s="271">
        <f>SUM(C61:E61)</f>
        <v>0</v>
      </c>
    </row>
    <row r="62" spans="1:6" ht="15.75">
      <c r="A62" s="116" t="s">
        <v>281</v>
      </c>
      <c r="B62" s="119" t="s">
        <v>60</v>
      </c>
      <c r="C62" s="271">
        <v>0</v>
      </c>
      <c r="D62" s="271">
        <v>0</v>
      </c>
      <c r="E62" s="271">
        <v>0</v>
      </c>
      <c r="F62" s="271">
        <f>SUM(C62:E62)</f>
        <v>0</v>
      </c>
    </row>
    <row r="63" spans="1:6" ht="15.75">
      <c r="A63" s="116" t="s">
        <v>282</v>
      </c>
      <c r="B63" s="119" t="s">
        <v>61</v>
      </c>
      <c r="C63" s="271">
        <v>0</v>
      </c>
      <c r="D63" s="271">
        <v>0</v>
      </c>
      <c r="E63" s="271">
        <v>0</v>
      </c>
      <c r="F63" s="271">
        <f>SUM(C63:E63)</f>
        <v>0</v>
      </c>
    </row>
    <row r="64" spans="1:6" ht="15.75">
      <c r="A64" s="117" t="s">
        <v>283</v>
      </c>
      <c r="B64" s="52" t="s">
        <v>229</v>
      </c>
      <c r="C64" s="272">
        <f>SUM(C59:C63)</f>
        <v>0</v>
      </c>
      <c r="D64" s="272">
        <f>SUM(D59:D63)</f>
        <v>396124464</v>
      </c>
      <c r="E64" s="272">
        <f>SUM(E59:E63)</f>
        <v>0</v>
      </c>
      <c r="F64" s="272">
        <f>SUM(F59:F63)</f>
        <v>396124464</v>
      </c>
    </row>
    <row r="65" spans="1:6" ht="31.5">
      <c r="A65" s="116" t="s">
        <v>284</v>
      </c>
      <c r="B65" s="119" t="s">
        <v>230</v>
      </c>
      <c r="C65" s="271">
        <v>0</v>
      </c>
      <c r="D65" s="271">
        <v>0</v>
      </c>
      <c r="E65" s="271">
        <v>0</v>
      </c>
      <c r="F65" s="271">
        <f>SUM(C65:E65)</f>
        <v>0</v>
      </c>
    </row>
    <row r="66" spans="1:6" ht="31.5">
      <c r="A66" s="116" t="s">
        <v>285</v>
      </c>
      <c r="B66" s="119" t="s">
        <v>231</v>
      </c>
      <c r="C66" s="271">
        <v>0</v>
      </c>
      <c r="D66" s="271">
        <v>0</v>
      </c>
      <c r="E66" s="271">
        <v>0</v>
      </c>
      <c r="F66" s="271">
        <f>SUM(C66:E66)</f>
        <v>0</v>
      </c>
    </row>
    <row r="67" spans="1:6" ht="47.25">
      <c r="A67" s="116" t="s">
        <v>286</v>
      </c>
      <c r="B67" s="119" t="s">
        <v>232</v>
      </c>
      <c r="C67" s="271">
        <v>0</v>
      </c>
      <c r="D67" s="271">
        <v>0</v>
      </c>
      <c r="E67" s="271">
        <v>0</v>
      </c>
      <c r="F67" s="271">
        <f>SUM(C67:E67)</f>
        <v>0</v>
      </c>
    </row>
    <row r="68" spans="1:6" ht="31.5">
      <c r="A68" s="116" t="s">
        <v>287</v>
      </c>
      <c r="B68" s="119" t="s">
        <v>233</v>
      </c>
      <c r="C68" s="271">
        <v>0</v>
      </c>
      <c r="D68" s="271">
        <v>70680000</v>
      </c>
      <c r="E68" s="271">
        <v>0</v>
      </c>
      <c r="F68" s="271">
        <f>SUM(C68:E68)</f>
        <v>70680000</v>
      </c>
    </row>
    <row r="69" spans="1:6" ht="15.75">
      <c r="A69" s="116" t="s">
        <v>288</v>
      </c>
      <c r="B69" s="119" t="s">
        <v>62</v>
      </c>
      <c r="C69" s="271">
        <v>0</v>
      </c>
      <c r="D69" s="271">
        <v>0</v>
      </c>
      <c r="E69" s="271">
        <v>0</v>
      </c>
      <c r="F69" s="271">
        <f>SUM(C69:E69)</f>
        <v>0</v>
      </c>
    </row>
    <row r="70" spans="1:6" ht="15.75">
      <c r="A70" s="117" t="s">
        <v>289</v>
      </c>
      <c r="B70" s="52" t="s">
        <v>234</v>
      </c>
      <c r="C70" s="272">
        <f>SUM(C65:C69)</f>
        <v>0</v>
      </c>
      <c r="D70" s="272">
        <f>SUM(D65:D69)</f>
        <v>70680000</v>
      </c>
      <c r="E70" s="272">
        <f>SUM(E65:E69)</f>
        <v>0</v>
      </c>
      <c r="F70" s="272">
        <f>SUM(F65:F69)</f>
        <v>70680000</v>
      </c>
    </row>
    <row r="71" spans="1:6" ht="31.5">
      <c r="A71" s="116" t="s">
        <v>290</v>
      </c>
      <c r="B71" s="119" t="s">
        <v>63</v>
      </c>
      <c r="C71" s="271">
        <v>0</v>
      </c>
      <c r="D71" s="271">
        <v>0</v>
      </c>
      <c r="E71" s="271">
        <v>0</v>
      </c>
      <c r="F71" s="271">
        <f>SUM(C71:E71)</f>
        <v>0</v>
      </c>
    </row>
    <row r="72" spans="1:6" ht="31.5">
      <c r="A72" s="116" t="s">
        <v>291</v>
      </c>
      <c r="B72" s="119" t="s">
        <v>235</v>
      </c>
      <c r="C72" s="271">
        <v>0</v>
      </c>
      <c r="D72" s="271">
        <v>0</v>
      </c>
      <c r="E72" s="271">
        <v>0</v>
      </c>
      <c r="F72" s="271">
        <f>SUM(C72:E72)</f>
        <v>0</v>
      </c>
    </row>
    <row r="73" spans="1:6" ht="47.25">
      <c r="A73" s="116" t="s">
        <v>292</v>
      </c>
      <c r="B73" s="119" t="s">
        <v>236</v>
      </c>
      <c r="C73" s="271">
        <v>0</v>
      </c>
      <c r="D73" s="271">
        <v>0</v>
      </c>
      <c r="E73" s="271">
        <v>0</v>
      </c>
      <c r="F73" s="271">
        <f>SUM(C73:E73)</f>
        <v>0</v>
      </c>
    </row>
    <row r="74" spans="1:6" ht="31.5">
      <c r="A74" s="116" t="s">
        <v>293</v>
      </c>
      <c r="B74" s="119" t="s">
        <v>64</v>
      </c>
      <c r="C74" s="271">
        <v>0</v>
      </c>
      <c r="D74" s="271">
        <v>5000000</v>
      </c>
      <c r="E74" s="271">
        <v>0</v>
      </c>
      <c r="F74" s="271">
        <f>SUM(C74:E74)</f>
        <v>5000000</v>
      </c>
    </row>
    <row r="75" spans="1:6" ht="15.75">
      <c r="A75" s="116" t="s">
        <v>294</v>
      </c>
      <c r="B75" s="119" t="s">
        <v>65</v>
      </c>
      <c r="C75" s="271">
        <v>0</v>
      </c>
      <c r="D75" s="271">
        <v>0</v>
      </c>
      <c r="E75" s="271">
        <v>0</v>
      </c>
      <c r="F75" s="271">
        <f>SUM(C75:E75)</f>
        <v>0</v>
      </c>
    </row>
    <row r="76" spans="1:6" ht="15.75">
      <c r="A76" s="117" t="s">
        <v>295</v>
      </c>
      <c r="B76" s="52" t="s">
        <v>237</v>
      </c>
      <c r="C76" s="272">
        <f>SUM(C71:C75)</f>
        <v>0</v>
      </c>
      <c r="D76" s="272">
        <f>SUM(D71:D75)</f>
        <v>5000000</v>
      </c>
      <c r="E76" s="272">
        <f>SUM(E71:E75)</f>
        <v>0</v>
      </c>
      <c r="F76" s="272">
        <f>SUM(F71:F75)</f>
        <v>5000000</v>
      </c>
    </row>
    <row r="77" spans="1:6" ht="15.75">
      <c r="A77" s="117" t="s">
        <v>296</v>
      </c>
      <c r="B77" s="52" t="s">
        <v>238</v>
      </c>
      <c r="C77" s="272">
        <f>C22+C28+C42+C58+C64+C70+C76</f>
        <v>6561612026</v>
      </c>
      <c r="D77" s="272">
        <f>D22+D28+D42+D58+D64+D70+D76</f>
        <v>478284464</v>
      </c>
      <c r="E77" s="272">
        <f>E22+E28+E42+E58+E64+E70+E76</f>
        <v>0</v>
      </c>
      <c r="F77" s="272">
        <f>F22+F28+F42+F58+F64+F70+F76</f>
        <v>7039896490</v>
      </c>
    </row>
    <row r="78" spans="1:6" ht="15.75">
      <c r="A78" s="117" t="s">
        <v>297</v>
      </c>
      <c r="B78" s="27" t="s">
        <v>307</v>
      </c>
      <c r="C78" s="280">
        <v>1211738094</v>
      </c>
      <c r="D78" s="280">
        <v>0</v>
      </c>
      <c r="E78" s="280">
        <v>0</v>
      </c>
      <c r="F78" s="280">
        <f>SUM(C78:E78)</f>
        <v>1211738094</v>
      </c>
    </row>
    <row r="79" spans="1:6" ht="15.75">
      <c r="A79" s="117" t="s">
        <v>298</v>
      </c>
      <c r="B79" s="27" t="s">
        <v>308</v>
      </c>
      <c r="C79" s="280">
        <f>SUM(C77:C78)</f>
        <v>7773350120</v>
      </c>
      <c r="D79" s="280">
        <f>SUM(D77:D78)</f>
        <v>478284464</v>
      </c>
      <c r="E79" s="280">
        <f>SUM(E77:E78)</f>
        <v>0</v>
      </c>
      <c r="F79" s="280">
        <f>SUM(F77:F78)</f>
        <v>8251634584</v>
      </c>
    </row>
    <row r="80" spans="1:6" ht="15.75">
      <c r="A80" s="116" t="s">
        <v>299</v>
      </c>
      <c r="B80" s="119" t="s">
        <v>310</v>
      </c>
      <c r="C80" s="281">
        <f>6!C257</f>
        <v>178773593</v>
      </c>
      <c r="D80" s="281">
        <f>6!D257</f>
        <v>0</v>
      </c>
      <c r="E80" s="281">
        <f>6!E257</f>
        <v>0</v>
      </c>
      <c r="F80" s="282">
        <f aca="true" t="shared" si="3" ref="F80:F87">SUM(C80:E80)</f>
        <v>178773593</v>
      </c>
    </row>
    <row r="81" spans="1:6" ht="15.75">
      <c r="A81" s="116" t="s">
        <v>300</v>
      </c>
      <c r="B81" s="119" t="s">
        <v>311</v>
      </c>
      <c r="C81" s="281">
        <f>6!C281</f>
        <v>0</v>
      </c>
      <c r="D81" s="281">
        <f>6!D281</f>
        <v>0</v>
      </c>
      <c r="E81" s="281">
        <f>6!E281</f>
        <v>0</v>
      </c>
      <c r="F81" s="282">
        <f t="shared" si="3"/>
        <v>0</v>
      </c>
    </row>
    <row r="82" spans="1:6" ht="15.75">
      <c r="A82" s="116" t="s">
        <v>301</v>
      </c>
      <c r="B82" s="119" t="s">
        <v>312</v>
      </c>
      <c r="C82" s="281">
        <f>6!C259</f>
        <v>0</v>
      </c>
      <c r="D82" s="281">
        <f>6!D259</f>
        <v>0</v>
      </c>
      <c r="E82" s="281">
        <f>6!E259</f>
        <v>0</v>
      </c>
      <c r="F82" s="282">
        <f t="shared" si="3"/>
        <v>0</v>
      </c>
    </row>
    <row r="83" spans="1:6" ht="15.75">
      <c r="A83" s="116" t="s">
        <v>302</v>
      </c>
      <c r="B83" s="119" t="s">
        <v>313</v>
      </c>
      <c r="C83" s="281">
        <f>6!C275</f>
        <v>222843436</v>
      </c>
      <c r="D83" s="281">
        <f>6!D275</f>
        <v>0</v>
      </c>
      <c r="E83" s="281">
        <f>6!E275</f>
        <v>0</v>
      </c>
      <c r="F83" s="282">
        <f t="shared" si="3"/>
        <v>222843436</v>
      </c>
    </row>
    <row r="84" spans="1:6" ht="15.75">
      <c r="A84" s="116" t="s">
        <v>303</v>
      </c>
      <c r="B84" s="119" t="s">
        <v>314</v>
      </c>
      <c r="C84" s="281">
        <f>6!C283</f>
        <v>0</v>
      </c>
      <c r="D84" s="281">
        <f>6!D283</f>
        <v>0</v>
      </c>
      <c r="E84" s="281">
        <f>6!E283</f>
        <v>0</v>
      </c>
      <c r="F84" s="282">
        <f t="shared" si="3"/>
        <v>0</v>
      </c>
    </row>
    <row r="85" spans="1:6" ht="15.75">
      <c r="A85" s="116" t="s">
        <v>304</v>
      </c>
      <c r="B85" s="119" t="s">
        <v>315</v>
      </c>
      <c r="C85" s="281">
        <f>6!C277</f>
        <v>0</v>
      </c>
      <c r="D85" s="281">
        <f>6!D277</f>
        <v>0</v>
      </c>
      <c r="E85" s="281">
        <f>6!E277</f>
        <v>0</v>
      </c>
      <c r="F85" s="282">
        <f t="shared" si="3"/>
        <v>0</v>
      </c>
    </row>
    <row r="86" spans="1:6" ht="15.75">
      <c r="A86" s="116" t="s">
        <v>305</v>
      </c>
      <c r="B86" s="119" t="s">
        <v>316</v>
      </c>
      <c r="C86" s="281">
        <v>0</v>
      </c>
      <c r="D86" s="281">
        <v>1600032</v>
      </c>
      <c r="E86" s="281">
        <f>6!E285</f>
        <v>0</v>
      </c>
      <c r="F86" s="282">
        <f t="shared" si="3"/>
        <v>1600032</v>
      </c>
    </row>
    <row r="87" spans="1:6" ht="31.5">
      <c r="A87" s="117" t="s">
        <v>306</v>
      </c>
      <c r="B87" s="27" t="s">
        <v>317</v>
      </c>
      <c r="C87" s="280">
        <f>SUM(C80:C86)</f>
        <v>401617029</v>
      </c>
      <c r="D87" s="280">
        <f>SUM(D80:D86)</f>
        <v>1600032</v>
      </c>
      <c r="E87" s="280">
        <f>SUM(E80:E86)</f>
        <v>0</v>
      </c>
      <c r="F87" s="280">
        <f t="shared" si="3"/>
        <v>403217061</v>
      </c>
    </row>
    <row r="88" spans="1:6" ht="15.75">
      <c r="A88" s="117" t="s">
        <v>309</v>
      </c>
      <c r="B88" s="27" t="s">
        <v>403</v>
      </c>
      <c r="C88" s="251">
        <f>C79+C87</f>
        <v>8174967149</v>
      </c>
      <c r="D88" s="120">
        <f>D79+D87</f>
        <v>479884496</v>
      </c>
      <c r="E88" s="120">
        <f>E79+E87</f>
        <v>0</v>
      </c>
      <c r="F88" s="120">
        <f>F79+F87</f>
        <v>8654851645</v>
      </c>
    </row>
    <row r="90" ht="15.75">
      <c r="C90" s="270"/>
    </row>
  </sheetData>
  <sheetProtection/>
  <mergeCells count="8">
    <mergeCell ref="A8:A9"/>
    <mergeCell ref="A1:F1"/>
    <mergeCell ref="A3:F3"/>
    <mergeCell ref="A4:F4"/>
    <mergeCell ref="A5:F5"/>
    <mergeCell ref="B2:C2"/>
    <mergeCell ref="C8:E8"/>
    <mergeCell ref="F8:F9"/>
  </mergeCells>
  <printOptions horizontalCentered="1"/>
  <pageMargins left="0.984251968503937" right="0.984251968503937" top="0.984251968503937" bottom="0.7874015748031497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4.375" style="44" customWidth="1"/>
    <col min="2" max="2" width="17.625" style="2" customWidth="1"/>
    <col min="3" max="3" width="14.25390625" style="2" bestFit="1" customWidth="1"/>
    <col min="4" max="4" width="11.625" style="2" customWidth="1"/>
    <col min="5" max="5" width="14.375" style="2" customWidth="1"/>
    <col min="6" max="16384" width="9.125" style="2" customWidth="1"/>
  </cols>
  <sheetData>
    <row r="1" spans="1:5" ht="15.75">
      <c r="A1" s="330" t="s">
        <v>552</v>
      </c>
      <c r="B1" s="330"/>
      <c r="C1" s="330"/>
      <c r="D1" s="330"/>
      <c r="E1" s="330"/>
    </row>
    <row r="2" spans="1:2" ht="15.75">
      <c r="A2" s="330"/>
      <c r="B2" s="330"/>
    </row>
    <row r="3" spans="1:5" ht="15.75">
      <c r="A3" s="331" t="s">
        <v>13</v>
      </c>
      <c r="B3" s="331"/>
      <c r="C3" s="331"/>
      <c r="D3" s="331"/>
      <c r="E3" s="331"/>
    </row>
    <row r="4" spans="1:5" ht="15.75">
      <c r="A4" s="331" t="s">
        <v>444</v>
      </c>
      <c r="B4" s="331"/>
      <c r="C4" s="331"/>
      <c r="D4" s="331"/>
      <c r="E4" s="331"/>
    </row>
    <row r="5" spans="1:2" ht="15.75">
      <c r="A5" s="51"/>
      <c r="B5" s="5"/>
    </row>
    <row r="6" spans="1:5" ht="15.75">
      <c r="A6" s="56"/>
      <c r="B6" s="10"/>
      <c r="C6" s="9"/>
      <c r="D6" s="9"/>
      <c r="E6" s="10" t="s">
        <v>342</v>
      </c>
    </row>
    <row r="7" spans="1:5" ht="15.75">
      <c r="A7" s="46" t="s">
        <v>15</v>
      </c>
      <c r="B7" s="321" t="s">
        <v>33</v>
      </c>
      <c r="C7" s="321"/>
      <c r="D7" s="321"/>
      <c r="E7" s="334" t="s">
        <v>17</v>
      </c>
    </row>
    <row r="8" spans="1:5" ht="31.5">
      <c r="A8" s="46" t="s">
        <v>36</v>
      </c>
      <c r="B8" s="26" t="s">
        <v>34</v>
      </c>
      <c r="C8" s="37" t="s">
        <v>35</v>
      </c>
      <c r="D8" s="37" t="s">
        <v>190</v>
      </c>
      <c r="E8" s="334"/>
    </row>
    <row r="9" spans="1:5" ht="15.75">
      <c r="A9" s="59" t="s">
        <v>70</v>
      </c>
      <c r="B9" s="15">
        <v>2024145247</v>
      </c>
      <c r="C9" s="15">
        <f>3!D20</f>
        <v>0</v>
      </c>
      <c r="D9" s="15">
        <f>3!E20</f>
        <v>0</v>
      </c>
      <c r="E9" s="1">
        <f>SUM(B9:D9)</f>
        <v>2024145247</v>
      </c>
    </row>
    <row r="10" spans="1:5" ht="15.75">
      <c r="A10" s="52" t="s">
        <v>54</v>
      </c>
      <c r="B10" s="34">
        <f>SUM(B9)</f>
        <v>2024145247</v>
      </c>
      <c r="C10" s="34">
        <f>SUM(C9)</f>
        <v>0</v>
      </c>
      <c r="D10" s="34">
        <f>SUM(D9)</f>
        <v>0</v>
      </c>
      <c r="E10" s="34">
        <f>SUM(E9)</f>
        <v>2024145247</v>
      </c>
    </row>
    <row r="11" spans="1:5" ht="31.5">
      <c r="A11" s="59" t="s">
        <v>110</v>
      </c>
      <c r="B11" s="283">
        <v>147218200</v>
      </c>
      <c r="C11" s="15">
        <v>0</v>
      </c>
      <c r="D11" s="121">
        <v>0</v>
      </c>
      <c r="E11" s="1">
        <f>SUM(B11:D11)</f>
        <v>147218200</v>
      </c>
    </row>
    <row r="12" spans="1:5" ht="15.75">
      <c r="A12" s="59" t="s">
        <v>435</v>
      </c>
      <c r="B12" s="15">
        <v>6225472</v>
      </c>
      <c r="C12" s="15">
        <v>0</v>
      </c>
      <c r="D12" s="121">
        <v>0</v>
      </c>
      <c r="E12" s="1">
        <f>SUM(B12:D12)</f>
        <v>6225472</v>
      </c>
    </row>
    <row r="13" spans="1:5" ht="15.75">
      <c r="A13" s="59" t="s">
        <v>189</v>
      </c>
      <c r="B13" s="15"/>
      <c r="C13" s="15">
        <v>0</v>
      </c>
      <c r="D13" s="121">
        <v>0</v>
      </c>
      <c r="E13" s="1">
        <f aca="true" t="shared" si="0" ref="E13:E19">SUM(B13:D13)</f>
        <v>0</v>
      </c>
    </row>
    <row r="14" spans="1:5" ht="15.75">
      <c r="A14" s="14" t="s">
        <v>125</v>
      </c>
      <c r="B14" s="15">
        <f>21219324-C14</f>
        <v>14739324</v>
      </c>
      <c r="C14" s="15">
        <v>6480000</v>
      </c>
      <c r="D14" s="121">
        <v>0</v>
      </c>
      <c r="E14" s="1">
        <f t="shared" si="0"/>
        <v>21219324</v>
      </c>
    </row>
    <row r="15" spans="1:5" ht="15.75">
      <c r="A15" s="14" t="s">
        <v>3</v>
      </c>
      <c r="B15" s="15">
        <v>4500000</v>
      </c>
      <c r="C15" s="15">
        <v>0</v>
      </c>
      <c r="D15" s="121">
        <v>0</v>
      </c>
      <c r="E15" s="1">
        <f t="shared" si="0"/>
        <v>4500000</v>
      </c>
    </row>
    <row r="16" spans="1:5" ht="15.75">
      <c r="A16" s="59" t="s">
        <v>2</v>
      </c>
      <c r="B16" s="15"/>
      <c r="C16" s="15">
        <v>0</v>
      </c>
      <c r="D16" s="121">
        <v>0</v>
      </c>
      <c r="E16" s="1">
        <f>SUM(B16:D16)</f>
        <v>0</v>
      </c>
    </row>
    <row r="17" spans="1:5" ht="15.75">
      <c r="A17" s="14" t="s">
        <v>109</v>
      </c>
      <c r="B17" s="15">
        <v>0</v>
      </c>
      <c r="C17" s="15">
        <v>5332500</v>
      </c>
      <c r="D17" s="121">
        <v>0</v>
      </c>
      <c r="E17" s="1">
        <f t="shared" si="0"/>
        <v>5332500</v>
      </c>
    </row>
    <row r="18" spans="1:5" ht="15.75">
      <c r="A18" s="14" t="s">
        <v>120</v>
      </c>
      <c r="B18" s="15"/>
      <c r="C18" s="15">
        <v>0</v>
      </c>
      <c r="D18" s="121">
        <v>0</v>
      </c>
      <c r="E18" s="1">
        <f t="shared" si="0"/>
        <v>0</v>
      </c>
    </row>
    <row r="19" spans="1:8" ht="15.75">
      <c r="A19" s="14" t="s">
        <v>126</v>
      </c>
      <c r="B19" s="15">
        <v>3700000</v>
      </c>
      <c r="C19" s="15">
        <v>0</v>
      </c>
      <c r="D19" s="121">
        <v>0</v>
      </c>
      <c r="E19" s="1">
        <f t="shared" si="0"/>
        <v>3700000</v>
      </c>
      <c r="H19" s="8"/>
    </row>
    <row r="20" spans="1:5" ht="15.75">
      <c r="A20" s="52" t="s">
        <v>119</v>
      </c>
      <c r="B20" s="34">
        <f>SUM(B10:B19)</f>
        <v>2200528243</v>
      </c>
      <c r="C20" s="34">
        <f>SUM(C10:C19)</f>
        <v>11812500</v>
      </c>
      <c r="D20" s="34">
        <f>SUM(D10:D19)</f>
        <v>0</v>
      </c>
      <c r="E20" s="34">
        <f>SUM(E10:E19)</f>
        <v>2212340743</v>
      </c>
    </row>
    <row r="21" spans="1:5" ht="15.75">
      <c r="A21" s="14" t="s">
        <v>0</v>
      </c>
      <c r="B21" s="15">
        <v>311359695</v>
      </c>
      <c r="C21" s="121">
        <v>0</v>
      </c>
      <c r="D21" s="121">
        <v>0</v>
      </c>
      <c r="E21" s="1">
        <f>SUM(B21:D21)</f>
        <v>311359695</v>
      </c>
    </row>
    <row r="22" spans="1:5" ht="15.75">
      <c r="A22" s="14" t="s">
        <v>355</v>
      </c>
      <c r="B22" s="15">
        <v>482455031</v>
      </c>
      <c r="C22" s="121">
        <v>0</v>
      </c>
      <c r="D22" s="121">
        <v>0</v>
      </c>
      <c r="E22" s="1">
        <f aca="true" t="shared" si="1" ref="E22:E27">SUM(B22:D22)</f>
        <v>482455031</v>
      </c>
    </row>
    <row r="23" spans="1:5" ht="15.75">
      <c r="A23" s="14" t="s">
        <v>111</v>
      </c>
      <c r="B23" s="15">
        <v>289845</v>
      </c>
      <c r="C23" s="121">
        <v>0</v>
      </c>
      <c r="D23" s="121">
        <v>0</v>
      </c>
      <c r="E23" s="1">
        <f t="shared" si="1"/>
        <v>289845</v>
      </c>
    </row>
    <row r="24" spans="1:5" ht="15.75">
      <c r="A24" s="14" t="s">
        <v>125</v>
      </c>
      <c r="B24" s="15">
        <v>310083928</v>
      </c>
      <c r="C24" s="121">
        <v>0</v>
      </c>
      <c r="D24" s="121">
        <v>0</v>
      </c>
      <c r="E24" s="1">
        <f t="shared" si="1"/>
        <v>310083928</v>
      </c>
    </row>
    <row r="25" spans="1:5" ht="15.75">
      <c r="A25" s="14" t="s">
        <v>159</v>
      </c>
      <c r="B25" s="15">
        <v>218000000</v>
      </c>
      <c r="C25" s="121">
        <v>0</v>
      </c>
      <c r="D25" s="121">
        <v>0</v>
      </c>
      <c r="E25" s="1">
        <f t="shared" si="1"/>
        <v>218000000</v>
      </c>
    </row>
    <row r="26" spans="1:5" ht="15.75">
      <c r="A26" s="14" t="s">
        <v>2</v>
      </c>
      <c r="B26" s="15"/>
      <c r="C26" s="121">
        <v>0</v>
      </c>
      <c r="D26" s="121">
        <v>0</v>
      </c>
      <c r="E26" s="1">
        <f t="shared" si="1"/>
        <v>0</v>
      </c>
    </row>
    <row r="27" spans="1:5" ht="15.75">
      <c r="A27" s="14" t="s">
        <v>113</v>
      </c>
      <c r="B27" s="15">
        <v>59543000</v>
      </c>
      <c r="C27" s="121">
        <v>0</v>
      </c>
      <c r="D27" s="121">
        <v>0</v>
      </c>
      <c r="E27" s="1">
        <f t="shared" si="1"/>
        <v>59543000</v>
      </c>
    </row>
    <row r="28" spans="1:5" ht="15.75">
      <c r="A28" s="52" t="s">
        <v>55</v>
      </c>
      <c r="B28" s="34">
        <f>SUM(B21:B27)</f>
        <v>1381731499</v>
      </c>
      <c r="C28" s="34">
        <f>SUM(C21:C27)</f>
        <v>0</v>
      </c>
      <c r="D28" s="34">
        <f>SUM(D21:D27)</f>
        <v>0</v>
      </c>
      <c r="E28" s="34">
        <f>SUM(E21:E27)</f>
        <v>1381731499</v>
      </c>
    </row>
    <row r="29" spans="1:5" ht="31.5">
      <c r="A29" s="14" t="s">
        <v>192</v>
      </c>
      <c r="B29" s="15">
        <f>2452000000+160000000</f>
        <v>2612000000</v>
      </c>
      <c r="C29" s="15">
        <v>0</v>
      </c>
      <c r="D29" s="121">
        <v>0</v>
      </c>
      <c r="E29" s="1">
        <f>SUM(B29:D29)</f>
        <v>2612000000</v>
      </c>
    </row>
    <row r="30" spans="1:5" ht="15.75">
      <c r="A30" s="49" t="s">
        <v>114</v>
      </c>
      <c r="B30" s="34">
        <f>SUM(B29:B29)</f>
        <v>2612000000</v>
      </c>
      <c r="C30" s="34">
        <f>SUM(C29:C29)</f>
        <v>0</v>
      </c>
      <c r="D30" s="34">
        <f>SUM(D29:D29)</f>
        <v>0</v>
      </c>
      <c r="E30" s="34">
        <f>SUM(E29:E29)</f>
        <v>2612000000</v>
      </c>
    </row>
    <row r="31" spans="1:5" ht="15.75">
      <c r="A31" s="48" t="s">
        <v>4</v>
      </c>
      <c r="B31" s="15">
        <v>800000</v>
      </c>
      <c r="C31" s="15">
        <v>0</v>
      </c>
      <c r="D31" s="121">
        <v>0</v>
      </c>
      <c r="E31" s="15">
        <f>SUM(B31:D31)</f>
        <v>800000</v>
      </c>
    </row>
    <row r="32" spans="1:5" ht="15.75">
      <c r="A32" s="48" t="s">
        <v>125</v>
      </c>
      <c r="B32" s="15">
        <v>0</v>
      </c>
      <c r="C32" s="15">
        <v>9500000</v>
      </c>
      <c r="D32" s="121">
        <v>0</v>
      </c>
      <c r="E32" s="15">
        <f>SUM(B32:D32)</f>
        <v>9500000</v>
      </c>
    </row>
    <row r="33" spans="1:5" ht="31.5">
      <c r="A33" s="14" t="s">
        <v>192</v>
      </c>
      <c r="B33" s="15">
        <v>8000000</v>
      </c>
      <c r="C33" s="15">
        <v>0</v>
      </c>
      <c r="D33" s="121">
        <v>0</v>
      </c>
      <c r="E33" s="15">
        <f>SUM(B33:D33)</f>
        <v>8000000</v>
      </c>
    </row>
    <row r="34" spans="1:5" ht="15.75">
      <c r="A34" s="49" t="s">
        <v>115</v>
      </c>
      <c r="B34" s="34">
        <f>SUM(B31:B33)</f>
        <v>8800000</v>
      </c>
      <c r="C34" s="34">
        <f>SUM(C31:C33)</f>
        <v>9500000</v>
      </c>
      <c r="D34" s="34">
        <f>SUM(D31:D33)</f>
        <v>0</v>
      </c>
      <c r="E34" s="34">
        <f>SUM(E31:E33)</f>
        <v>18300000</v>
      </c>
    </row>
    <row r="35" spans="1:5" ht="31.5">
      <c r="A35" s="59" t="s">
        <v>110</v>
      </c>
      <c r="B35" s="15">
        <v>206139129</v>
      </c>
      <c r="C35" s="15">
        <v>0</v>
      </c>
      <c r="D35" s="15">
        <v>0</v>
      </c>
      <c r="E35" s="15">
        <f>SUM(B35:D35)</f>
        <v>206139129</v>
      </c>
    </row>
    <row r="36" spans="1:5" ht="15.75">
      <c r="A36" s="14" t="s">
        <v>0</v>
      </c>
      <c r="B36" s="15">
        <f>133117836+13189909+3561275</f>
        <v>149869020</v>
      </c>
      <c r="C36" s="15">
        <v>0</v>
      </c>
      <c r="D36" s="15">
        <v>0</v>
      </c>
      <c r="E36" s="15">
        <f aca="true" t="shared" si="2" ref="E36:E44">SUM(B36:D36)</f>
        <v>149869020</v>
      </c>
    </row>
    <row r="37" spans="1:5" ht="15.75">
      <c r="A37" s="48" t="s">
        <v>4</v>
      </c>
      <c r="B37" s="15">
        <v>7620000</v>
      </c>
      <c r="C37" s="15">
        <v>0</v>
      </c>
      <c r="D37" s="15">
        <v>0</v>
      </c>
      <c r="E37" s="15">
        <f t="shared" si="2"/>
        <v>7620000</v>
      </c>
    </row>
    <row r="38" spans="1:5" ht="15.75">
      <c r="A38" s="14" t="s">
        <v>159</v>
      </c>
      <c r="B38" s="15">
        <v>52070138</v>
      </c>
      <c r="C38" s="15">
        <v>0</v>
      </c>
      <c r="D38" s="15">
        <v>0</v>
      </c>
      <c r="E38" s="15">
        <f t="shared" si="2"/>
        <v>52070138</v>
      </c>
    </row>
    <row r="39" spans="1:5" ht="15.75">
      <c r="A39" s="14" t="s">
        <v>111</v>
      </c>
      <c r="B39" s="15">
        <v>11600000</v>
      </c>
      <c r="C39" s="15">
        <v>0</v>
      </c>
      <c r="D39" s="15">
        <v>0</v>
      </c>
      <c r="E39" s="15">
        <f t="shared" si="2"/>
        <v>11600000</v>
      </c>
    </row>
    <row r="40" spans="1:5" ht="15.75">
      <c r="A40" s="14" t="s">
        <v>112</v>
      </c>
      <c r="B40" s="15"/>
      <c r="C40" s="15">
        <v>0</v>
      </c>
      <c r="D40" s="15">
        <v>0</v>
      </c>
      <c r="E40" s="15">
        <f t="shared" si="2"/>
        <v>0</v>
      </c>
    </row>
    <row r="41" spans="1:5" ht="15.75">
      <c r="A41" s="14" t="s">
        <v>125</v>
      </c>
      <c r="B41" s="15">
        <v>0</v>
      </c>
      <c r="C41" s="15">
        <v>15175942</v>
      </c>
      <c r="D41" s="15">
        <v>0</v>
      </c>
      <c r="E41" s="15">
        <f t="shared" si="2"/>
        <v>15175942</v>
      </c>
    </row>
    <row r="42" spans="1:5" ht="15.75">
      <c r="A42" s="14" t="s">
        <v>2</v>
      </c>
      <c r="B42" s="15">
        <v>3715589</v>
      </c>
      <c r="C42" s="15">
        <v>0</v>
      </c>
      <c r="D42" s="15">
        <v>0</v>
      </c>
      <c r="E42" s="15">
        <f t="shared" si="2"/>
        <v>3715589</v>
      </c>
    </row>
    <row r="43" spans="1:5" ht="15.75">
      <c r="A43" s="14" t="s">
        <v>113</v>
      </c>
      <c r="B43" s="15">
        <v>12954000</v>
      </c>
      <c r="C43" s="15">
        <v>0</v>
      </c>
      <c r="D43" s="15">
        <v>0</v>
      </c>
      <c r="E43" s="15">
        <f t="shared" si="2"/>
        <v>12954000</v>
      </c>
    </row>
    <row r="44" spans="1:5" ht="15.75">
      <c r="A44" s="14" t="s">
        <v>109</v>
      </c>
      <c r="B44" s="15">
        <f>1327150-C44</f>
        <v>1045000</v>
      </c>
      <c r="C44" s="15">
        <v>282150</v>
      </c>
      <c r="D44" s="15">
        <v>0</v>
      </c>
      <c r="E44" s="15">
        <f t="shared" si="2"/>
        <v>1327150</v>
      </c>
    </row>
    <row r="45" spans="1:5" ht="15.75">
      <c r="A45" s="43" t="s">
        <v>56</v>
      </c>
      <c r="B45" s="34">
        <f>SUM(B35:B44)</f>
        <v>445012876</v>
      </c>
      <c r="C45" s="34">
        <f>SUM(C35:C44)</f>
        <v>15458092</v>
      </c>
      <c r="D45" s="34">
        <f>SUM(D35:D44)</f>
        <v>0</v>
      </c>
      <c r="E45" s="34">
        <f>SUM(E35:E44)</f>
        <v>460470968</v>
      </c>
    </row>
    <row r="46" spans="1:5" ht="15.75">
      <c r="A46" s="14" t="s">
        <v>0</v>
      </c>
      <c r="B46" s="15">
        <v>0</v>
      </c>
      <c r="C46" s="15">
        <v>392124466</v>
      </c>
      <c r="D46" s="15">
        <v>0</v>
      </c>
      <c r="E46" s="15">
        <f>SUM(B46:D46)</f>
        <v>392124466</v>
      </c>
    </row>
    <row r="47" spans="1:5" ht="15.75">
      <c r="A47" s="14" t="s">
        <v>125</v>
      </c>
      <c r="B47" s="15">
        <v>4000000</v>
      </c>
      <c r="C47" s="15">
        <v>0</v>
      </c>
      <c r="D47" s="15">
        <v>0</v>
      </c>
      <c r="E47" s="15">
        <f>SUM(B47:D47)</f>
        <v>4000000</v>
      </c>
    </row>
    <row r="48" spans="1:5" ht="15.75">
      <c r="A48" s="49" t="s">
        <v>66</v>
      </c>
      <c r="B48" s="34">
        <f>SUM(B46:B47)</f>
        <v>4000000</v>
      </c>
      <c r="C48" s="34">
        <f>SUM(C46:C47)</f>
        <v>392124466</v>
      </c>
      <c r="D48" s="34">
        <f>SUM(D46:D47)</f>
        <v>0</v>
      </c>
      <c r="E48" s="34">
        <f>SUM(E46:E47)</f>
        <v>396124466</v>
      </c>
    </row>
    <row r="49" spans="1:5" ht="15.75">
      <c r="A49" s="118" t="s">
        <v>129</v>
      </c>
      <c r="B49" s="15">
        <v>0</v>
      </c>
      <c r="C49" s="15">
        <v>70680000</v>
      </c>
      <c r="D49" s="15">
        <v>0</v>
      </c>
      <c r="E49" s="15">
        <f>SUM(B49:D49)</f>
        <v>70680000</v>
      </c>
    </row>
    <row r="50" spans="1:5" ht="15.75" customHeight="1">
      <c r="A50" s="49" t="s">
        <v>67</v>
      </c>
      <c r="B50" s="34">
        <f>SUM(B49:B49)</f>
        <v>0</v>
      </c>
      <c r="C50" s="34">
        <f>SUM(C49:C49)</f>
        <v>70680000</v>
      </c>
      <c r="D50" s="34">
        <f>SUM(D49:D49)</f>
        <v>0</v>
      </c>
      <c r="E50" s="34">
        <f>SUM(E49:E49)</f>
        <v>70680000</v>
      </c>
    </row>
    <row r="51" spans="1:5" ht="15.75" customHeight="1">
      <c r="A51" s="48" t="s">
        <v>159</v>
      </c>
      <c r="B51" s="15">
        <v>0</v>
      </c>
      <c r="C51" s="15">
        <v>0</v>
      </c>
      <c r="D51" s="15">
        <v>0</v>
      </c>
      <c r="E51" s="15">
        <f>SUM(B51:D51)</f>
        <v>0</v>
      </c>
    </row>
    <row r="52" spans="1:5" ht="15.75" customHeight="1">
      <c r="A52" s="48" t="s">
        <v>113</v>
      </c>
      <c r="B52" s="15">
        <v>0</v>
      </c>
      <c r="C52" s="15">
        <v>5000000</v>
      </c>
      <c r="D52" s="15">
        <v>0</v>
      </c>
      <c r="E52" s="15">
        <f>SUM(B52:D52)</f>
        <v>5000000</v>
      </c>
    </row>
    <row r="53" spans="1:5" ht="15.75">
      <c r="A53" s="49" t="s">
        <v>68</v>
      </c>
      <c r="B53" s="34">
        <f>SUM(B51:B52)</f>
        <v>0</v>
      </c>
      <c r="C53" s="34">
        <f>SUM(C51:C52)</f>
        <v>5000000</v>
      </c>
      <c r="D53" s="34">
        <f>SUM(D51:D52)</f>
        <v>0</v>
      </c>
      <c r="E53" s="34">
        <f>SUM(E51:E52)</f>
        <v>5000000</v>
      </c>
    </row>
    <row r="54" spans="1:5" ht="15.75">
      <c r="A54" s="43" t="s">
        <v>118</v>
      </c>
      <c r="B54" s="34">
        <f>B20+B28+B34+B45+B48+B50+B53+B30</f>
        <v>6652072618</v>
      </c>
      <c r="C54" s="34">
        <f>C20+C28+C34+C45+C48+C50+C53+C30</f>
        <v>504575058</v>
      </c>
      <c r="D54" s="34">
        <f>D20+D28+D34+D45+D48+D50+D53+D30</f>
        <v>0</v>
      </c>
      <c r="E54" s="34">
        <f>E20+E28+E34+E45+E48+E50+E53+E30</f>
        <v>7156647676</v>
      </c>
    </row>
    <row r="55" spans="1:5" ht="15.75">
      <c r="A55" s="27" t="s">
        <v>116</v>
      </c>
      <c r="B55" s="34">
        <v>1313408612</v>
      </c>
      <c r="C55" s="34">
        <f>3!D78</f>
        <v>0</v>
      </c>
      <c r="D55" s="34">
        <f>3!E78</f>
        <v>0</v>
      </c>
      <c r="E55" s="34">
        <f>SUM(B55:D55)</f>
        <v>1313408612</v>
      </c>
    </row>
    <row r="56" spans="1:5" ht="15.75">
      <c r="A56" s="27" t="s">
        <v>117</v>
      </c>
      <c r="B56" s="34">
        <f>B54+B55</f>
        <v>7965481230</v>
      </c>
      <c r="C56" s="34">
        <f>C54+C55</f>
        <v>504575058</v>
      </c>
      <c r="D56" s="34">
        <f>D54+D55</f>
        <v>0</v>
      </c>
      <c r="E56" s="34">
        <f>E54+E55</f>
        <v>8470056288</v>
      </c>
    </row>
  </sheetData>
  <sheetProtection/>
  <mergeCells count="6">
    <mergeCell ref="A2:B2"/>
    <mergeCell ref="A1:E1"/>
    <mergeCell ref="B7:D7"/>
    <mergeCell ref="E7:E8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5.375" style="2" customWidth="1"/>
    <col min="2" max="2" width="15.25390625" style="2" customWidth="1"/>
    <col min="3" max="3" width="13.75390625" style="2" customWidth="1"/>
    <col min="4" max="4" width="11.375" style="2" customWidth="1"/>
    <col min="5" max="5" width="15.75390625" style="2" customWidth="1"/>
    <col min="6" max="16384" width="9.125" style="2" customWidth="1"/>
  </cols>
  <sheetData>
    <row r="1" spans="1:5" ht="15.75">
      <c r="A1" s="330" t="s">
        <v>553</v>
      </c>
      <c r="B1" s="330"/>
      <c r="C1" s="330"/>
      <c r="D1" s="330"/>
      <c r="E1" s="330"/>
    </row>
    <row r="3" spans="1:5" ht="15.75">
      <c r="A3" s="331" t="s">
        <v>13</v>
      </c>
      <c r="B3" s="331"/>
      <c r="C3" s="331"/>
      <c r="D3" s="331"/>
      <c r="E3" s="331"/>
    </row>
    <row r="4" spans="1:5" ht="15.75">
      <c r="A4" s="331" t="s">
        <v>445</v>
      </c>
      <c r="B4" s="331"/>
      <c r="C4" s="331"/>
      <c r="D4" s="331"/>
      <c r="E4" s="331"/>
    </row>
    <row r="6" ht="15.75">
      <c r="E6" s="10" t="s">
        <v>342</v>
      </c>
    </row>
    <row r="7" spans="1:5" ht="15.75">
      <c r="A7" s="41" t="s">
        <v>15</v>
      </c>
      <c r="B7" s="325" t="s">
        <v>33</v>
      </c>
      <c r="C7" s="326"/>
      <c r="D7" s="327"/>
      <c r="E7" s="335" t="s">
        <v>17</v>
      </c>
    </row>
    <row r="8" spans="1:5" ht="31.5">
      <c r="A8" s="41" t="s">
        <v>36</v>
      </c>
      <c r="B8" s="3" t="s">
        <v>34</v>
      </c>
      <c r="C8" s="47" t="s">
        <v>35</v>
      </c>
      <c r="D8" s="37" t="s">
        <v>190</v>
      </c>
      <c r="E8" s="336"/>
    </row>
    <row r="9" spans="1:5" ht="31.5">
      <c r="A9" s="59" t="s">
        <v>110</v>
      </c>
      <c r="B9" s="15">
        <f>107460675+10702128</f>
        <v>118162803</v>
      </c>
      <c r="C9" s="15">
        <v>0</v>
      </c>
      <c r="D9" s="15">
        <v>0</v>
      </c>
      <c r="E9" s="15">
        <f>SUM(B9:D9)</f>
        <v>118162803</v>
      </c>
    </row>
    <row r="10" spans="1:5" ht="15.75">
      <c r="A10" s="59" t="s">
        <v>435</v>
      </c>
      <c r="B10" s="15">
        <v>4700000</v>
      </c>
      <c r="C10" s="15">
        <v>0</v>
      </c>
      <c r="D10" s="15">
        <v>0</v>
      </c>
      <c r="E10" s="15">
        <f>SUM(B10:D10)</f>
        <v>4700000</v>
      </c>
    </row>
    <row r="11" spans="1:5" ht="15.75">
      <c r="A11" s="72" t="s">
        <v>109</v>
      </c>
      <c r="B11" s="15">
        <v>0</v>
      </c>
      <c r="C11" s="15">
        <v>1920000</v>
      </c>
      <c r="D11" s="15">
        <v>0</v>
      </c>
      <c r="E11" s="15">
        <f>SUM(B11:D11)</f>
        <v>1920000</v>
      </c>
    </row>
    <row r="12" spans="1:5" ht="15.75">
      <c r="A12" s="49" t="s">
        <v>9</v>
      </c>
      <c r="B12" s="34">
        <f>SUM(B9:B11)</f>
        <v>122862803</v>
      </c>
      <c r="C12" s="34">
        <f>SUM(C9:C11)</f>
        <v>1920000</v>
      </c>
      <c r="D12" s="34">
        <f>SUM(D9:D11)</f>
        <v>0</v>
      </c>
      <c r="E12" s="34">
        <f>SUM(E9:E11)</f>
        <v>124782803</v>
      </c>
    </row>
    <row r="13" spans="1:5" ht="31.5">
      <c r="A13" s="59" t="s">
        <v>110</v>
      </c>
      <c r="B13" s="15">
        <f>18714866+1872872</f>
        <v>20587738</v>
      </c>
      <c r="C13" s="15">
        <v>0</v>
      </c>
      <c r="D13" s="15">
        <v>0</v>
      </c>
      <c r="E13" s="15">
        <f>SUM(B13:D13)</f>
        <v>20587738</v>
      </c>
    </row>
    <row r="14" spans="1:5" ht="15.75">
      <c r="A14" s="59" t="s">
        <v>435</v>
      </c>
      <c r="B14" s="15">
        <v>465300</v>
      </c>
      <c r="C14" s="15">
        <v>0</v>
      </c>
      <c r="D14" s="15">
        <v>0</v>
      </c>
      <c r="E14" s="15">
        <f>SUM(B14:D14)</f>
        <v>465300</v>
      </c>
    </row>
    <row r="15" spans="1:5" ht="15.75">
      <c r="A15" s="72" t="s">
        <v>109</v>
      </c>
      <c r="B15" s="15">
        <v>0</v>
      </c>
      <c r="C15" s="15">
        <v>336000</v>
      </c>
      <c r="D15" s="15">
        <v>0</v>
      </c>
      <c r="E15" s="15">
        <f>SUM(B15:D15)</f>
        <v>336000</v>
      </c>
    </row>
    <row r="16" spans="1:5" ht="15.75">
      <c r="A16" s="49" t="s">
        <v>123</v>
      </c>
      <c r="B16" s="34">
        <f>SUM(B13:B15)</f>
        <v>21053038</v>
      </c>
      <c r="C16" s="34">
        <f>SUM(C13:C15)</f>
        <v>336000</v>
      </c>
      <c r="D16" s="34">
        <f>SUM(D13:D15)</f>
        <v>0</v>
      </c>
      <c r="E16" s="34">
        <f>SUM(E13:E15)</f>
        <v>21389038</v>
      </c>
    </row>
    <row r="17" spans="1:5" ht="31.5">
      <c r="A17" s="59" t="s">
        <v>110</v>
      </c>
      <c r="B17" s="15">
        <f>102807182-14580</f>
        <v>102792602</v>
      </c>
      <c r="C17" s="15">
        <v>17364372</v>
      </c>
      <c r="D17" s="15">
        <v>0</v>
      </c>
      <c r="E17" s="15">
        <f>SUM(B17:D17)</f>
        <v>120156974</v>
      </c>
    </row>
    <row r="18" spans="1:5" ht="15.75">
      <c r="A18" s="14" t="s">
        <v>0</v>
      </c>
      <c r="B18" s="15">
        <v>223526812</v>
      </c>
      <c r="C18" s="15">
        <v>0</v>
      </c>
      <c r="D18" s="15">
        <v>0</v>
      </c>
      <c r="E18" s="15">
        <f aca="true" t="shared" si="0" ref="E18:E30">SUM(B18:D18)</f>
        <v>223526812</v>
      </c>
    </row>
    <row r="19" spans="1:5" ht="15.75">
      <c r="A19" s="14" t="s">
        <v>4</v>
      </c>
      <c r="B19" s="15">
        <v>69827300</v>
      </c>
      <c r="C19" s="15">
        <v>0</v>
      </c>
      <c r="D19" s="15">
        <v>0</v>
      </c>
      <c r="E19" s="15">
        <f t="shared" si="0"/>
        <v>69827300</v>
      </c>
    </row>
    <row r="20" spans="1:5" ht="15.75">
      <c r="A20" s="14" t="s">
        <v>355</v>
      </c>
      <c r="B20" s="15">
        <v>0</v>
      </c>
      <c r="C20" s="15">
        <v>0</v>
      </c>
      <c r="D20" s="15">
        <v>0</v>
      </c>
      <c r="E20" s="15">
        <f t="shared" si="0"/>
        <v>0</v>
      </c>
    </row>
    <row r="21" spans="1:5" ht="15.75">
      <c r="A21" s="59" t="s">
        <v>189</v>
      </c>
      <c r="B21" s="15">
        <v>25400</v>
      </c>
      <c r="C21" s="15">
        <v>0</v>
      </c>
      <c r="D21" s="15">
        <v>0</v>
      </c>
      <c r="E21" s="15">
        <f t="shared" si="0"/>
        <v>25400</v>
      </c>
    </row>
    <row r="22" spans="1:5" ht="15.75">
      <c r="A22" s="14" t="s">
        <v>159</v>
      </c>
      <c r="B22" s="15">
        <v>11153080</v>
      </c>
      <c r="C22" s="15">
        <v>0</v>
      </c>
      <c r="D22" s="15">
        <v>0</v>
      </c>
      <c r="E22" s="15">
        <f t="shared" si="0"/>
        <v>11153080</v>
      </c>
    </row>
    <row r="23" spans="1:5" ht="15.75">
      <c r="A23" s="14" t="s">
        <v>111</v>
      </c>
      <c r="B23" s="15">
        <v>159590703</v>
      </c>
      <c r="C23" s="15">
        <v>0</v>
      </c>
      <c r="D23" s="15">
        <v>0</v>
      </c>
      <c r="E23" s="15">
        <f t="shared" si="0"/>
        <v>159590703</v>
      </c>
    </row>
    <row r="24" spans="1:5" ht="15.75">
      <c r="A24" s="14" t="s">
        <v>1</v>
      </c>
      <c r="B24" s="15">
        <v>54450000</v>
      </c>
      <c r="C24" s="15">
        <v>0</v>
      </c>
      <c r="D24" s="15">
        <v>0</v>
      </c>
      <c r="E24" s="15">
        <f t="shared" si="0"/>
        <v>54450000</v>
      </c>
    </row>
    <row r="25" spans="1:5" ht="15.75">
      <c r="A25" s="14" t="s">
        <v>124</v>
      </c>
      <c r="B25" s="15">
        <v>85068004</v>
      </c>
      <c r="C25" s="15">
        <v>0</v>
      </c>
      <c r="D25" s="15">
        <v>0</v>
      </c>
      <c r="E25" s="15">
        <f t="shared" si="0"/>
        <v>85068004</v>
      </c>
    </row>
    <row r="26" spans="1:5" ht="15.75">
      <c r="A26" s="14" t="s">
        <v>125</v>
      </c>
      <c r="B26" s="15">
        <f>52087176+2125984+7874016-2418817</f>
        <v>59668359</v>
      </c>
      <c r="C26" s="15">
        <f>45742965+1378000+372060</f>
        <v>47493025</v>
      </c>
      <c r="D26" s="15">
        <v>0</v>
      </c>
      <c r="E26" s="15">
        <f t="shared" si="0"/>
        <v>107161384</v>
      </c>
    </row>
    <row r="27" spans="1:5" ht="15.75">
      <c r="A27" s="59" t="s">
        <v>2</v>
      </c>
      <c r="B27" s="15">
        <v>22241823</v>
      </c>
      <c r="C27" s="15">
        <v>101600</v>
      </c>
      <c r="D27" s="15">
        <v>0</v>
      </c>
      <c r="E27" s="15">
        <f t="shared" si="0"/>
        <v>22343423</v>
      </c>
    </row>
    <row r="28" spans="1:5" ht="15.75">
      <c r="A28" s="14" t="s">
        <v>113</v>
      </c>
      <c r="B28" s="15">
        <v>13175000</v>
      </c>
      <c r="C28" s="15">
        <v>0</v>
      </c>
      <c r="D28" s="15">
        <v>0</v>
      </c>
      <c r="E28" s="15">
        <f t="shared" si="0"/>
        <v>13175000</v>
      </c>
    </row>
    <row r="29" spans="1:5" ht="15.75">
      <c r="A29" s="14" t="s">
        <v>109</v>
      </c>
      <c r="B29" s="15">
        <v>0</v>
      </c>
      <c r="C29" s="15">
        <v>14007307</v>
      </c>
      <c r="D29" s="15">
        <v>0</v>
      </c>
      <c r="E29" s="15">
        <f t="shared" si="0"/>
        <v>14007307</v>
      </c>
    </row>
    <row r="30" spans="1:5" ht="15.75">
      <c r="A30" s="14" t="s">
        <v>126</v>
      </c>
      <c r="B30" s="15">
        <v>14330680</v>
      </c>
      <c r="C30" s="15">
        <v>3175000</v>
      </c>
      <c r="D30" s="15">
        <v>0</v>
      </c>
      <c r="E30" s="15">
        <f t="shared" si="0"/>
        <v>17505680</v>
      </c>
    </row>
    <row r="31" spans="1:5" ht="15.75">
      <c r="A31" s="49" t="s">
        <v>10</v>
      </c>
      <c r="B31" s="34">
        <f>SUM(B17:B30)</f>
        <v>815849763</v>
      </c>
      <c r="C31" s="34">
        <f>SUM(C17:C30)</f>
        <v>82141304</v>
      </c>
      <c r="D31" s="34">
        <f>SUM(D17:D30)</f>
        <v>0</v>
      </c>
      <c r="E31" s="34">
        <f>SUM(E17:E30)</f>
        <v>897991067</v>
      </c>
    </row>
    <row r="32" spans="1:7" ht="15.75">
      <c r="A32" s="59" t="s">
        <v>120</v>
      </c>
      <c r="B32" s="15">
        <v>0</v>
      </c>
      <c r="C32" s="15">
        <v>0</v>
      </c>
      <c r="D32" s="15">
        <v>0</v>
      </c>
      <c r="E32" s="73">
        <f>SUM(B32:D32)</f>
        <v>0</v>
      </c>
      <c r="G32" s="7"/>
    </row>
    <row r="33" spans="1:7" ht="15.75">
      <c r="A33" s="14" t="s">
        <v>126</v>
      </c>
      <c r="B33" s="15">
        <v>9700000</v>
      </c>
      <c r="C33" s="15">
        <v>40674600</v>
      </c>
      <c r="D33" s="15">
        <v>0</v>
      </c>
      <c r="E33" s="73">
        <f>SUM(B33:D33)</f>
        <v>50374600</v>
      </c>
      <c r="G33" s="7"/>
    </row>
    <row r="34" spans="1:5" ht="15.75">
      <c r="A34" s="43" t="s">
        <v>127</v>
      </c>
      <c r="B34" s="34">
        <f>SUM(B32:B33)</f>
        <v>9700000</v>
      </c>
      <c r="C34" s="34">
        <f>SUM(C32:C33)</f>
        <v>40674600</v>
      </c>
      <c r="D34" s="34">
        <f>SUM(D32:D33)</f>
        <v>0</v>
      </c>
      <c r="E34" s="34">
        <f>SUM(E32:E33)</f>
        <v>50374600</v>
      </c>
    </row>
    <row r="35" spans="1:5" ht="31.5">
      <c r="A35" s="59" t="s">
        <v>110</v>
      </c>
      <c r="B35" s="15">
        <f>1103333874+22750000-600000000+161084138+1000000+16076610+62200000+1000000+4500000+3000000+10802397+19570870-4570866</f>
        <v>800747023</v>
      </c>
      <c r="C35" s="15">
        <v>5000000</v>
      </c>
      <c r="D35" s="15">
        <v>0</v>
      </c>
      <c r="E35" s="15">
        <f>SUM(B35:D35)</f>
        <v>805747023</v>
      </c>
    </row>
    <row r="36" spans="1:5" ht="15.75">
      <c r="A36" s="118" t="s">
        <v>436</v>
      </c>
      <c r="B36" s="15">
        <f>126853100+368670+507075761</f>
        <v>634297531</v>
      </c>
      <c r="C36" s="15">
        <v>0</v>
      </c>
      <c r="D36" s="15">
        <v>0</v>
      </c>
      <c r="E36" s="15">
        <f>SUM(B36:D36)</f>
        <v>634297531</v>
      </c>
    </row>
    <row r="37" spans="1:5" ht="15.75">
      <c r="A37" s="14" t="s">
        <v>125</v>
      </c>
      <c r="B37" s="15">
        <v>50000000</v>
      </c>
      <c r="C37" s="15">
        <v>0</v>
      </c>
      <c r="D37" s="15">
        <v>0</v>
      </c>
      <c r="E37" s="15">
        <f aca="true" t="shared" si="1" ref="E37:E44">SUM(B37:D37)</f>
        <v>50000000</v>
      </c>
    </row>
    <row r="38" spans="1:5" ht="15.75">
      <c r="A38" s="14" t="s">
        <v>113</v>
      </c>
      <c r="B38" s="15">
        <v>0</v>
      </c>
      <c r="C38" s="15">
        <v>35000000</v>
      </c>
      <c r="D38" s="15">
        <v>0</v>
      </c>
      <c r="E38" s="15">
        <f t="shared" si="1"/>
        <v>35000000</v>
      </c>
    </row>
    <row r="39" spans="1:5" ht="15.75">
      <c r="A39" s="59" t="s">
        <v>3</v>
      </c>
      <c r="B39" s="15">
        <v>196152000</v>
      </c>
      <c r="C39" s="15">
        <v>0</v>
      </c>
      <c r="D39" s="15">
        <v>0</v>
      </c>
      <c r="E39" s="15">
        <f>SUM(B39:D39)</f>
        <v>196152000</v>
      </c>
    </row>
    <row r="40" spans="1:5" ht="15.75" customHeight="1">
      <c r="A40" s="14" t="s">
        <v>129</v>
      </c>
      <c r="B40" s="15">
        <v>81537000</v>
      </c>
      <c r="C40" s="15">
        <v>96000000</v>
      </c>
      <c r="D40" s="15">
        <v>0</v>
      </c>
      <c r="E40" s="15">
        <f t="shared" si="1"/>
        <v>177537000</v>
      </c>
    </row>
    <row r="41" spans="1:5" ht="15.75" customHeight="1">
      <c r="A41" s="14" t="s">
        <v>2</v>
      </c>
      <c r="B41" s="15">
        <v>4490000</v>
      </c>
      <c r="C41" s="15">
        <v>14400000</v>
      </c>
      <c r="D41" s="15">
        <v>0</v>
      </c>
      <c r="E41" s="15">
        <f>SUM(B41:D41)</f>
        <v>18890000</v>
      </c>
    </row>
    <row r="42" spans="1:5" ht="15.75">
      <c r="A42" s="14" t="s">
        <v>130</v>
      </c>
      <c r="B42" s="15">
        <v>0</v>
      </c>
      <c r="C42" s="15">
        <v>4500000</v>
      </c>
      <c r="D42" s="15">
        <v>0</v>
      </c>
      <c r="E42" s="15">
        <f t="shared" si="1"/>
        <v>4500000</v>
      </c>
    </row>
    <row r="43" spans="1:5" ht="15.75">
      <c r="A43" s="14" t="s">
        <v>131</v>
      </c>
      <c r="B43" s="15">
        <v>0</v>
      </c>
      <c r="C43" s="15">
        <v>6515000</v>
      </c>
      <c r="D43" s="15">
        <v>0</v>
      </c>
      <c r="E43" s="15">
        <f t="shared" si="1"/>
        <v>6515000</v>
      </c>
    </row>
    <row r="44" spans="1:5" ht="15.75">
      <c r="A44" s="14" t="s">
        <v>126</v>
      </c>
      <c r="B44" s="15">
        <v>3440000</v>
      </c>
      <c r="C44" s="15">
        <v>5000000</v>
      </c>
      <c r="D44" s="15">
        <v>0</v>
      </c>
      <c r="E44" s="15">
        <f t="shared" si="1"/>
        <v>8440000</v>
      </c>
    </row>
    <row r="45" spans="1:5" ht="15.75">
      <c r="A45" s="43" t="s">
        <v>128</v>
      </c>
      <c r="B45" s="34">
        <f>SUM(B35:B44)</f>
        <v>1770663554</v>
      </c>
      <c r="C45" s="34">
        <f>SUM(C35:C44)</f>
        <v>166415000</v>
      </c>
      <c r="D45" s="34">
        <f>SUM(D35:D44)</f>
        <v>0</v>
      </c>
      <c r="E45" s="34">
        <f>SUM(E35:E44)</f>
        <v>1937078554</v>
      </c>
    </row>
    <row r="46" spans="1:5" ht="15.75">
      <c r="A46" s="23" t="s">
        <v>404</v>
      </c>
      <c r="B46" s="15">
        <v>500167807</v>
      </c>
      <c r="C46" s="15">
        <v>12000000</v>
      </c>
      <c r="D46" s="15">
        <v>0</v>
      </c>
      <c r="E46" s="15">
        <f>B46+C46</f>
        <v>512167807</v>
      </c>
    </row>
    <row r="47" spans="1:5" ht="15.75">
      <c r="A47" s="22" t="s">
        <v>132</v>
      </c>
      <c r="B47" s="34">
        <f>B12+B16+B31+B34+B45</f>
        <v>2740129158</v>
      </c>
      <c r="C47" s="34">
        <f>C12+C16+C31+C34+C45</f>
        <v>291486904</v>
      </c>
      <c r="D47" s="34">
        <f>D12+D16+D31+D34+D45</f>
        <v>0</v>
      </c>
      <c r="E47" s="34">
        <f>E12+E16+E31+E34+E45</f>
        <v>3031616062</v>
      </c>
    </row>
    <row r="48" spans="1:5" ht="15.75">
      <c r="A48" s="59" t="s">
        <v>3</v>
      </c>
      <c r="B48" s="15">
        <v>23786842</v>
      </c>
      <c r="C48" s="15">
        <v>0</v>
      </c>
      <c r="D48" s="15">
        <v>0</v>
      </c>
      <c r="E48" s="15">
        <v>23786842</v>
      </c>
    </row>
    <row r="49" spans="1:5" ht="31.5">
      <c r="A49" s="59" t="s">
        <v>110</v>
      </c>
      <c r="B49" s="15">
        <v>0</v>
      </c>
      <c r="C49" s="15">
        <v>0</v>
      </c>
      <c r="D49" s="15">
        <v>0</v>
      </c>
      <c r="E49" s="15">
        <f>SUM(B49:D49)</f>
        <v>0</v>
      </c>
    </row>
    <row r="50" spans="1:5" ht="15.75">
      <c r="A50" s="14" t="s">
        <v>0</v>
      </c>
      <c r="B50" s="15">
        <f>1312180823+78740153+21259843-16076610-8958580+34000000</f>
        <v>1421145629</v>
      </c>
      <c r="C50" s="15">
        <v>29110236</v>
      </c>
      <c r="D50" s="15">
        <v>0</v>
      </c>
      <c r="E50" s="15">
        <f>SUM(B50:D50)</f>
        <v>1450255865</v>
      </c>
    </row>
    <row r="51" spans="1:5" ht="15.75">
      <c r="A51" s="53" t="s">
        <v>4</v>
      </c>
      <c r="B51" s="15">
        <v>0</v>
      </c>
      <c r="C51" s="15">
        <v>0</v>
      </c>
      <c r="D51" s="15">
        <v>0</v>
      </c>
      <c r="E51" s="15">
        <f aca="true" t="shared" si="2" ref="E51:E57">SUM(B51:D51)</f>
        <v>0</v>
      </c>
    </row>
    <row r="52" spans="1:5" ht="15.75">
      <c r="A52" s="118" t="s">
        <v>355</v>
      </c>
      <c r="B52" s="15">
        <v>0</v>
      </c>
      <c r="C52" s="15">
        <v>0</v>
      </c>
      <c r="D52" s="15">
        <v>0</v>
      </c>
      <c r="E52" s="15">
        <f t="shared" si="2"/>
        <v>0</v>
      </c>
    </row>
    <row r="53" spans="1:5" ht="15.75">
      <c r="A53" s="14" t="s">
        <v>159</v>
      </c>
      <c r="B53" s="15">
        <v>0</v>
      </c>
      <c r="C53" s="15">
        <v>0</v>
      </c>
      <c r="D53" s="15">
        <v>0</v>
      </c>
      <c r="E53" s="15">
        <f t="shared" si="2"/>
        <v>0</v>
      </c>
    </row>
    <row r="54" spans="1:5" ht="15.75">
      <c r="A54" s="14" t="s">
        <v>1</v>
      </c>
      <c r="B54" s="15">
        <v>17920000</v>
      </c>
      <c r="C54" s="15">
        <v>21590000</v>
      </c>
      <c r="D54" s="15">
        <v>0</v>
      </c>
      <c r="E54" s="15">
        <f t="shared" si="2"/>
        <v>39510000</v>
      </c>
    </row>
    <row r="55" spans="1:5" ht="15.75">
      <c r="A55" s="14" t="s">
        <v>125</v>
      </c>
      <c r="B55" s="15">
        <f>355685897+2113765+43406555+11719770+300000</f>
        <v>413225987</v>
      </c>
      <c r="C55" s="15"/>
      <c r="D55" s="15">
        <v>0</v>
      </c>
      <c r="E55" s="15">
        <f t="shared" si="2"/>
        <v>413225987</v>
      </c>
    </row>
    <row r="56" spans="1:5" ht="15.75">
      <c r="A56" s="59" t="s">
        <v>2</v>
      </c>
      <c r="B56" s="15">
        <v>0</v>
      </c>
      <c r="C56" s="15">
        <v>0</v>
      </c>
      <c r="D56" s="15">
        <v>0</v>
      </c>
      <c r="E56" s="15">
        <f t="shared" si="2"/>
        <v>0</v>
      </c>
    </row>
    <row r="57" spans="1:5" ht="15.75">
      <c r="A57" s="14" t="s">
        <v>113</v>
      </c>
      <c r="B57" s="15">
        <v>190576610</v>
      </c>
      <c r="C57" s="15">
        <v>0</v>
      </c>
      <c r="D57" s="15">
        <v>0</v>
      </c>
      <c r="E57" s="15">
        <f t="shared" si="2"/>
        <v>190576610</v>
      </c>
    </row>
    <row r="58" spans="1:5" ht="15.75">
      <c r="A58" s="50" t="s">
        <v>133</v>
      </c>
      <c r="B58" s="34">
        <f>SUM(B48:B57)</f>
        <v>2066655068</v>
      </c>
      <c r="C58" s="34">
        <f>SUM(C49:C57)</f>
        <v>50700236</v>
      </c>
      <c r="D58" s="34">
        <f>SUM(D49:D57)</f>
        <v>0</v>
      </c>
      <c r="E58" s="34">
        <f>SUM(E48:E57)</f>
        <v>2117355304</v>
      </c>
    </row>
    <row r="59" spans="1:5" ht="31.5">
      <c r="A59" s="59" t="s">
        <v>110</v>
      </c>
      <c r="B59" s="15">
        <f>32915112+2</f>
        <v>32915114</v>
      </c>
      <c r="C59" s="34"/>
      <c r="D59" s="34"/>
      <c r="E59" s="15">
        <f>B59</f>
        <v>32915114</v>
      </c>
    </row>
    <row r="60" spans="1:5" ht="15.75">
      <c r="A60" s="118" t="s">
        <v>0</v>
      </c>
      <c r="B60" s="15">
        <f>195897988+40000000</f>
        <v>235897988</v>
      </c>
      <c r="C60" s="15">
        <v>0</v>
      </c>
      <c r="D60" s="15">
        <v>0</v>
      </c>
      <c r="E60" s="15">
        <f>B60</f>
        <v>235897988</v>
      </c>
    </row>
    <row r="61" spans="1:5" ht="15.75">
      <c r="A61" s="118" t="s">
        <v>355</v>
      </c>
      <c r="B61" s="15">
        <v>0</v>
      </c>
      <c r="C61" s="15">
        <v>0</v>
      </c>
      <c r="D61" s="15">
        <v>0</v>
      </c>
      <c r="E61" s="15">
        <f>SUM(B61:D61)</f>
        <v>0</v>
      </c>
    </row>
    <row r="62" spans="1:5" ht="15.75">
      <c r="A62" s="14" t="s">
        <v>159</v>
      </c>
      <c r="B62" s="15">
        <v>57540000</v>
      </c>
      <c r="C62" s="15">
        <v>0</v>
      </c>
      <c r="D62" s="15">
        <v>0</v>
      </c>
      <c r="E62" s="15">
        <f>SUM(B62:D62)</f>
        <v>57540000</v>
      </c>
    </row>
    <row r="63" spans="1:5" ht="15.75">
      <c r="A63" s="59" t="s">
        <v>112</v>
      </c>
      <c r="B63" s="15">
        <v>80000000</v>
      </c>
      <c r="C63" s="15">
        <v>0</v>
      </c>
      <c r="D63" s="15">
        <v>0</v>
      </c>
      <c r="E63" s="15">
        <f>SUM(B63:D63)</f>
        <v>80000000</v>
      </c>
    </row>
    <row r="64" spans="1:5" ht="15.75">
      <c r="A64" s="118" t="s">
        <v>2</v>
      </c>
      <c r="B64" s="15">
        <v>0</v>
      </c>
      <c r="C64" s="15">
        <v>0</v>
      </c>
      <c r="D64" s="15">
        <v>0</v>
      </c>
      <c r="E64" s="15">
        <f>SUM(B64:D64)</f>
        <v>0</v>
      </c>
    </row>
    <row r="65" spans="1:5" ht="15.75">
      <c r="A65" s="43" t="s">
        <v>134</v>
      </c>
      <c r="B65" s="34">
        <f>SUM(B59:B64)</f>
        <v>406353102</v>
      </c>
      <c r="C65" s="34">
        <f>SUM(C59:C64)</f>
        <v>0</v>
      </c>
      <c r="D65" s="34">
        <f>SUM(D59:D64)</f>
        <v>0</v>
      </c>
      <c r="E65" s="34">
        <f>SUM(E59:E64)</f>
        <v>406353102</v>
      </c>
    </row>
    <row r="66" spans="1:5" ht="31.5">
      <c r="A66" s="59" t="s">
        <v>110</v>
      </c>
      <c r="B66" s="15">
        <v>0</v>
      </c>
      <c r="C66" s="15">
        <f>33900000-15000000</f>
        <v>18900000</v>
      </c>
      <c r="D66" s="15">
        <v>0</v>
      </c>
      <c r="E66" s="15">
        <f>SUM(B66:D66)</f>
        <v>18900000</v>
      </c>
    </row>
    <row r="67" spans="1:5" ht="15.75">
      <c r="A67" s="14" t="s">
        <v>113</v>
      </c>
      <c r="B67" s="15">
        <v>578351047</v>
      </c>
      <c r="C67" s="15"/>
      <c r="D67" s="15">
        <v>0</v>
      </c>
      <c r="E67" s="15">
        <f>SUM(B67:D67)</f>
        <v>578351047</v>
      </c>
    </row>
    <row r="68" spans="1:5" ht="15.75">
      <c r="A68" s="43" t="s">
        <v>135</v>
      </c>
      <c r="B68" s="34">
        <f>SUM(B66:B67)</f>
        <v>578351047</v>
      </c>
      <c r="C68" s="34">
        <f>SUM(C66:C67)</f>
        <v>18900000</v>
      </c>
      <c r="D68" s="34">
        <f>SUM(D66:D67)</f>
        <v>0</v>
      </c>
      <c r="E68" s="34">
        <f>SUM(E66:E67)</f>
        <v>597251047</v>
      </c>
    </row>
    <row r="69" spans="1:5" ht="15.75">
      <c r="A69" s="33" t="s">
        <v>136</v>
      </c>
      <c r="B69" s="12">
        <f>B58+B65+B68</f>
        <v>3051359217</v>
      </c>
      <c r="C69" s="12">
        <f>C58+C65+C68</f>
        <v>69600236</v>
      </c>
      <c r="D69" s="12">
        <f>D58+D65+D68</f>
        <v>0</v>
      </c>
      <c r="E69" s="12">
        <f>E58+E65+E68</f>
        <v>3120959453</v>
      </c>
    </row>
    <row r="70" spans="1:5" ht="15.75">
      <c r="A70" s="74" t="s">
        <v>137</v>
      </c>
      <c r="B70" s="12">
        <f>B69+B47</f>
        <v>5791488375</v>
      </c>
      <c r="C70" s="12">
        <f>C69+C47</f>
        <v>361087140</v>
      </c>
      <c r="D70" s="12">
        <f>D69+D47</f>
        <v>0</v>
      </c>
      <c r="E70" s="12">
        <f>E69+E47</f>
        <v>6152575515</v>
      </c>
    </row>
    <row r="71" spans="1:5" ht="15.75">
      <c r="A71" s="14" t="s">
        <v>160</v>
      </c>
      <c r="B71" s="70">
        <f>2234860603+3000000</f>
        <v>2237860603</v>
      </c>
      <c r="C71" s="70">
        <f>6!D255</f>
        <v>0</v>
      </c>
      <c r="D71" s="70">
        <f>6!E255</f>
        <v>0</v>
      </c>
      <c r="E71" s="70">
        <f>SUM(B71:D71)</f>
        <v>2237860603</v>
      </c>
    </row>
    <row r="72" spans="1:5" ht="15.75">
      <c r="A72" s="14" t="s">
        <v>70</v>
      </c>
      <c r="B72" s="70">
        <v>79620170</v>
      </c>
      <c r="C72" s="70">
        <v>0</v>
      </c>
      <c r="D72" s="70">
        <v>0</v>
      </c>
      <c r="E72" s="70">
        <v>79620170</v>
      </c>
    </row>
    <row r="73" spans="1:5" ht="15.75">
      <c r="A73" s="33" t="s">
        <v>161</v>
      </c>
      <c r="B73" s="12">
        <f>SUM(B71:B72)</f>
        <v>2317480773</v>
      </c>
      <c r="C73" s="12">
        <f>SUM(C71:C71)</f>
        <v>0</v>
      </c>
      <c r="D73" s="12">
        <f>SUM(D71:D71)</f>
        <v>0</v>
      </c>
      <c r="E73" s="12">
        <f>SUM(E71:E72)</f>
        <v>2317480773</v>
      </c>
    </row>
    <row r="74" spans="1:5" ht="15.75">
      <c r="A74" s="33" t="s">
        <v>402</v>
      </c>
      <c r="B74" s="12">
        <f>B73+B70</f>
        <v>8108969148</v>
      </c>
      <c r="C74" s="12">
        <f>C73+C70</f>
        <v>361087140</v>
      </c>
      <c r="D74" s="34">
        <f>D73+D70</f>
        <v>0</v>
      </c>
      <c r="E74" s="12">
        <f>E73+E70</f>
        <v>8470056288</v>
      </c>
    </row>
    <row r="77" spans="3:5" ht="15.75">
      <c r="C77" s="8"/>
      <c r="E77" s="8"/>
    </row>
  </sheetData>
  <sheetProtection/>
  <mergeCells count="5">
    <mergeCell ref="A1:E1"/>
    <mergeCell ref="B7:D7"/>
    <mergeCell ref="E7:E8"/>
    <mergeCell ref="A3:E3"/>
    <mergeCell ref="A4:E4"/>
  </mergeCells>
  <printOptions/>
  <pageMargins left="0.984251968503937" right="0" top="0" bottom="0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9.125" style="2" customWidth="1"/>
    <col min="2" max="2" width="57.25390625" style="2" customWidth="1"/>
    <col min="3" max="3" width="15.125" style="2" bestFit="1" customWidth="1"/>
    <col min="4" max="4" width="9.125" style="2" customWidth="1"/>
    <col min="5" max="5" width="10.75390625" style="2" customWidth="1"/>
    <col min="6" max="6" width="15.25390625" style="2" bestFit="1" customWidth="1"/>
    <col min="7" max="16384" width="9.125" style="2" customWidth="1"/>
  </cols>
  <sheetData>
    <row r="1" spans="1:6" ht="15.75">
      <c r="A1" s="330" t="s">
        <v>554</v>
      </c>
      <c r="B1" s="330"/>
      <c r="C1" s="330"/>
      <c r="D1" s="330"/>
      <c r="E1" s="330"/>
      <c r="F1" s="330"/>
    </row>
    <row r="2" spans="2:3" ht="15.75">
      <c r="B2" s="58"/>
      <c r="C2" s="58"/>
    </row>
    <row r="3" spans="1:6" ht="18.75" customHeight="1">
      <c r="A3" s="331" t="s">
        <v>30</v>
      </c>
      <c r="B3" s="331"/>
      <c r="C3" s="331"/>
      <c r="D3" s="331"/>
      <c r="E3" s="331"/>
      <c r="F3" s="331"/>
    </row>
    <row r="4" spans="1:6" ht="18" customHeight="1">
      <c r="A4" s="331" t="s">
        <v>446</v>
      </c>
      <c r="B4" s="331"/>
      <c r="C4" s="331"/>
      <c r="D4" s="331"/>
      <c r="E4" s="331"/>
      <c r="F4" s="331"/>
    </row>
    <row r="5" spans="2:3" ht="16.5" customHeight="1">
      <c r="B5" s="5"/>
      <c r="C5" s="5"/>
    </row>
    <row r="6" spans="1:6" ht="15.75">
      <c r="A6" s="123"/>
      <c r="B6" s="9"/>
      <c r="C6" s="10"/>
      <c r="D6" s="9"/>
      <c r="E6" s="9"/>
      <c r="F6" s="10" t="s">
        <v>342</v>
      </c>
    </row>
    <row r="7" spans="1:6" ht="15.75">
      <c r="A7" s="337" t="s">
        <v>239</v>
      </c>
      <c r="B7" s="144" t="s">
        <v>15</v>
      </c>
      <c r="C7" s="321" t="s">
        <v>33</v>
      </c>
      <c r="D7" s="321"/>
      <c r="E7" s="321"/>
      <c r="F7" s="321"/>
    </row>
    <row r="8" spans="1:6" ht="31.5">
      <c r="A8" s="338"/>
      <c r="B8" s="144" t="s">
        <v>36</v>
      </c>
      <c r="C8" s="26" t="s">
        <v>34</v>
      </c>
      <c r="D8" s="37" t="s">
        <v>35</v>
      </c>
      <c r="E8" s="37" t="s">
        <v>190</v>
      </c>
      <c r="F8" s="37" t="s">
        <v>17</v>
      </c>
    </row>
    <row r="9" spans="1:6" ht="15.75">
      <c r="A9" s="145" t="s">
        <v>319</v>
      </c>
      <c r="B9" s="152" t="s">
        <v>32</v>
      </c>
      <c r="C9" s="153"/>
      <c r="D9" s="127"/>
      <c r="E9" s="127"/>
      <c r="F9" s="127"/>
    </row>
    <row r="10" spans="1:6" ht="15.75">
      <c r="A10" s="145" t="s">
        <v>143</v>
      </c>
      <c r="B10" s="154" t="s">
        <v>25</v>
      </c>
      <c r="C10" s="155">
        <v>951725564</v>
      </c>
      <c r="D10" s="130">
        <v>0</v>
      </c>
      <c r="E10" s="156">
        <v>0</v>
      </c>
      <c r="F10" s="156">
        <f>C10+D10+E10</f>
        <v>951725564</v>
      </c>
    </row>
    <row r="11" spans="1:6" ht="31.5">
      <c r="A11" s="147" t="s">
        <v>144</v>
      </c>
      <c r="B11" s="157" t="s">
        <v>69</v>
      </c>
      <c r="C11" s="158">
        <v>483650</v>
      </c>
      <c r="D11" s="158">
        <v>0</v>
      </c>
      <c r="E11" s="158">
        <v>0</v>
      </c>
      <c r="F11" s="156">
        <f>C11+D11+E11</f>
        <v>483650</v>
      </c>
    </row>
    <row r="12" spans="1:6" ht="31.5">
      <c r="A12" s="145" t="s">
        <v>145</v>
      </c>
      <c r="B12" s="159" t="s">
        <v>320</v>
      </c>
      <c r="C12" s="160">
        <f>SUM(C11)</f>
        <v>483650</v>
      </c>
      <c r="D12" s="160">
        <f>SUM(D11)</f>
        <v>0</v>
      </c>
      <c r="E12" s="160">
        <f>SUM(E11)</f>
        <v>0</v>
      </c>
      <c r="F12" s="160">
        <f>SUM(F11)</f>
        <v>483650</v>
      </c>
    </row>
    <row r="13" spans="1:6" ht="15.75">
      <c r="A13" s="147" t="s">
        <v>146</v>
      </c>
      <c r="B13" s="133" t="s">
        <v>84</v>
      </c>
      <c r="C13" s="158">
        <v>0</v>
      </c>
      <c r="D13" s="158">
        <v>0</v>
      </c>
      <c r="E13" s="158">
        <v>0</v>
      </c>
      <c r="F13" s="139">
        <f>C13+D13+E13</f>
        <v>0</v>
      </c>
    </row>
    <row r="14" spans="1:6" ht="15.75">
      <c r="A14" s="145" t="s">
        <v>147</v>
      </c>
      <c r="B14" s="161" t="s">
        <v>321</v>
      </c>
      <c r="C14" s="160">
        <f>SUM(C13)</f>
        <v>0</v>
      </c>
      <c r="D14" s="160">
        <f>SUM(D13)</f>
        <v>0</v>
      </c>
      <c r="E14" s="160">
        <f>SUM(E13)</f>
        <v>0</v>
      </c>
      <c r="F14" s="160">
        <f>SUM(F13)</f>
        <v>0</v>
      </c>
    </row>
    <row r="15" spans="1:6" ht="15.75">
      <c r="A15" s="147" t="s">
        <v>148</v>
      </c>
      <c r="B15" s="157" t="s">
        <v>193</v>
      </c>
      <c r="C15" s="158">
        <v>0</v>
      </c>
      <c r="D15" s="158">
        <v>0</v>
      </c>
      <c r="E15" s="158">
        <v>0</v>
      </c>
      <c r="F15" s="158">
        <f>C15+D15+E15</f>
        <v>0</v>
      </c>
    </row>
    <row r="16" spans="1:6" ht="15.75">
      <c r="A16" s="147" t="s">
        <v>150</v>
      </c>
      <c r="B16" s="157" t="s">
        <v>48</v>
      </c>
      <c r="C16" s="158">
        <v>4233000</v>
      </c>
      <c r="D16" s="158">
        <v>0</v>
      </c>
      <c r="E16" s="158">
        <v>0</v>
      </c>
      <c r="F16" s="158">
        <f aca="true" t="shared" si="0" ref="F16:F29">C16+D16+E16</f>
        <v>4233000</v>
      </c>
    </row>
    <row r="17" spans="1:6" ht="15.75">
      <c r="A17" s="147" t="s">
        <v>152</v>
      </c>
      <c r="B17" s="157" t="s">
        <v>194</v>
      </c>
      <c r="C17" s="158">
        <v>15550000</v>
      </c>
      <c r="D17" s="158">
        <v>0</v>
      </c>
      <c r="E17" s="158">
        <v>0</v>
      </c>
      <c r="F17" s="158">
        <f t="shared" si="0"/>
        <v>15550000</v>
      </c>
    </row>
    <row r="18" spans="1:6" ht="15.75">
      <c r="A18" s="147" t="s">
        <v>154</v>
      </c>
      <c r="B18" s="157" t="s">
        <v>49</v>
      </c>
      <c r="C18" s="158">
        <v>0</v>
      </c>
      <c r="D18" s="158">
        <v>0</v>
      </c>
      <c r="E18" s="158">
        <v>0</v>
      </c>
      <c r="F18" s="158">
        <f t="shared" si="0"/>
        <v>0</v>
      </c>
    </row>
    <row r="19" spans="1:6" ht="15.75">
      <c r="A19" s="147" t="s">
        <v>156</v>
      </c>
      <c r="B19" s="157" t="s">
        <v>50</v>
      </c>
      <c r="C19" s="158">
        <v>71500000</v>
      </c>
      <c r="D19" s="158">
        <v>0</v>
      </c>
      <c r="E19" s="158">
        <v>0</v>
      </c>
      <c r="F19" s="158">
        <f t="shared" si="0"/>
        <v>71500000</v>
      </c>
    </row>
    <row r="20" spans="1:6" ht="15.75">
      <c r="A20" s="147" t="s">
        <v>157</v>
      </c>
      <c r="B20" s="157" t="s">
        <v>51</v>
      </c>
      <c r="C20" s="158">
        <v>24686910</v>
      </c>
      <c r="D20" s="158">
        <v>0</v>
      </c>
      <c r="E20" s="158">
        <v>0</v>
      </c>
      <c r="F20" s="158">
        <f t="shared" si="0"/>
        <v>24686910</v>
      </c>
    </row>
    <row r="21" spans="1:6" ht="15.75">
      <c r="A21" s="147" t="s">
        <v>240</v>
      </c>
      <c r="B21" s="157" t="s">
        <v>52</v>
      </c>
      <c r="C21" s="158">
        <v>35000000</v>
      </c>
      <c r="D21" s="158">
        <v>0</v>
      </c>
      <c r="E21" s="158">
        <v>0</v>
      </c>
      <c r="F21" s="158">
        <f t="shared" si="0"/>
        <v>35000000</v>
      </c>
    </row>
    <row r="22" spans="1:6" ht="15.75">
      <c r="A22" s="147" t="s">
        <v>241</v>
      </c>
      <c r="B22" s="162" t="s">
        <v>195</v>
      </c>
      <c r="C22" s="163">
        <v>0</v>
      </c>
      <c r="D22" s="163">
        <v>0</v>
      </c>
      <c r="E22" s="163">
        <v>0</v>
      </c>
      <c r="F22" s="158">
        <f t="shared" si="0"/>
        <v>0</v>
      </c>
    </row>
    <row r="23" spans="1:6" ht="15.75">
      <c r="A23" s="147" t="s">
        <v>242</v>
      </c>
      <c r="B23" s="162" t="s">
        <v>196</v>
      </c>
      <c r="C23" s="163">
        <v>0</v>
      </c>
      <c r="D23" s="163">
        <v>0</v>
      </c>
      <c r="E23" s="163">
        <v>0</v>
      </c>
      <c r="F23" s="158">
        <f t="shared" si="0"/>
        <v>0</v>
      </c>
    </row>
    <row r="24" spans="1:6" ht="15.75">
      <c r="A24" s="147" t="s">
        <v>243</v>
      </c>
      <c r="B24" s="157" t="s">
        <v>338</v>
      </c>
      <c r="C24" s="158">
        <v>0</v>
      </c>
      <c r="D24" s="158">
        <f>SUM(D22:D23)</f>
        <v>0</v>
      </c>
      <c r="E24" s="158">
        <f>SUM(E22:E23)</f>
        <v>0</v>
      </c>
      <c r="F24" s="158">
        <f t="shared" si="0"/>
        <v>0</v>
      </c>
    </row>
    <row r="25" spans="1:6" ht="15.75">
      <c r="A25" s="147" t="s">
        <v>244</v>
      </c>
      <c r="B25" s="162" t="s">
        <v>198</v>
      </c>
      <c r="C25" s="163">
        <v>0</v>
      </c>
      <c r="D25" s="163">
        <v>0</v>
      </c>
      <c r="E25" s="163">
        <v>0</v>
      </c>
      <c r="F25" s="158">
        <f t="shared" si="0"/>
        <v>0</v>
      </c>
    </row>
    <row r="26" spans="1:6" ht="15.75">
      <c r="A26" s="147" t="s">
        <v>245</v>
      </c>
      <c r="B26" s="162" t="s">
        <v>199</v>
      </c>
      <c r="C26" s="163">
        <v>0</v>
      </c>
      <c r="D26" s="163">
        <v>0</v>
      </c>
      <c r="E26" s="163">
        <v>0</v>
      </c>
      <c r="F26" s="158">
        <f t="shared" si="0"/>
        <v>0</v>
      </c>
    </row>
    <row r="27" spans="1:6" ht="15.75">
      <c r="A27" s="147" t="s">
        <v>246</v>
      </c>
      <c r="B27" s="157" t="s">
        <v>339</v>
      </c>
      <c r="C27" s="158">
        <v>0</v>
      </c>
      <c r="D27" s="158">
        <f>SUM(D25:D26)</f>
        <v>0</v>
      </c>
      <c r="E27" s="158">
        <f>SUM(E25:E26)</f>
        <v>0</v>
      </c>
      <c r="F27" s="158">
        <f t="shared" si="0"/>
        <v>0</v>
      </c>
    </row>
    <row r="28" spans="1:6" ht="15.75">
      <c r="A28" s="147" t="s">
        <v>247</v>
      </c>
      <c r="B28" s="157" t="s">
        <v>201</v>
      </c>
      <c r="C28" s="158">
        <v>0</v>
      </c>
      <c r="D28" s="158">
        <v>0</v>
      </c>
      <c r="E28" s="158">
        <v>0</v>
      </c>
      <c r="F28" s="158">
        <f t="shared" si="0"/>
        <v>0</v>
      </c>
    </row>
    <row r="29" spans="1:6" ht="15.75">
      <c r="A29" s="147" t="s">
        <v>248</v>
      </c>
      <c r="B29" s="164" t="s">
        <v>53</v>
      </c>
      <c r="C29" s="158">
        <v>100000</v>
      </c>
      <c r="D29" s="158">
        <v>0</v>
      </c>
      <c r="E29" s="158">
        <v>0</v>
      </c>
      <c r="F29" s="158">
        <f t="shared" si="0"/>
        <v>100000</v>
      </c>
    </row>
    <row r="30" spans="1:6" ht="15.75">
      <c r="A30" s="145" t="s">
        <v>249</v>
      </c>
      <c r="B30" s="165" t="s">
        <v>322</v>
      </c>
      <c r="C30" s="160">
        <f>C15+C16+C17+C18+C19+C20+C21+C24+C27+C28+C29</f>
        <v>151069910</v>
      </c>
      <c r="D30" s="160">
        <f>D15+D16+D17+D18+D19+D20+D21+D24+D27+D28+D29</f>
        <v>0</v>
      </c>
      <c r="E30" s="160">
        <f>E15+E16+E17+E18+E19+E20+E21+E24+E27+E28+E29</f>
        <v>0</v>
      </c>
      <c r="F30" s="160">
        <f>F15+F16+F17+F18+F19+F20+F21+F24+F27+F28+F29</f>
        <v>151069910</v>
      </c>
    </row>
    <row r="31" spans="1:6" ht="15.75">
      <c r="A31" s="147" t="s">
        <v>250</v>
      </c>
      <c r="B31" s="164" t="s">
        <v>62</v>
      </c>
      <c r="C31" s="158">
        <v>0</v>
      </c>
      <c r="D31" s="158">
        <v>0</v>
      </c>
      <c r="E31" s="158">
        <v>0</v>
      </c>
      <c r="F31" s="139">
        <f>SUM(C31:E31)</f>
        <v>0</v>
      </c>
    </row>
    <row r="32" spans="1:6" ht="15.75">
      <c r="A32" s="145" t="s">
        <v>251</v>
      </c>
      <c r="B32" s="166" t="s">
        <v>323</v>
      </c>
      <c r="C32" s="160">
        <f>SUM(C31)</f>
        <v>0</v>
      </c>
      <c r="D32" s="160">
        <f>SUM(D31)</f>
        <v>0</v>
      </c>
      <c r="E32" s="160">
        <f>SUM(E31)</f>
        <v>0</v>
      </c>
      <c r="F32" s="160">
        <f>SUM(F31)</f>
        <v>0</v>
      </c>
    </row>
    <row r="33" spans="1:6" ht="15.75">
      <c r="A33" s="145" t="s">
        <v>252</v>
      </c>
      <c r="B33" s="167" t="s">
        <v>324</v>
      </c>
      <c r="C33" s="160">
        <f>C12+C30+C32+C14</f>
        <v>151553560</v>
      </c>
      <c r="D33" s="160">
        <f>D12+D30+D32+D14</f>
        <v>0</v>
      </c>
      <c r="E33" s="160">
        <f>E12+E30+E32+E14</f>
        <v>0</v>
      </c>
      <c r="F33" s="160">
        <f>F12+F30+F32+F14</f>
        <v>151553560</v>
      </c>
    </row>
    <row r="34" spans="1:6" ht="15.75">
      <c r="A34" s="147" t="s">
        <v>253</v>
      </c>
      <c r="B34" s="157" t="s">
        <v>46</v>
      </c>
      <c r="C34" s="158">
        <v>0</v>
      </c>
      <c r="D34" s="158">
        <v>0</v>
      </c>
      <c r="E34" s="158">
        <v>0</v>
      </c>
      <c r="F34" s="139">
        <f aca="true" t="shared" si="1" ref="F34:F39">SUM(C34:E34)</f>
        <v>0</v>
      </c>
    </row>
    <row r="35" spans="1:6" ht="31.5">
      <c r="A35" s="147" t="s">
        <v>254</v>
      </c>
      <c r="B35" s="157" t="s">
        <v>47</v>
      </c>
      <c r="C35" s="158">
        <v>0</v>
      </c>
      <c r="D35" s="158">
        <v>0</v>
      </c>
      <c r="E35" s="158">
        <v>0</v>
      </c>
      <c r="F35" s="139">
        <f t="shared" si="1"/>
        <v>0</v>
      </c>
    </row>
    <row r="36" spans="1:6" ht="31.5">
      <c r="A36" s="145" t="s">
        <v>255</v>
      </c>
      <c r="B36" s="140" t="s">
        <v>325</v>
      </c>
      <c r="C36" s="160">
        <f>SUM(C34:C35)</f>
        <v>0</v>
      </c>
      <c r="D36" s="160">
        <f>SUM(D34:D35)</f>
        <v>0</v>
      </c>
      <c r="E36" s="160">
        <f>SUM(E34:E35)</f>
        <v>0</v>
      </c>
      <c r="F36" s="139">
        <f t="shared" si="1"/>
        <v>0</v>
      </c>
    </row>
    <row r="37" spans="1:6" ht="15.75">
      <c r="A37" s="147" t="s">
        <v>256</v>
      </c>
      <c r="B37" s="168" t="s">
        <v>59</v>
      </c>
      <c r="C37" s="158">
        <v>0</v>
      </c>
      <c r="D37" s="158">
        <v>0</v>
      </c>
      <c r="E37" s="158">
        <v>0</v>
      </c>
      <c r="F37" s="139">
        <f t="shared" si="1"/>
        <v>0</v>
      </c>
    </row>
    <row r="38" spans="1:6" ht="15.75">
      <c r="A38" s="145" t="s">
        <v>257</v>
      </c>
      <c r="B38" s="169" t="s">
        <v>326</v>
      </c>
      <c r="C38" s="160">
        <f>SUM(C37)</f>
        <v>0</v>
      </c>
      <c r="D38" s="160">
        <f>SUM(D37)</f>
        <v>0</v>
      </c>
      <c r="E38" s="160">
        <f>SUM(E37)</f>
        <v>0</v>
      </c>
      <c r="F38" s="139">
        <f t="shared" si="1"/>
        <v>0</v>
      </c>
    </row>
    <row r="39" spans="1:6" ht="15.75">
      <c r="A39" s="147" t="s">
        <v>258</v>
      </c>
      <c r="B39" s="164" t="s">
        <v>65</v>
      </c>
      <c r="C39" s="158">
        <v>1600032</v>
      </c>
      <c r="D39" s="158">
        <v>0</v>
      </c>
      <c r="E39" s="158">
        <v>0</v>
      </c>
      <c r="F39" s="139">
        <f t="shared" si="1"/>
        <v>1600032</v>
      </c>
    </row>
    <row r="40" spans="1:6" ht="15.75">
      <c r="A40" s="145" t="s">
        <v>259</v>
      </c>
      <c r="B40" s="166" t="s">
        <v>327</v>
      </c>
      <c r="C40" s="160">
        <f>SUM(C39)</f>
        <v>1600032</v>
      </c>
      <c r="D40" s="160">
        <f>SUM(D39)</f>
        <v>0</v>
      </c>
      <c r="E40" s="160">
        <f>SUM(E39)</f>
        <v>0</v>
      </c>
      <c r="F40" s="160">
        <f>SUM(F39)</f>
        <v>1600032</v>
      </c>
    </row>
    <row r="41" spans="1:6" ht="15.75">
      <c r="A41" s="145" t="s">
        <v>260</v>
      </c>
      <c r="B41" s="167" t="s">
        <v>328</v>
      </c>
      <c r="C41" s="160">
        <f>C36+C40+C38</f>
        <v>1600032</v>
      </c>
      <c r="D41" s="160">
        <f>D36+D40+D38</f>
        <v>0</v>
      </c>
      <c r="E41" s="160">
        <f>E36+E40+E38</f>
        <v>0</v>
      </c>
      <c r="F41" s="160">
        <f>SUM(C41:E41)</f>
        <v>1600032</v>
      </c>
    </row>
    <row r="42" spans="1:6" ht="15.75">
      <c r="A42" s="145" t="s">
        <v>261</v>
      </c>
      <c r="B42" s="167" t="s">
        <v>329</v>
      </c>
      <c r="C42" s="160">
        <f>C33+C41+C10</f>
        <v>1104879156</v>
      </c>
      <c r="D42" s="160">
        <f>D33+D41+D10</f>
        <v>0</v>
      </c>
      <c r="E42" s="160">
        <f>E33+E41+E10</f>
        <v>0</v>
      </c>
      <c r="F42" s="160">
        <f>F33+F41+F10</f>
        <v>1104879156</v>
      </c>
    </row>
    <row r="43" spans="1:6" ht="15.75">
      <c r="A43" s="127"/>
      <c r="B43" s="170"/>
      <c r="C43" s="160"/>
      <c r="D43" s="127"/>
      <c r="E43" s="127"/>
      <c r="F43" s="127"/>
    </row>
    <row r="44" spans="1:6" ht="15.75">
      <c r="A44" s="145" t="s">
        <v>330</v>
      </c>
      <c r="B44" s="170" t="s">
        <v>20</v>
      </c>
      <c r="C44" s="160"/>
      <c r="D44" s="127"/>
      <c r="E44" s="127"/>
      <c r="F44" s="127"/>
    </row>
    <row r="45" spans="1:6" ht="15.75">
      <c r="A45" s="145" t="s">
        <v>143</v>
      </c>
      <c r="B45" s="154" t="s">
        <v>25</v>
      </c>
      <c r="C45" s="155">
        <v>360194383</v>
      </c>
      <c r="D45" s="130">
        <v>0</v>
      </c>
      <c r="E45" s="156">
        <v>0</v>
      </c>
      <c r="F45" s="156">
        <f>SUM(C45:E45)</f>
        <v>360194383</v>
      </c>
    </row>
    <row r="46" spans="1:6" ht="31.5">
      <c r="A46" s="147" t="s">
        <v>144</v>
      </c>
      <c r="B46" s="157" t="s">
        <v>69</v>
      </c>
      <c r="C46" s="158">
        <v>0</v>
      </c>
      <c r="D46" s="158">
        <v>0</v>
      </c>
      <c r="E46" s="158">
        <v>0</v>
      </c>
      <c r="F46" s="139">
        <f>SUM(C46:E46)</f>
        <v>0</v>
      </c>
    </row>
    <row r="47" spans="1:6" ht="31.5">
      <c r="A47" s="145" t="s">
        <v>145</v>
      </c>
      <c r="B47" s="159" t="s">
        <v>320</v>
      </c>
      <c r="C47" s="160">
        <f>SUM(C46)</f>
        <v>0</v>
      </c>
      <c r="D47" s="160">
        <f>SUM(D46)</f>
        <v>0</v>
      </c>
      <c r="E47" s="160">
        <f>SUM(E46)</f>
        <v>0</v>
      </c>
      <c r="F47" s="160">
        <f>SUM(F46)</f>
        <v>0</v>
      </c>
    </row>
    <row r="48" spans="1:6" ht="15.75">
      <c r="A48" s="147" t="s">
        <v>146</v>
      </c>
      <c r="B48" s="133" t="s">
        <v>84</v>
      </c>
      <c r="C48" s="158">
        <v>0</v>
      </c>
      <c r="D48" s="158">
        <v>0</v>
      </c>
      <c r="E48" s="158">
        <v>0</v>
      </c>
      <c r="F48" s="139">
        <f>SUM(C48:E48)</f>
        <v>0</v>
      </c>
    </row>
    <row r="49" spans="1:6" ht="15.75">
      <c r="A49" s="145" t="s">
        <v>147</v>
      </c>
      <c r="B49" s="161" t="s">
        <v>321</v>
      </c>
      <c r="C49" s="160">
        <f>SUM(C48)</f>
        <v>0</v>
      </c>
      <c r="D49" s="160">
        <f>SUM(D48)</f>
        <v>0</v>
      </c>
      <c r="E49" s="160">
        <f>SUM(E48)</f>
        <v>0</v>
      </c>
      <c r="F49" s="160">
        <f>SUM(F48)</f>
        <v>0</v>
      </c>
    </row>
    <row r="50" spans="1:6" ht="15.75">
      <c r="A50" s="147" t="s">
        <v>148</v>
      </c>
      <c r="B50" s="157" t="s">
        <v>193</v>
      </c>
      <c r="C50" s="158">
        <v>0</v>
      </c>
      <c r="D50" s="158">
        <v>0</v>
      </c>
      <c r="E50" s="158">
        <v>0</v>
      </c>
      <c r="F50" s="158">
        <f>SUM(C50:E50)</f>
        <v>0</v>
      </c>
    </row>
    <row r="51" spans="1:6" ht="15.75">
      <c r="A51" s="147" t="s">
        <v>150</v>
      </c>
      <c r="B51" s="157" t="s">
        <v>48</v>
      </c>
      <c r="C51" s="158">
        <v>0</v>
      </c>
      <c r="D51" s="158">
        <v>0</v>
      </c>
      <c r="E51" s="158">
        <v>0</v>
      </c>
      <c r="F51" s="158">
        <f aca="true" t="shared" si="2" ref="F51:F66">SUM(C51:E51)</f>
        <v>0</v>
      </c>
    </row>
    <row r="52" spans="1:6" ht="15.75">
      <c r="A52" s="147" t="s">
        <v>152</v>
      </c>
      <c r="B52" s="157" t="s">
        <v>194</v>
      </c>
      <c r="C52" s="158">
        <v>0</v>
      </c>
      <c r="D52" s="158">
        <v>0</v>
      </c>
      <c r="E52" s="158">
        <v>0</v>
      </c>
      <c r="F52" s="158">
        <f t="shared" si="2"/>
        <v>0</v>
      </c>
    </row>
    <row r="53" spans="1:6" ht="15.75">
      <c r="A53" s="147" t="s">
        <v>154</v>
      </c>
      <c r="B53" s="157" t="s">
        <v>49</v>
      </c>
      <c r="C53" s="158">
        <v>0</v>
      </c>
      <c r="D53" s="158">
        <v>0</v>
      </c>
      <c r="E53" s="158">
        <v>0</v>
      </c>
      <c r="F53" s="158">
        <f t="shared" si="2"/>
        <v>0</v>
      </c>
    </row>
    <row r="54" spans="1:6" ht="15.75">
      <c r="A54" s="147" t="s">
        <v>156</v>
      </c>
      <c r="B54" s="157" t="s">
        <v>50</v>
      </c>
      <c r="C54" s="158">
        <v>4693920</v>
      </c>
      <c r="D54" s="158">
        <v>0</v>
      </c>
      <c r="E54" s="158">
        <v>0</v>
      </c>
      <c r="F54" s="158">
        <f t="shared" si="2"/>
        <v>4693920</v>
      </c>
    </row>
    <row r="55" spans="1:6" ht="15.75">
      <c r="A55" s="147" t="s">
        <v>157</v>
      </c>
      <c r="B55" s="157" t="s">
        <v>51</v>
      </c>
      <c r="C55" s="158">
        <v>1267358</v>
      </c>
      <c r="D55" s="158">
        <v>0</v>
      </c>
      <c r="E55" s="158">
        <v>0</v>
      </c>
      <c r="F55" s="158">
        <f t="shared" si="2"/>
        <v>1267358</v>
      </c>
    </row>
    <row r="56" spans="1:6" ht="15.75">
      <c r="A56" s="147" t="s">
        <v>240</v>
      </c>
      <c r="B56" s="157" t="s">
        <v>52</v>
      </c>
      <c r="C56" s="158">
        <v>15001236</v>
      </c>
      <c r="D56" s="158">
        <v>0</v>
      </c>
      <c r="E56" s="158">
        <v>0</v>
      </c>
      <c r="F56" s="158">
        <f t="shared" si="2"/>
        <v>15001236</v>
      </c>
    </row>
    <row r="57" spans="1:6" ht="15.75">
      <c r="A57" s="147" t="s">
        <v>241</v>
      </c>
      <c r="B57" s="162" t="s">
        <v>195</v>
      </c>
      <c r="C57" s="163">
        <v>0</v>
      </c>
      <c r="D57" s="163">
        <v>0</v>
      </c>
      <c r="E57" s="163">
        <v>0</v>
      </c>
      <c r="F57" s="163">
        <f t="shared" si="2"/>
        <v>0</v>
      </c>
    </row>
    <row r="58" spans="1:6" ht="15.75">
      <c r="A58" s="147" t="s">
        <v>242</v>
      </c>
      <c r="B58" s="162" t="s">
        <v>196</v>
      </c>
      <c r="C58" s="163">
        <v>0</v>
      </c>
      <c r="D58" s="163">
        <v>0</v>
      </c>
      <c r="E58" s="163">
        <v>0</v>
      </c>
      <c r="F58" s="163">
        <f t="shared" si="2"/>
        <v>0</v>
      </c>
    </row>
    <row r="59" spans="1:6" ht="15.75">
      <c r="A59" s="147" t="s">
        <v>243</v>
      </c>
      <c r="B59" s="157" t="s">
        <v>338</v>
      </c>
      <c r="C59" s="158">
        <f>SUM(C57:C58)</f>
        <v>0</v>
      </c>
      <c r="D59" s="158">
        <f>SUM(D57:D58)</f>
        <v>0</v>
      </c>
      <c r="E59" s="158">
        <f>SUM(E57:E58)</f>
        <v>0</v>
      </c>
      <c r="F59" s="158">
        <f t="shared" si="2"/>
        <v>0</v>
      </c>
    </row>
    <row r="60" spans="1:6" ht="15.75">
      <c r="A60" s="147" t="s">
        <v>244</v>
      </c>
      <c r="B60" s="162" t="s">
        <v>198</v>
      </c>
      <c r="C60" s="163">
        <v>0</v>
      </c>
      <c r="D60" s="163">
        <v>0</v>
      </c>
      <c r="E60" s="163">
        <v>0</v>
      </c>
      <c r="F60" s="163">
        <f t="shared" si="2"/>
        <v>0</v>
      </c>
    </row>
    <row r="61" spans="1:6" ht="15.75">
      <c r="A61" s="147" t="s">
        <v>245</v>
      </c>
      <c r="B61" s="162" t="s">
        <v>199</v>
      </c>
      <c r="C61" s="163">
        <v>0</v>
      </c>
      <c r="D61" s="163">
        <v>0</v>
      </c>
      <c r="E61" s="163">
        <v>0</v>
      </c>
      <c r="F61" s="163">
        <f t="shared" si="2"/>
        <v>0</v>
      </c>
    </row>
    <row r="62" spans="1:6" ht="15.75">
      <c r="A62" s="147" t="s">
        <v>246</v>
      </c>
      <c r="B62" s="157" t="s">
        <v>339</v>
      </c>
      <c r="C62" s="158">
        <f>SUM(C60:C61)</f>
        <v>0</v>
      </c>
      <c r="D62" s="158">
        <f>SUM(D60:D61)</f>
        <v>0</v>
      </c>
      <c r="E62" s="158">
        <f>SUM(E60:E61)</f>
        <v>0</v>
      </c>
      <c r="F62" s="158">
        <f t="shared" si="2"/>
        <v>0</v>
      </c>
    </row>
    <row r="63" spans="1:6" ht="15.75">
      <c r="A63" s="147" t="s">
        <v>247</v>
      </c>
      <c r="B63" s="157" t="s">
        <v>201</v>
      </c>
      <c r="C63" s="158">
        <v>0</v>
      </c>
      <c r="D63" s="158">
        <v>0</v>
      </c>
      <c r="E63" s="158">
        <v>0</v>
      </c>
      <c r="F63" s="158">
        <f t="shared" si="2"/>
        <v>0</v>
      </c>
    </row>
    <row r="64" spans="1:6" ht="15.75">
      <c r="A64" s="147" t="s">
        <v>248</v>
      </c>
      <c r="B64" s="164" t="s">
        <v>53</v>
      </c>
      <c r="C64" s="158">
        <v>0</v>
      </c>
      <c r="D64" s="158">
        <v>0</v>
      </c>
      <c r="E64" s="158">
        <v>0</v>
      </c>
      <c r="F64" s="158">
        <f t="shared" si="2"/>
        <v>0</v>
      </c>
    </row>
    <row r="65" spans="1:6" ht="15.75">
      <c r="A65" s="145" t="s">
        <v>249</v>
      </c>
      <c r="B65" s="165" t="s">
        <v>322</v>
      </c>
      <c r="C65" s="160">
        <f>C50+C51+C52+C53+C54+C55+C56+C59+C62+C63+C64</f>
        <v>20962514</v>
      </c>
      <c r="D65" s="160">
        <f>D50+D51+D52+D53+D54+D55+D56+D59+D62+D63+D64</f>
        <v>0</v>
      </c>
      <c r="E65" s="160">
        <f>E50+E51+E52+E53+E54+E55+E56+E59+E62+E63+E64</f>
        <v>0</v>
      </c>
      <c r="F65" s="160">
        <f t="shared" si="2"/>
        <v>20962514</v>
      </c>
    </row>
    <row r="66" spans="1:6" ht="15.75">
      <c r="A66" s="147" t="s">
        <v>250</v>
      </c>
      <c r="B66" s="164" t="s">
        <v>62</v>
      </c>
      <c r="C66" s="158">
        <v>0</v>
      </c>
      <c r="D66" s="158">
        <v>0</v>
      </c>
      <c r="E66" s="158">
        <v>0</v>
      </c>
      <c r="F66" s="139">
        <f t="shared" si="2"/>
        <v>0</v>
      </c>
    </row>
    <row r="67" spans="1:6" ht="15.75">
      <c r="A67" s="145" t="s">
        <v>251</v>
      </c>
      <c r="B67" s="166" t="s">
        <v>323</v>
      </c>
      <c r="C67" s="160">
        <f>SUM(C66)</f>
        <v>0</v>
      </c>
      <c r="D67" s="160">
        <f>SUM(D66)</f>
        <v>0</v>
      </c>
      <c r="E67" s="160">
        <f>SUM(E66)</f>
        <v>0</v>
      </c>
      <c r="F67" s="160">
        <f>SUM(F66)</f>
        <v>0</v>
      </c>
    </row>
    <row r="68" spans="1:6" ht="15.75">
      <c r="A68" s="145" t="s">
        <v>252</v>
      </c>
      <c r="B68" s="167" t="s">
        <v>324</v>
      </c>
      <c r="C68" s="160">
        <f>C47+C65+C67+C49</f>
        <v>20962514</v>
      </c>
      <c r="D68" s="160">
        <f>D47+D65+D67+D49</f>
        <v>0</v>
      </c>
      <c r="E68" s="160">
        <f>E47+E65+E67+E49</f>
        <v>0</v>
      </c>
      <c r="F68" s="160">
        <f>F47+F65+F67+F49</f>
        <v>20962514</v>
      </c>
    </row>
    <row r="69" spans="1:6" ht="15.75">
      <c r="A69" s="147" t="s">
        <v>253</v>
      </c>
      <c r="B69" s="157" t="s">
        <v>46</v>
      </c>
      <c r="C69" s="158">
        <v>0</v>
      </c>
      <c r="D69" s="158">
        <v>0</v>
      </c>
      <c r="E69" s="158">
        <v>0</v>
      </c>
      <c r="F69" s="139">
        <f>SUM(C69:E69)</f>
        <v>0</v>
      </c>
    </row>
    <row r="70" spans="1:6" ht="31.5">
      <c r="A70" s="147" t="s">
        <v>254</v>
      </c>
      <c r="B70" s="157" t="s">
        <v>47</v>
      </c>
      <c r="C70" s="158">
        <v>0</v>
      </c>
      <c r="D70" s="158">
        <v>0</v>
      </c>
      <c r="E70" s="158">
        <v>0</v>
      </c>
      <c r="F70" s="139">
        <f>SUM(C70:E70)</f>
        <v>0</v>
      </c>
    </row>
    <row r="71" spans="1:6" ht="31.5">
      <c r="A71" s="145" t="s">
        <v>255</v>
      </c>
      <c r="B71" s="140" t="s">
        <v>325</v>
      </c>
      <c r="C71" s="160">
        <f>SUM(C69:C70)</f>
        <v>0</v>
      </c>
      <c r="D71" s="160">
        <f>SUM(D69:D70)</f>
        <v>0</v>
      </c>
      <c r="E71" s="160">
        <f>SUM(E69:E70)</f>
        <v>0</v>
      </c>
      <c r="F71" s="160">
        <f>SUM(F69:F70)</f>
        <v>0</v>
      </c>
    </row>
    <row r="72" spans="1:6" ht="15.75">
      <c r="A72" s="147" t="s">
        <v>256</v>
      </c>
      <c r="B72" s="168" t="s">
        <v>59</v>
      </c>
      <c r="C72" s="158">
        <v>0</v>
      </c>
      <c r="D72" s="158">
        <v>0</v>
      </c>
      <c r="E72" s="158">
        <v>0</v>
      </c>
      <c r="F72" s="139">
        <f>SUM(C72:E72)</f>
        <v>0</v>
      </c>
    </row>
    <row r="73" spans="1:6" ht="15.75">
      <c r="A73" s="145" t="s">
        <v>257</v>
      </c>
      <c r="B73" s="169" t="s">
        <v>326</v>
      </c>
      <c r="C73" s="160">
        <f>SUM(C72)</f>
        <v>0</v>
      </c>
      <c r="D73" s="160">
        <f>SUM(D72)</f>
        <v>0</v>
      </c>
      <c r="E73" s="160">
        <f>SUM(E72)</f>
        <v>0</v>
      </c>
      <c r="F73" s="160">
        <f>SUM(C73:E73)</f>
        <v>0</v>
      </c>
    </row>
    <row r="74" spans="1:6" ht="15.75">
      <c r="A74" s="147" t="s">
        <v>258</v>
      </c>
      <c r="B74" s="164" t="s">
        <v>65</v>
      </c>
      <c r="C74" s="158">
        <v>0</v>
      </c>
      <c r="D74" s="158">
        <v>0</v>
      </c>
      <c r="E74" s="158">
        <v>0</v>
      </c>
      <c r="F74" s="139">
        <f>SUM(C74:E74)</f>
        <v>0</v>
      </c>
    </row>
    <row r="75" spans="1:6" ht="15.75">
      <c r="A75" s="145" t="s">
        <v>259</v>
      </c>
      <c r="B75" s="166" t="s">
        <v>327</v>
      </c>
      <c r="C75" s="160">
        <f>SUM(C72)</f>
        <v>0</v>
      </c>
      <c r="D75" s="160">
        <f>SUM(D72)</f>
        <v>0</v>
      </c>
      <c r="E75" s="160">
        <f>SUM(E72)</f>
        <v>0</v>
      </c>
      <c r="F75" s="160">
        <f>SUM(C75:E75)</f>
        <v>0</v>
      </c>
    </row>
    <row r="76" spans="1:6" ht="15.75">
      <c r="A76" s="145" t="s">
        <v>260</v>
      </c>
      <c r="B76" s="167" t="s">
        <v>328</v>
      </c>
      <c r="C76" s="160">
        <f>C71+C75+C73</f>
        <v>0</v>
      </c>
      <c r="D76" s="160">
        <f>D71+D75+D73</f>
        <v>0</v>
      </c>
      <c r="E76" s="160">
        <f>E71+E75+E73</f>
        <v>0</v>
      </c>
      <c r="F76" s="160">
        <f>SUM(C76:E76)</f>
        <v>0</v>
      </c>
    </row>
    <row r="77" spans="1:6" ht="15.75">
      <c r="A77" s="145" t="s">
        <v>261</v>
      </c>
      <c r="B77" s="167" t="s">
        <v>329</v>
      </c>
      <c r="C77" s="160">
        <f>C68+C76+C45</f>
        <v>381156897</v>
      </c>
      <c r="D77" s="160">
        <f>D68+D76+D45</f>
        <v>0</v>
      </c>
      <c r="E77" s="160">
        <f>E68+E76+E45</f>
        <v>0</v>
      </c>
      <c r="F77" s="160">
        <f>F68+F76+F45</f>
        <v>381156897</v>
      </c>
    </row>
    <row r="78" spans="1:6" ht="15.75">
      <c r="A78" s="127"/>
      <c r="B78" s="170"/>
      <c r="C78" s="160"/>
      <c r="D78" s="127"/>
      <c r="E78" s="127"/>
      <c r="F78" s="127"/>
    </row>
    <row r="79" spans="1:6" ht="15.75">
      <c r="A79" s="145" t="s">
        <v>331</v>
      </c>
      <c r="B79" s="170" t="s">
        <v>23</v>
      </c>
      <c r="C79" s="160"/>
      <c r="D79" s="127"/>
      <c r="E79" s="127"/>
      <c r="F79" s="127"/>
    </row>
    <row r="80" spans="1:6" ht="15.75">
      <c r="A80" s="145" t="s">
        <v>143</v>
      </c>
      <c r="B80" s="154" t="s">
        <v>25</v>
      </c>
      <c r="C80" s="155">
        <v>296784813</v>
      </c>
      <c r="D80" s="130">
        <v>0</v>
      </c>
      <c r="E80" s="156">
        <v>0</v>
      </c>
      <c r="F80" s="156">
        <f>SUM(C80:E80)</f>
        <v>296784813</v>
      </c>
    </row>
    <row r="81" spans="1:6" ht="31.5">
      <c r="A81" s="147" t="s">
        <v>144</v>
      </c>
      <c r="B81" s="157" t="s">
        <v>69</v>
      </c>
      <c r="C81" s="158">
        <v>0</v>
      </c>
      <c r="D81" s="158">
        <v>0</v>
      </c>
      <c r="E81" s="158">
        <v>0</v>
      </c>
      <c r="F81" s="139">
        <f>SUM(C81:E81)</f>
        <v>0</v>
      </c>
    </row>
    <row r="82" spans="1:6" ht="31.5">
      <c r="A82" s="145" t="s">
        <v>145</v>
      </c>
      <c r="B82" s="159" t="s">
        <v>320</v>
      </c>
      <c r="C82" s="160">
        <f>SUM(C81)</f>
        <v>0</v>
      </c>
      <c r="D82" s="160">
        <f>SUM(D81)</f>
        <v>0</v>
      </c>
      <c r="E82" s="160">
        <f>SUM(E81)</f>
        <v>0</v>
      </c>
      <c r="F82" s="160">
        <f>SUM(F81)</f>
        <v>0</v>
      </c>
    </row>
    <row r="83" spans="1:6" ht="15.75">
      <c r="A83" s="147" t="s">
        <v>146</v>
      </c>
      <c r="B83" s="133" t="s">
        <v>84</v>
      </c>
      <c r="C83" s="158">
        <v>0</v>
      </c>
      <c r="D83" s="158">
        <v>0</v>
      </c>
      <c r="E83" s="158">
        <v>0</v>
      </c>
      <c r="F83" s="139">
        <f>SUM(C83:E83)</f>
        <v>0</v>
      </c>
    </row>
    <row r="84" spans="1:6" ht="15.75">
      <c r="A84" s="145" t="s">
        <v>147</v>
      </c>
      <c r="B84" s="161" t="s">
        <v>321</v>
      </c>
      <c r="C84" s="160">
        <f>SUM(C83)</f>
        <v>0</v>
      </c>
      <c r="D84" s="160">
        <f>SUM(D83)</f>
        <v>0</v>
      </c>
      <c r="E84" s="160">
        <f>SUM(E83)</f>
        <v>0</v>
      </c>
      <c r="F84" s="160">
        <f>SUM(F83)</f>
        <v>0</v>
      </c>
    </row>
    <row r="85" spans="1:6" ht="15.75">
      <c r="A85" s="147" t="s">
        <v>148</v>
      </c>
      <c r="B85" s="157" t="s">
        <v>193</v>
      </c>
      <c r="C85" s="158">
        <v>0</v>
      </c>
      <c r="D85" s="158">
        <v>0</v>
      </c>
      <c r="E85" s="158">
        <v>0</v>
      </c>
      <c r="F85" s="158">
        <f>SUM(C85:E85)</f>
        <v>0</v>
      </c>
    </row>
    <row r="86" spans="1:6" ht="15.75">
      <c r="A86" s="147" t="s">
        <v>150</v>
      </c>
      <c r="B86" s="157" t="s">
        <v>48</v>
      </c>
      <c r="C86" s="158">
        <v>0</v>
      </c>
      <c r="D86" s="158">
        <v>0</v>
      </c>
      <c r="E86" s="158">
        <v>0</v>
      </c>
      <c r="F86" s="158">
        <f aca="true" t="shared" si="3" ref="F86:F101">SUM(C86:E86)</f>
        <v>0</v>
      </c>
    </row>
    <row r="87" spans="1:6" ht="15.75">
      <c r="A87" s="147" t="s">
        <v>152</v>
      </c>
      <c r="B87" s="157" t="s">
        <v>194</v>
      </c>
      <c r="C87" s="158">
        <v>0</v>
      </c>
      <c r="D87" s="158">
        <v>0</v>
      </c>
      <c r="E87" s="158">
        <v>0</v>
      </c>
      <c r="F87" s="158">
        <f t="shared" si="3"/>
        <v>0</v>
      </c>
    </row>
    <row r="88" spans="1:6" ht="15.75">
      <c r="A88" s="147" t="s">
        <v>154</v>
      </c>
      <c r="B88" s="157" t="s">
        <v>49</v>
      </c>
      <c r="C88" s="158">
        <v>0</v>
      </c>
      <c r="D88" s="158">
        <v>0</v>
      </c>
      <c r="E88" s="158">
        <v>0</v>
      </c>
      <c r="F88" s="158">
        <f t="shared" si="3"/>
        <v>0</v>
      </c>
    </row>
    <row r="89" spans="1:6" ht="15.75">
      <c r="A89" s="147" t="s">
        <v>156</v>
      </c>
      <c r="B89" s="157" t="s">
        <v>50</v>
      </c>
      <c r="C89" s="158">
        <v>3799840</v>
      </c>
      <c r="D89" s="158">
        <v>0</v>
      </c>
      <c r="E89" s="158">
        <v>0</v>
      </c>
      <c r="F89" s="158">
        <f t="shared" si="3"/>
        <v>3799840</v>
      </c>
    </row>
    <row r="90" spans="1:6" ht="15.75">
      <c r="A90" s="147" t="s">
        <v>157</v>
      </c>
      <c r="B90" s="157" t="s">
        <v>51</v>
      </c>
      <c r="C90" s="158">
        <v>1025957</v>
      </c>
      <c r="D90" s="158">
        <v>0</v>
      </c>
      <c r="E90" s="158">
        <v>0</v>
      </c>
      <c r="F90" s="158">
        <f t="shared" si="3"/>
        <v>1025957</v>
      </c>
    </row>
    <row r="91" spans="1:6" ht="15.75">
      <c r="A91" s="147" t="s">
        <v>240</v>
      </c>
      <c r="B91" s="157" t="s">
        <v>52</v>
      </c>
      <c r="C91" s="158">
        <v>13657723</v>
      </c>
      <c r="D91" s="158">
        <v>0</v>
      </c>
      <c r="E91" s="158">
        <v>0</v>
      </c>
      <c r="F91" s="158">
        <f t="shared" si="3"/>
        <v>13657723</v>
      </c>
    </row>
    <row r="92" spans="1:6" ht="15.75">
      <c r="A92" s="147" t="s">
        <v>241</v>
      </c>
      <c r="B92" s="162" t="s">
        <v>195</v>
      </c>
      <c r="C92" s="163">
        <v>0</v>
      </c>
      <c r="D92" s="163">
        <v>0</v>
      </c>
      <c r="E92" s="163">
        <v>0</v>
      </c>
      <c r="F92" s="163">
        <f t="shared" si="3"/>
        <v>0</v>
      </c>
    </row>
    <row r="93" spans="1:6" ht="15.75">
      <c r="A93" s="147" t="s">
        <v>242</v>
      </c>
      <c r="B93" s="162" t="s">
        <v>196</v>
      </c>
      <c r="C93" s="163">
        <v>0</v>
      </c>
      <c r="D93" s="163">
        <v>0</v>
      </c>
      <c r="E93" s="163">
        <v>0</v>
      </c>
      <c r="F93" s="163">
        <f t="shared" si="3"/>
        <v>0</v>
      </c>
    </row>
    <row r="94" spans="1:6" ht="15.75">
      <c r="A94" s="147" t="s">
        <v>243</v>
      </c>
      <c r="B94" s="157" t="s">
        <v>338</v>
      </c>
      <c r="C94" s="158">
        <f>SUM(C92:C93)</f>
        <v>0</v>
      </c>
      <c r="D94" s="158">
        <f>SUM(D92:D93)</f>
        <v>0</v>
      </c>
      <c r="E94" s="158">
        <f>SUM(E92:E93)</f>
        <v>0</v>
      </c>
      <c r="F94" s="158">
        <f t="shared" si="3"/>
        <v>0</v>
      </c>
    </row>
    <row r="95" spans="1:6" ht="15.75">
      <c r="A95" s="147" t="s">
        <v>244</v>
      </c>
      <c r="B95" s="162" t="s">
        <v>198</v>
      </c>
      <c r="C95" s="163">
        <v>0</v>
      </c>
      <c r="D95" s="163">
        <v>0</v>
      </c>
      <c r="E95" s="163">
        <v>0</v>
      </c>
      <c r="F95" s="163">
        <f t="shared" si="3"/>
        <v>0</v>
      </c>
    </row>
    <row r="96" spans="1:6" ht="15.75">
      <c r="A96" s="147" t="s">
        <v>245</v>
      </c>
      <c r="B96" s="162" t="s">
        <v>199</v>
      </c>
      <c r="C96" s="163">
        <v>0</v>
      </c>
      <c r="D96" s="163">
        <v>0</v>
      </c>
      <c r="E96" s="163">
        <v>0</v>
      </c>
      <c r="F96" s="163">
        <f t="shared" si="3"/>
        <v>0</v>
      </c>
    </row>
    <row r="97" spans="1:6" ht="15.75">
      <c r="A97" s="147" t="s">
        <v>246</v>
      </c>
      <c r="B97" s="157" t="s">
        <v>339</v>
      </c>
      <c r="C97" s="158">
        <f>SUM(C95:C96)</f>
        <v>0</v>
      </c>
      <c r="D97" s="158">
        <f>SUM(D95:D96)</f>
        <v>0</v>
      </c>
      <c r="E97" s="158">
        <f>SUM(E95:E96)</f>
        <v>0</v>
      </c>
      <c r="F97" s="158">
        <f t="shared" si="3"/>
        <v>0</v>
      </c>
    </row>
    <row r="98" spans="1:6" ht="15.75">
      <c r="A98" s="147" t="s">
        <v>247</v>
      </c>
      <c r="B98" s="157" t="s">
        <v>201</v>
      </c>
      <c r="C98" s="158">
        <v>0</v>
      </c>
      <c r="D98" s="158">
        <v>0</v>
      </c>
      <c r="E98" s="158">
        <v>0</v>
      </c>
      <c r="F98" s="158">
        <f t="shared" si="3"/>
        <v>0</v>
      </c>
    </row>
    <row r="99" spans="1:6" ht="15.75">
      <c r="A99" s="147" t="s">
        <v>248</v>
      </c>
      <c r="B99" s="164" t="s">
        <v>53</v>
      </c>
      <c r="C99" s="139">
        <v>0</v>
      </c>
      <c r="D99" s="158">
        <v>0</v>
      </c>
      <c r="E99" s="158">
        <v>0</v>
      </c>
      <c r="F99" s="158">
        <f t="shared" si="3"/>
        <v>0</v>
      </c>
    </row>
    <row r="100" spans="1:6" ht="15.75">
      <c r="A100" s="145" t="s">
        <v>249</v>
      </c>
      <c r="B100" s="165" t="s">
        <v>322</v>
      </c>
      <c r="C100" s="160">
        <f>C85+C86+C87+C88+C89+C90+C91+C94+C97+C98+C99</f>
        <v>18483520</v>
      </c>
      <c r="D100" s="160">
        <f>D85+D86+D87+D88+D89+D90+D91+D94+D97+D98+D99</f>
        <v>0</v>
      </c>
      <c r="E100" s="160">
        <f>E85+E86+E87+E88+E89+E90+E91+E94+E97+E98+E99</f>
        <v>0</v>
      </c>
      <c r="F100" s="160">
        <f t="shared" si="3"/>
        <v>18483520</v>
      </c>
    </row>
    <row r="101" spans="1:6" ht="15.75">
      <c r="A101" s="147" t="s">
        <v>250</v>
      </c>
      <c r="B101" s="164" t="s">
        <v>62</v>
      </c>
      <c r="C101" s="158">
        <v>0</v>
      </c>
      <c r="D101" s="158">
        <v>0</v>
      </c>
      <c r="E101" s="158">
        <v>0</v>
      </c>
      <c r="F101" s="139">
        <f t="shared" si="3"/>
        <v>0</v>
      </c>
    </row>
    <row r="102" spans="1:6" ht="15.75">
      <c r="A102" s="145" t="s">
        <v>251</v>
      </c>
      <c r="B102" s="166" t="s">
        <v>323</v>
      </c>
      <c r="C102" s="160">
        <f>SUM(C101)</f>
        <v>0</v>
      </c>
      <c r="D102" s="160">
        <f>SUM(D101)</f>
        <v>0</v>
      </c>
      <c r="E102" s="160">
        <f>SUM(E101)</f>
        <v>0</v>
      </c>
      <c r="F102" s="160">
        <f>SUM(F101)</f>
        <v>0</v>
      </c>
    </row>
    <row r="103" spans="1:6" ht="15.75">
      <c r="A103" s="145" t="s">
        <v>252</v>
      </c>
      <c r="B103" s="167" t="s">
        <v>324</v>
      </c>
      <c r="C103" s="160">
        <f>C82+C100+C102+C84</f>
        <v>18483520</v>
      </c>
      <c r="D103" s="160">
        <f>D82+D100+D102+D84</f>
        <v>0</v>
      </c>
      <c r="E103" s="160">
        <f>E82+E100+E102+E84</f>
        <v>0</v>
      </c>
      <c r="F103" s="160">
        <f>F82+F100+F102+F84</f>
        <v>18483520</v>
      </c>
    </row>
    <row r="104" spans="1:6" ht="15.75">
      <c r="A104" s="147" t="s">
        <v>253</v>
      </c>
      <c r="B104" s="157" t="s">
        <v>46</v>
      </c>
      <c r="C104" s="158">
        <v>0</v>
      </c>
      <c r="D104" s="158">
        <v>0</v>
      </c>
      <c r="E104" s="158">
        <v>0</v>
      </c>
      <c r="F104" s="139">
        <f>SUM(C104:E104)</f>
        <v>0</v>
      </c>
    </row>
    <row r="105" spans="1:6" ht="31.5">
      <c r="A105" s="147" t="s">
        <v>254</v>
      </c>
      <c r="B105" s="157" t="s">
        <v>47</v>
      </c>
      <c r="C105" s="158">
        <v>0</v>
      </c>
      <c r="D105" s="158">
        <v>0</v>
      </c>
      <c r="E105" s="158">
        <v>0</v>
      </c>
      <c r="F105" s="139">
        <f>SUM(C105:E105)</f>
        <v>0</v>
      </c>
    </row>
    <row r="106" spans="1:6" ht="31.5">
      <c r="A106" s="145" t="s">
        <v>255</v>
      </c>
      <c r="B106" s="140" t="s">
        <v>325</v>
      </c>
      <c r="C106" s="160">
        <f>SUM(C104:C105)</f>
        <v>0</v>
      </c>
      <c r="D106" s="160">
        <f>SUM(D104:D105)</f>
        <v>0</v>
      </c>
      <c r="E106" s="160">
        <f>SUM(E104:E105)</f>
        <v>0</v>
      </c>
      <c r="F106" s="160">
        <f>SUM(F104:F105)</f>
        <v>0</v>
      </c>
    </row>
    <row r="107" spans="1:6" ht="15.75">
      <c r="A107" s="147" t="s">
        <v>256</v>
      </c>
      <c r="B107" s="168" t="s">
        <v>59</v>
      </c>
      <c r="C107" s="158">
        <v>0</v>
      </c>
      <c r="D107" s="158">
        <v>0</v>
      </c>
      <c r="E107" s="158">
        <v>0</v>
      </c>
      <c r="F107" s="139">
        <f>SUM(C107:E107)</f>
        <v>0</v>
      </c>
    </row>
    <row r="108" spans="1:6" ht="15.75">
      <c r="A108" s="145" t="s">
        <v>257</v>
      </c>
      <c r="B108" s="169" t="s">
        <v>326</v>
      </c>
      <c r="C108" s="160">
        <f>SUM(C107)</f>
        <v>0</v>
      </c>
      <c r="D108" s="160">
        <f>SUM(D107)</f>
        <v>0</v>
      </c>
      <c r="E108" s="160">
        <f>SUM(E107)</f>
        <v>0</v>
      </c>
      <c r="F108" s="160">
        <f>SUM(C108:E108)</f>
        <v>0</v>
      </c>
    </row>
    <row r="109" spans="1:6" ht="15.75">
      <c r="A109" s="147" t="s">
        <v>258</v>
      </c>
      <c r="B109" s="164" t="s">
        <v>65</v>
      </c>
      <c r="C109" s="158">
        <v>0</v>
      </c>
      <c r="D109" s="158">
        <v>0</v>
      </c>
      <c r="E109" s="158">
        <v>0</v>
      </c>
      <c r="F109" s="139">
        <f>SUM(C109:E109)</f>
        <v>0</v>
      </c>
    </row>
    <row r="110" spans="1:6" ht="15.75">
      <c r="A110" s="145" t="s">
        <v>259</v>
      </c>
      <c r="B110" s="166" t="s">
        <v>327</v>
      </c>
      <c r="C110" s="160">
        <f>SUM(C107)</f>
        <v>0</v>
      </c>
      <c r="D110" s="160">
        <f>SUM(D107)</f>
        <v>0</v>
      </c>
      <c r="E110" s="160">
        <f>SUM(E107)</f>
        <v>0</v>
      </c>
      <c r="F110" s="160">
        <f>SUM(C110:E110)</f>
        <v>0</v>
      </c>
    </row>
    <row r="111" spans="1:6" ht="15.75">
      <c r="A111" s="145" t="s">
        <v>260</v>
      </c>
      <c r="B111" s="167" t="s">
        <v>328</v>
      </c>
      <c r="C111" s="160">
        <f>C106+C110+C108</f>
        <v>0</v>
      </c>
      <c r="D111" s="160">
        <f>D106+D110+D108</f>
        <v>0</v>
      </c>
      <c r="E111" s="160">
        <f>E106+E110+E108</f>
        <v>0</v>
      </c>
      <c r="F111" s="160">
        <f>SUM(C111:E111)</f>
        <v>0</v>
      </c>
    </row>
    <row r="112" spans="1:6" ht="15.75">
      <c r="A112" s="145" t="s">
        <v>261</v>
      </c>
      <c r="B112" s="167" t="s">
        <v>329</v>
      </c>
      <c r="C112" s="160">
        <f>C103+C111+C80</f>
        <v>315268333</v>
      </c>
      <c r="D112" s="160">
        <f>D103+D111+D80</f>
        <v>0</v>
      </c>
      <c r="E112" s="160">
        <f>E103+E111+E80</f>
        <v>0</v>
      </c>
      <c r="F112" s="160">
        <f>F103+F111+F80</f>
        <v>315268333</v>
      </c>
    </row>
    <row r="113" spans="1:6" ht="15.75">
      <c r="A113" s="127"/>
      <c r="B113" s="167"/>
      <c r="C113" s="160"/>
      <c r="D113" s="127"/>
      <c r="E113" s="127"/>
      <c r="F113" s="127"/>
    </row>
    <row r="114" spans="1:6" ht="15.75">
      <c r="A114" s="145" t="s">
        <v>332</v>
      </c>
      <c r="B114" s="170" t="s">
        <v>24</v>
      </c>
      <c r="C114" s="160"/>
      <c r="D114" s="127"/>
      <c r="E114" s="127"/>
      <c r="F114" s="127"/>
    </row>
    <row r="115" spans="1:6" ht="15.75">
      <c r="A115" s="145" t="s">
        <v>143</v>
      </c>
      <c r="B115" s="154" t="s">
        <v>25</v>
      </c>
      <c r="C115" s="155">
        <v>345709238</v>
      </c>
      <c r="D115" s="130">
        <v>0</v>
      </c>
      <c r="E115" s="156">
        <v>0</v>
      </c>
      <c r="F115" s="156">
        <f>SUM(C115:E115)</f>
        <v>345709238</v>
      </c>
    </row>
    <row r="116" spans="1:6" ht="31.5">
      <c r="A116" s="147" t="s">
        <v>144</v>
      </c>
      <c r="B116" s="157" t="s">
        <v>69</v>
      </c>
      <c r="C116" s="158">
        <v>0</v>
      </c>
      <c r="D116" s="158">
        <v>0</v>
      </c>
      <c r="E116" s="158">
        <v>0</v>
      </c>
      <c r="F116" s="139">
        <f>SUM(C116:E116)</f>
        <v>0</v>
      </c>
    </row>
    <row r="117" spans="1:6" ht="31.5">
      <c r="A117" s="145" t="s">
        <v>145</v>
      </c>
      <c r="B117" s="159" t="s">
        <v>320</v>
      </c>
      <c r="C117" s="160">
        <f>SUM(C116)</f>
        <v>0</v>
      </c>
      <c r="D117" s="160">
        <f>SUM(D116)</f>
        <v>0</v>
      </c>
      <c r="E117" s="160">
        <f>SUM(E116)</f>
        <v>0</v>
      </c>
      <c r="F117" s="160">
        <f>SUM(F116)</f>
        <v>0</v>
      </c>
    </row>
    <row r="118" spans="1:6" ht="15.75">
      <c r="A118" s="147" t="s">
        <v>146</v>
      </c>
      <c r="B118" s="133" t="s">
        <v>84</v>
      </c>
      <c r="C118" s="158">
        <v>0</v>
      </c>
      <c r="D118" s="158">
        <v>0</v>
      </c>
      <c r="E118" s="158">
        <v>0</v>
      </c>
      <c r="F118" s="139">
        <f>SUM(C118:E118)</f>
        <v>0</v>
      </c>
    </row>
    <row r="119" spans="1:6" ht="15.75">
      <c r="A119" s="145" t="s">
        <v>147</v>
      </c>
      <c r="B119" s="161" t="s">
        <v>321</v>
      </c>
      <c r="C119" s="160">
        <f>SUM(C118)</f>
        <v>0</v>
      </c>
      <c r="D119" s="160">
        <f>SUM(D118)</f>
        <v>0</v>
      </c>
      <c r="E119" s="160">
        <f>SUM(E118)</f>
        <v>0</v>
      </c>
      <c r="F119" s="160">
        <f>SUM(F118)</f>
        <v>0</v>
      </c>
    </row>
    <row r="120" spans="1:6" ht="15.75">
      <c r="A120" s="147" t="s">
        <v>148</v>
      </c>
      <c r="B120" s="157" t="s">
        <v>193</v>
      </c>
      <c r="C120" s="158">
        <v>0</v>
      </c>
      <c r="D120" s="158">
        <v>0</v>
      </c>
      <c r="E120" s="158">
        <v>0</v>
      </c>
      <c r="F120" s="158">
        <f>SUM(C120:E120)</f>
        <v>0</v>
      </c>
    </row>
    <row r="121" spans="1:6" ht="15.75">
      <c r="A121" s="147" t="s">
        <v>150</v>
      </c>
      <c r="B121" s="157" t="s">
        <v>48</v>
      </c>
      <c r="C121" s="158">
        <v>0</v>
      </c>
      <c r="D121" s="158">
        <v>0</v>
      </c>
      <c r="E121" s="158">
        <v>0</v>
      </c>
      <c r="F121" s="158">
        <f aca="true" t="shared" si="4" ref="F121:F136">SUM(C121:E121)</f>
        <v>0</v>
      </c>
    </row>
    <row r="122" spans="1:6" ht="15.75">
      <c r="A122" s="147" t="s">
        <v>152</v>
      </c>
      <c r="B122" s="157" t="s">
        <v>194</v>
      </c>
      <c r="C122" s="158">
        <v>0</v>
      </c>
      <c r="D122" s="158">
        <v>0</v>
      </c>
      <c r="E122" s="158">
        <v>0</v>
      </c>
      <c r="F122" s="158">
        <f t="shared" si="4"/>
        <v>0</v>
      </c>
    </row>
    <row r="123" spans="1:6" ht="15.75">
      <c r="A123" s="147" t="s">
        <v>154</v>
      </c>
      <c r="B123" s="157" t="s">
        <v>49</v>
      </c>
      <c r="C123" s="158">
        <v>100000</v>
      </c>
      <c r="D123" s="158">
        <v>0</v>
      </c>
      <c r="E123" s="158">
        <v>0</v>
      </c>
      <c r="F123" s="158">
        <f t="shared" si="4"/>
        <v>100000</v>
      </c>
    </row>
    <row r="124" spans="1:6" ht="15.75">
      <c r="A124" s="147" t="s">
        <v>156</v>
      </c>
      <c r="B124" s="157" t="s">
        <v>50</v>
      </c>
      <c r="C124" s="158">
        <v>2171400</v>
      </c>
      <c r="D124" s="158">
        <v>0</v>
      </c>
      <c r="E124" s="158">
        <v>0</v>
      </c>
      <c r="F124" s="158">
        <f t="shared" si="4"/>
        <v>2171400</v>
      </c>
    </row>
    <row r="125" spans="1:6" ht="15.75">
      <c r="A125" s="147" t="s">
        <v>157</v>
      </c>
      <c r="B125" s="157" t="s">
        <v>51</v>
      </c>
      <c r="C125" s="158">
        <v>586278</v>
      </c>
      <c r="D125" s="158">
        <v>0</v>
      </c>
      <c r="E125" s="158">
        <v>0</v>
      </c>
      <c r="F125" s="158">
        <f t="shared" si="4"/>
        <v>586278</v>
      </c>
    </row>
    <row r="126" spans="1:6" ht="15.75">
      <c r="A126" s="147" t="s">
        <v>240</v>
      </c>
      <c r="B126" s="157" t="s">
        <v>52</v>
      </c>
      <c r="C126" s="158">
        <v>13249003</v>
      </c>
      <c r="D126" s="158">
        <v>0</v>
      </c>
      <c r="E126" s="158">
        <v>0</v>
      </c>
      <c r="F126" s="158">
        <f t="shared" si="4"/>
        <v>13249003</v>
      </c>
    </row>
    <row r="127" spans="1:6" ht="15.75">
      <c r="A127" s="147" t="s">
        <v>241</v>
      </c>
      <c r="B127" s="162" t="s">
        <v>195</v>
      </c>
      <c r="C127" s="163">
        <v>0</v>
      </c>
      <c r="D127" s="163">
        <v>0</v>
      </c>
      <c r="E127" s="163">
        <v>0</v>
      </c>
      <c r="F127" s="163">
        <f t="shared" si="4"/>
        <v>0</v>
      </c>
    </row>
    <row r="128" spans="1:6" ht="15.75">
      <c r="A128" s="147" t="s">
        <v>242</v>
      </c>
      <c r="B128" s="162" t="s">
        <v>196</v>
      </c>
      <c r="C128" s="163">
        <v>0</v>
      </c>
      <c r="D128" s="163">
        <v>0</v>
      </c>
      <c r="E128" s="163">
        <v>0</v>
      </c>
      <c r="F128" s="163">
        <f t="shared" si="4"/>
        <v>0</v>
      </c>
    </row>
    <row r="129" spans="1:6" ht="15.75">
      <c r="A129" s="147" t="s">
        <v>243</v>
      </c>
      <c r="B129" s="157" t="s">
        <v>338</v>
      </c>
      <c r="C129" s="158">
        <f>SUM(C127:C128)</f>
        <v>0</v>
      </c>
      <c r="D129" s="158">
        <f>SUM(D127:D128)</f>
        <v>0</v>
      </c>
      <c r="E129" s="158">
        <f>SUM(E127:E128)</f>
        <v>0</v>
      </c>
      <c r="F129" s="158">
        <f t="shared" si="4"/>
        <v>0</v>
      </c>
    </row>
    <row r="130" spans="1:6" ht="15.75">
      <c r="A130" s="147" t="s">
        <v>244</v>
      </c>
      <c r="B130" s="162" t="s">
        <v>198</v>
      </c>
      <c r="C130" s="163">
        <v>0</v>
      </c>
      <c r="D130" s="163">
        <v>0</v>
      </c>
      <c r="E130" s="163">
        <v>0</v>
      </c>
      <c r="F130" s="163">
        <f t="shared" si="4"/>
        <v>0</v>
      </c>
    </row>
    <row r="131" spans="1:6" ht="15.75">
      <c r="A131" s="147" t="s">
        <v>245</v>
      </c>
      <c r="B131" s="162" t="s">
        <v>199</v>
      </c>
      <c r="C131" s="163">
        <v>0</v>
      </c>
      <c r="D131" s="163">
        <v>0</v>
      </c>
      <c r="E131" s="163">
        <v>0</v>
      </c>
      <c r="F131" s="163">
        <f t="shared" si="4"/>
        <v>0</v>
      </c>
    </row>
    <row r="132" spans="1:6" ht="15.75">
      <c r="A132" s="147" t="s">
        <v>246</v>
      </c>
      <c r="B132" s="157" t="s">
        <v>339</v>
      </c>
      <c r="C132" s="158">
        <f>SUM(C130:C131)</f>
        <v>0</v>
      </c>
      <c r="D132" s="158">
        <f>SUM(D130:D131)</f>
        <v>0</v>
      </c>
      <c r="E132" s="158">
        <f>SUM(E130:E131)</f>
        <v>0</v>
      </c>
      <c r="F132" s="158">
        <f t="shared" si="4"/>
        <v>0</v>
      </c>
    </row>
    <row r="133" spans="1:6" ht="15.75">
      <c r="A133" s="147" t="s">
        <v>247</v>
      </c>
      <c r="B133" s="157" t="s">
        <v>201</v>
      </c>
      <c r="C133" s="158">
        <v>0</v>
      </c>
      <c r="D133" s="158">
        <v>0</v>
      </c>
      <c r="E133" s="158">
        <v>0</v>
      </c>
      <c r="F133" s="158">
        <f t="shared" si="4"/>
        <v>0</v>
      </c>
    </row>
    <row r="134" spans="1:6" ht="15.75">
      <c r="A134" s="147" t="s">
        <v>248</v>
      </c>
      <c r="B134" s="164" t="s">
        <v>53</v>
      </c>
      <c r="C134" s="139">
        <v>0</v>
      </c>
      <c r="D134" s="158">
        <v>0</v>
      </c>
      <c r="E134" s="158">
        <v>0</v>
      </c>
      <c r="F134" s="158">
        <f t="shared" si="4"/>
        <v>0</v>
      </c>
    </row>
    <row r="135" spans="1:6" ht="15.75">
      <c r="A135" s="145" t="s">
        <v>249</v>
      </c>
      <c r="B135" s="165" t="s">
        <v>322</v>
      </c>
      <c r="C135" s="160">
        <f>C120+C121+C122+C123+C124+C125+C126+C129+C132+C133+C134</f>
        <v>16106681</v>
      </c>
      <c r="D135" s="160">
        <f>D120+D121+D122+D123+D124+D125+D126+D129+D132+D133+D134</f>
        <v>0</v>
      </c>
      <c r="E135" s="160">
        <f>E120+E121+E122+E123+E124+E125+E126+E129+E132+E133+E134</f>
        <v>0</v>
      </c>
      <c r="F135" s="160">
        <f t="shared" si="4"/>
        <v>16106681</v>
      </c>
    </row>
    <row r="136" spans="1:6" ht="15.75">
      <c r="A136" s="147" t="s">
        <v>250</v>
      </c>
      <c r="B136" s="164" t="s">
        <v>62</v>
      </c>
      <c r="C136" s="158">
        <v>0</v>
      </c>
      <c r="D136" s="158">
        <v>0</v>
      </c>
      <c r="E136" s="158">
        <v>0</v>
      </c>
      <c r="F136" s="139">
        <f t="shared" si="4"/>
        <v>0</v>
      </c>
    </row>
    <row r="137" spans="1:6" ht="15.75">
      <c r="A137" s="145" t="s">
        <v>251</v>
      </c>
      <c r="B137" s="166" t="s">
        <v>323</v>
      </c>
      <c r="C137" s="160">
        <f>SUM(C136)</f>
        <v>0</v>
      </c>
      <c r="D137" s="160">
        <f>SUM(D136)</f>
        <v>0</v>
      </c>
      <c r="E137" s="160">
        <f>SUM(E136)</f>
        <v>0</v>
      </c>
      <c r="F137" s="160">
        <f>SUM(F136)</f>
        <v>0</v>
      </c>
    </row>
    <row r="138" spans="1:6" ht="15.75">
      <c r="A138" s="145" t="s">
        <v>252</v>
      </c>
      <c r="B138" s="167" t="s">
        <v>324</v>
      </c>
      <c r="C138" s="160">
        <f>C117+C135+C137+C119</f>
        <v>16106681</v>
      </c>
      <c r="D138" s="160">
        <f>D117+D135+D137+D119</f>
        <v>0</v>
      </c>
      <c r="E138" s="160">
        <f>E117+E135+E137+E119</f>
        <v>0</v>
      </c>
      <c r="F138" s="160">
        <f>F117+F135+F137+F119</f>
        <v>16106681</v>
      </c>
    </row>
    <row r="139" spans="1:6" ht="15.75">
      <c r="A139" s="147" t="s">
        <v>253</v>
      </c>
      <c r="B139" s="157" t="s">
        <v>46</v>
      </c>
      <c r="C139" s="158">
        <v>0</v>
      </c>
      <c r="D139" s="158">
        <v>0</v>
      </c>
      <c r="E139" s="158">
        <v>0</v>
      </c>
      <c r="F139" s="139">
        <f>SUM(C139:E139)</f>
        <v>0</v>
      </c>
    </row>
    <row r="140" spans="1:6" ht="31.5">
      <c r="A140" s="147" t="s">
        <v>254</v>
      </c>
      <c r="B140" s="157" t="s">
        <v>47</v>
      </c>
      <c r="C140" s="158">
        <v>0</v>
      </c>
      <c r="D140" s="158">
        <v>0</v>
      </c>
      <c r="E140" s="158">
        <v>0</v>
      </c>
      <c r="F140" s="139">
        <f>SUM(C140:E140)</f>
        <v>0</v>
      </c>
    </row>
    <row r="141" spans="1:6" ht="31.5">
      <c r="A141" s="145" t="s">
        <v>255</v>
      </c>
      <c r="B141" s="140" t="s">
        <v>325</v>
      </c>
      <c r="C141" s="215">
        <f>SUM(C139:C140)</f>
        <v>0</v>
      </c>
      <c r="D141" s="215">
        <f>SUM(D139:D140)</f>
        <v>0</v>
      </c>
      <c r="E141" s="215">
        <f>SUM(E139:E140)</f>
        <v>0</v>
      </c>
      <c r="F141" s="215">
        <f>SUM(F139:F140)</f>
        <v>0</v>
      </c>
    </row>
    <row r="142" spans="1:6" ht="15.75">
      <c r="A142" s="147" t="s">
        <v>256</v>
      </c>
      <c r="B142" s="168" t="s">
        <v>59</v>
      </c>
      <c r="C142" s="213">
        <v>0</v>
      </c>
      <c r="D142" s="213">
        <v>0</v>
      </c>
      <c r="E142" s="213">
        <v>0</v>
      </c>
      <c r="F142" s="213">
        <f>SUM(C142:E142)</f>
        <v>0</v>
      </c>
    </row>
    <row r="143" spans="1:6" ht="15.75">
      <c r="A143" s="145" t="s">
        <v>257</v>
      </c>
      <c r="B143" s="169" t="s">
        <v>326</v>
      </c>
      <c r="C143" s="215">
        <f>SUM(C142)</f>
        <v>0</v>
      </c>
      <c r="D143" s="215">
        <f>SUM(D142)</f>
        <v>0</v>
      </c>
      <c r="E143" s="215">
        <f>SUM(E142)</f>
        <v>0</v>
      </c>
      <c r="F143" s="215">
        <f>SUM(C143:E143)</f>
        <v>0</v>
      </c>
    </row>
    <row r="144" spans="1:6" ht="15.75">
      <c r="A144" s="147" t="s">
        <v>258</v>
      </c>
      <c r="B144" s="164" t="s">
        <v>65</v>
      </c>
      <c r="C144" s="213">
        <v>0</v>
      </c>
      <c r="D144" s="213">
        <v>0</v>
      </c>
      <c r="E144" s="213">
        <v>0</v>
      </c>
      <c r="F144" s="213">
        <f>SUM(C144:E144)</f>
        <v>0</v>
      </c>
    </row>
    <row r="145" spans="1:6" ht="15.75">
      <c r="A145" s="145" t="s">
        <v>259</v>
      </c>
      <c r="B145" s="166" t="s">
        <v>327</v>
      </c>
      <c r="C145" s="215">
        <f>SUM(C142)</f>
        <v>0</v>
      </c>
      <c r="D145" s="215">
        <f>SUM(D142)</f>
        <v>0</v>
      </c>
      <c r="E145" s="215">
        <f>SUM(E142)</f>
        <v>0</v>
      </c>
      <c r="F145" s="215">
        <f>SUM(C145:E145)</f>
        <v>0</v>
      </c>
    </row>
    <row r="146" spans="1:6" ht="15.75">
      <c r="A146" s="145" t="s">
        <v>260</v>
      </c>
      <c r="B146" s="167" t="s">
        <v>328</v>
      </c>
      <c r="C146" s="215">
        <f>C141+C145+C143</f>
        <v>0</v>
      </c>
      <c r="D146" s="215">
        <f>D141+D145+D143</f>
        <v>0</v>
      </c>
      <c r="E146" s="215">
        <f>E141+E145+E143</f>
        <v>0</v>
      </c>
      <c r="F146" s="215">
        <f>SUM(C146:E146)</f>
        <v>0</v>
      </c>
    </row>
    <row r="147" spans="1:6" ht="15.75">
      <c r="A147" s="145" t="s">
        <v>261</v>
      </c>
      <c r="B147" s="167" t="s">
        <v>329</v>
      </c>
      <c r="C147" s="215">
        <f>C138+C146+C115</f>
        <v>361815919</v>
      </c>
      <c r="D147" s="215">
        <f>D138+D146+D115</f>
        <v>0</v>
      </c>
      <c r="E147" s="215">
        <f>E138+E146+E115</f>
        <v>0</v>
      </c>
      <c r="F147" s="215">
        <f>F138+F146+F115</f>
        <v>361815919</v>
      </c>
    </row>
    <row r="148" spans="1:6" ht="15.75">
      <c r="A148" s="127"/>
      <c r="B148" s="167"/>
      <c r="C148" s="215"/>
      <c r="D148" s="216"/>
      <c r="E148" s="216"/>
      <c r="F148" s="216"/>
    </row>
    <row r="149" spans="1:6" ht="15.75">
      <c r="A149" s="145" t="s">
        <v>333</v>
      </c>
      <c r="B149" s="126" t="s">
        <v>352</v>
      </c>
      <c r="C149" s="213"/>
      <c r="D149" s="216"/>
      <c r="E149" s="216"/>
      <c r="F149" s="216"/>
    </row>
    <row r="150" spans="1:6" ht="15.75">
      <c r="A150" s="145" t="s">
        <v>143</v>
      </c>
      <c r="B150" s="154" t="s">
        <v>25</v>
      </c>
      <c r="C150" s="217">
        <v>137134920</v>
      </c>
      <c r="D150" s="218">
        <v>0</v>
      </c>
      <c r="E150" s="217">
        <v>0</v>
      </c>
      <c r="F150" s="217">
        <f>SUM(C150:E150)</f>
        <v>137134920</v>
      </c>
    </row>
    <row r="151" spans="1:6" ht="31.5">
      <c r="A151" s="147" t="s">
        <v>144</v>
      </c>
      <c r="B151" s="157" t="s">
        <v>69</v>
      </c>
      <c r="C151" s="213">
        <v>178289943</v>
      </c>
      <c r="D151" s="213">
        <v>0</v>
      </c>
      <c r="E151" s="213">
        <v>0</v>
      </c>
      <c r="F151" s="213">
        <f>SUM(C151:E151)</f>
        <v>178289943</v>
      </c>
    </row>
    <row r="152" spans="1:6" ht="31.5">
      <c r="A152" s="145" t="s">
        <v>145</v>
      </c>
      <c r="B152" s="159" t="s">
        <v>320</v>
      </c>
      <c r="C152" s="215">
        <f>SUM(C151)</f>
        <v>178289943</v>
      </c>
      <c r="D152" s="215">
        <f>SUM(D151)</f>
        <v>0</v>
      </c>
      <c r="E152" s="215">
        <f>SUM(E151)</f>
        <v>0</v>
      </c>
      <c r="F152" s="215">
        <f>SUM(F151)</f>
        <v>178289943</v>
      </c>
    </row>
    <row r="153" spans="1:6" ht="15.75">
      <c r="A153" s="147" t="s">
        <v>146</v>
      </c>
      <c r="B153" s="133" t="s">
        <v>84</v>
      </c>
      <c r="C153" s="213">
        <v>0</v>
      </c>
      <c r="D153" s="213">
        <v>0</v>
      </c>
      <c r="E153" s="213">
        <v>0</v>
      </c>
      <c r="F153" s="213">
        <f>SUM(C153:E153)</f>
        <v>0</v>
      </c>
    </row>
    <row r="154" spans="1:6" ht="15.75">
      <c r="A154" s="145" t="s">
        <v>147</v>
      </c>
      <c r="B154" s="161" t="s">
        <v>321</v>
      </c>
      <c r="C154" s="215">
        <f>SUM(C153)</f>
        <v>0</v>
      </c>
      <c r="D154" s="215">
        <f>SUM(D153)</f>
        <v>0</v>
      </c>
      <c r="E154" s="215">
        <f>SUM(E153)</f>
        <v>0</v>
      </c>
      <c r="F154" s="215">
        <f>SUM(F153)</f>
        <v>0</v>
      </c>
    </row>
    <row r="155" spans="1:6" ht="15.75">
      <c r="A155" s="147" t="s">
        <v>148</v>
      </c>
      <c r="B155" s="157" t="s">
        <v>193</v>
      </c>
      <c r="C155" s="213">
        <v>0</v>
      </c>
      <c r="D155" s="213">
        <v>0</v>
      </c>
      <c r="E155" s="213">
        <v>0</v>
      </c>
      <c r="F155" s="213">
        <f>SUM(C155:E155)</f>
        <v>0</v>
      </c>
    </row>
    <row r="156" spans="1:6" ht="15.75">
      <c r="A156" s="147" t="s">
        <v>150</v>
      </c>
      <c r="B156" s="157" t="s">
        <v>48</v>
      </c>
      <c r="C156" s="213">
        <v>0</v>
      </c>
      <c r="D156" s="213">
        <v>0</v>
      </c>
      <c r="E156" s="213">
        <v>0</v>
      </c>
      <c r="F156" s="213">
        <f aca="true" t="shared" si="5" ref="F156:F171">SUM(C156:E156)</f>
        <v>0</v>
      </c>
    </row>
    <row r="157" spans="1:6" ht="15.75">
      <c r="A157" s="147" t="s">
        <v>152</v>
      </c>
      <c r="B157" s="157" t="s">
        <v>194</v>
      </c>
      <c r="C157" s="213">
        <v>0</v>
      </c>
      <c r="D157" s="213">
        <v>0</v>
      </c>
      <c r="E157" s="213">
        <v>0</v>
      </c>
      <c r="F157" s="213">
        <f t="shared" si="5"/>
        <v>0</v>
      </c>
    </row>
    <row r="158" spans="1:6" ht="15.75">
      <c r="A158" s="147" t="s">
        <v>154</v>
      </c>
      <c r="B158" s="157" t="s">
        <v>49</v>
      </c>
      <c r="C158" s="213">
        <v>0</v>
      </c>
      <c r="D158" s="213">
        <v>0</v>
      </c>
      <c r="E158" s="213">
        <v>0</v>
      </c>
      <c r="F158" s="213">
        <f t="shared" si="5"/>
        <v>0</v>
      </c>
    </row>
    <row r="159" spans="1:6" ht="15.75">
      <c r="A159" s="147" t="s">
        <v>156</v>
      </c>
      <c r="B159" s="157" t="s">
        <v>50</v>
      </c>
      <c r="C159" s="213">
        <v>4582980</v>
      </c>
      <c r="D159" s="213">
        <v>0</v>
      </c>
      <c r="E159" s="213">
        <v>0</v>
      </c>
      <c r="F159" s="213">
        <f t="shared" si="5"/>
        <v>4582980</v>
      </c>
    </row>
    <row r="160" spans="1:6" ht="15.75">
      <c r="A160" s="147" t="s">
        <v>157</v>
      </c>
      <c r="B160" s="157" t="s">
        <v>51</v>
      </c>
      <c r="C160" s="213">
        <v>1237405</v>
      </c>
      <c r="D160" s="213">
        <v>0</v>
      </c>
      <c r="E160" s="213">
        <v>0</v>
      </c>
      <c r="F160" s="213">
        <f t="shared" si="5"/>
        <v>1237405</v>
      </c>
    </row>
    <row r="161" spans="1:6" ht="15.75">
      <c r="A161" s="147" t="s">
        <v>240</v>
      </c>
      <c r="B161" s="157" t="s">
        <v>52</v>
      </c>
      <c r="C161" s="213">
        <v>5800426</v>
      </c>
      <c r="D161" s="213">
        <v>0</v>
      </c>
      <c r="E161" s="213">
        <v>0</v>
      </c>
      <c r="F161" s="213">
        <f t="shared" si="5"/>
        <v>5800426</v>
      </c>
    </row>
    <row r="162" spans="1:6" ht="15.75">
      <c r="A162" s="147" t="s">
        <v>241</v>
      </c>
      <c r="B162" s="162" t="s">
        <v>195</v>
      </c>
      <c r="C162" s="219">
        <v>0</v>
      </c>
      <c r="D162" s="219">
        <v>0</v>
      </c>
      <c r="E162" s="219">
        <v>0</v>
      </c>
      <c r="F162" s="219">
        <f t="shared" si="5"/>
        <v>0</v>
      </c>
    </row>
    <row r="163" spans="1:6" ht="15.75">
      <c r="A163" s="147" t="s">
        <v>242</v>
      </c>
      <c r="B163" s="162" t="s">
        <v>196</v>
      </c>
      <c r="C163" s="219">
        <v>0</v>
      </c>
      <c r="D163" s="219">
        <v>0</v>
      </c>
      <c r="E163" s="219">
        <v>0</v>
      </c>
      <c r="F163" s="219">
        <f t="shared" si="5"/>
        <v>0</v>
      </c>
    </row>
    <row r="164" spans="1:6" ht="15.75">
      <c r="A164" s="147" t="s">
        <v>243</v>
      </c>
      <c r="B164" s="157" t="s">
        <v>338</v>
      </c>
      <c r="C164" s="213">
        <f>SUM(C162:C163)</f>
        <v>0</v>
      </c>
      <c r="D164" s="213">
        <f>SUM(D162:D163)</f>
        <v>0</v>
      </c>
      <c r="E164" s="213">
        <f>SUM(E162:E163)</f>
        <v>0</v>
      </c>
      <c r="F164" s="213">
        <f t="shared" si="5"/>
        <v>0</v>
      </c>
    </row>
    <row r="165" spans="1:6" ht="15.75">
      <c r="A165" s="147" t="s">
        <v>244</v>
      </c>
      <c r="B165" s="162" t="s">
        <v>198</v>
      </c>
      <c r="C165" s="219">
        <v>0</v>
      </c>
      <c r="D165" s="219">
        <v>0</v>
      </c>
      <c r="E165" s="219">
        <v>0</v>
      </c>
      <c r="F165" s="219">
        <f t="shared" si="5"/>
        <v>0</v>
      </c>
    </row>
    <row r="166" spans="1:6" ht="15.75">
      <c r="A166" s="147" t="s">
        <v>245</v>
      </c>
      <c r="B166" s="162" t="s">
        <v>199</v>
      </c>
      <c r="C166" s="219">
        <v>0</v>
      </c>
      <c r="D166" s="219">
        <v>0</v>
      </c>
      <c r="E166" s="219">
        <v>0</v>
      </c>
      <c r="F166" s="219">
        <f t="shared" si="5"/>
        <v>0</v>
      </c>
    </row>
    <row r="167" spans="1:6" ht="15.75">
      <c r="A167" s="147" t="s">
        <v>246</v>
      </c>
      <c r="B167" s="157" t="s">
        <v>339</v>
      </c>
      <c r="C167" s="158">
        <f>SUM(C165:C166)</f>
        <v>0</v>
      </c>
      <c r="D167" s="158">
        <f>SUM(D165:D166)</f>
        <v>0</v>
      </c>
      <c r="E167" s="158">
        <f>SUM(E165:E166)</f>
        <v>0</v>
      </c>
      <c r="F167" s="158">
        <f t="shared" si="5"/>
        <v>0</v>
      </c>
    </row>
    <row r="168" spans="1:6" ht="15.75">
      <c r="A168" s="147" t="s">
        <v>247</v>
      </c>
      <c r="B168" s="157" t="s">
        <v>201</v>
      </c>
      <c r="C168" s="158">
        <v>0</v>
      </c>
      <c r="D168" s="158">
        <v>0</v>
      </c>
      <c r="E168" s="158">
        <v>0</v>
      </c>
      <c r="F168" s="158">
        <f t="shared" si="5"/>
        <v>0</v>
      </c>
    </row>
    <row r="169" spans="1:6" ht="15.75">
      <c r="A169" s="147" t="s">
        <v>248</v>
      </c>
      <c r="B169" s="164" t="s">
        <v>53</v>
      </c>
      <c r="C169" s="158">
        <v>0</v>
      </c>
      <c r="D169" s="158">
        <v>0</v>
      </c>
      <c r="E169" s="158">
        <v>0</v>
      </c>
      <c r="F169" s="158">
        <f t="shared" si="5"/>
        <v>0</v>
      </c>
    </row>
    <row r="170" spans="1:6" ht="15.75">
      <c r="A170" s="145" t="s">
        <v>249</v>
      </c>
      <c r="B170" s="165" t="s">
        <v>322</v>
      </c>
      <c r="C170" s="160">
        <f>C155+C156+C157+C158+C159+C160+C161+C164+C167+C168+C169</f>
        <v>11620811</v>
      </c>
      <c r="D170" s="160">
        <f>D155+D156+D157+D158+D159+D160+D161+D164+D167+D168+D169</f>
        <v>0</v>
      </c>
      <c r="E170" s="160">
        <f>E155+E156+E157+E158+E159+E160+E161+E164+E167+E168+E169</f>
        <v>0</v>
      </c>
      <c r="F170" s="160">
        <f t="shared" si="5"/>
        <v>11620811</v>
      </c>
    </row>
    <row r="171" spans="1:6" ht="15.75">
      <c r="A171" s="147" t="s">
        <v>250</v>
      </c>
      <c r="B171" s="164" t="s">
        <v>62</v>
      </c>
      <c r="C171" s="158">
        <v>0</v>
      </c>
      <c r="D171" s="158">
        <v>0</v>
      </c>
      <c r="E171" s="158">
        <v>0</v>
      </c>
      <c r="F171" s="139">
        <f t="shared" si="5"/>
        <v>0</v>
      </c>
    </row>
    <row r="172" spans="1:6" ht="15.75">
      <c r="A172" s="145" t="s">
        <v>251</v>
      </c>
      <c r="B172" s="166" t="s">
        <v>323</v>
      </c>
      <c r="C172" s="160">
        <f>SUM(C171)</f>
        <v>0</v>
      </c>
      <c r="D172" s="160">
        <f>SUM(D171)</f>
        <v>0</v>
      </c>
      <c r="E172" s="160">
        <f>SUM(E171)</f>
        <v>0</v>
      </c>
      <c r="F172" s="160">
        <f>SUM(F171)</f>
        <v>0</v>
      </c>
    </row>
    <row r="173" spans="1:6" ht="15.75">
      <c r="A173" s="145" t="s">
        <v>252</v>
      </c>
      <c r="B173" s="167" t="s">
        <v>324</v>
      </c>
      <c r="C173" s="160">
        <f>C152+C170+C172+C154</f>
        <v>189910754</v>
      </c>
      <c r="D173" s="160">
        <f>D152+D170+D172+D154</f>
        <v>0</v>
      </c>
      <c r="E173" s="160">
        <f>E152+E170+E172+E154</f>
        <v>0</v>
      </c>
      <c r="F173" s="160">
        <f>F152+F170+F172+F154</f>
        <v>189910754</v>
      </c>
    </row>
    <row r="174" spans="1:6" ht="15.75">
      <c r="A174" s="147" t="s">
        <v>253</v>
      </c>
      <c r="B174" s="157" t="s">
        <v>46</v>
      </c>
      <c r="C174" s="158">
        <v>0</v>
      </c>
      <c r="D174" s="158">
        <v>0</v>
      </c>
      <c r="E174" s="158">
        <v>0</v>
      </c>
      <c r="F174" s="139">
        <f>SUM(C174:E174)</f>
        <v>0</v>
      </c>
    </row>
    <row r="175" spans="1:6" ht="31.5">
      <c r="A175" s="147" t="s">
        <v>254</v>
      </c>
      <c r="B175" s="157" t="s">
        <v>47</v>
      </c>
      <c r="C175" s="158">
        <v>0</v>
      </c>
      <c r="D175" s="158">
        <v>0</v>
      </c>
      <c r="E175" s="158">
        <v>0</v>
      </c>
      <c r="F175" s="139">
        <f>SUM(C175:E175)</f>
        <v>0</v>
      </c>
    </row>
    <row r="176" spans="1:6" ht="31.5">
      <c r="A176" s="145" t="s">
        <v>255</v>
      </c>
      <c r="B176" s="140" t="s">
        <v>325</v>
      </c>
      <c r="C176" s="160">
        <f>SUM(C174:C175)</f>
        <v>0</v>
      </c>
      <c r="D176" s="160">
        <f>SUM(D174:D175)</f>
        <v>0</v>
      </c>
      <c r="E176" s="160">
        <f>SUM(E174:E175)</f>
        <v>0</v>
      </c>
      <c r="F176" s="160">
        <f>SUM(F174:F175)</f>
        <v>0</v>
      </c>
    </row>
    <row r="177" spans="1:6" ht="15.75">
      <c r="A177" s="147" t="s">
        <v>256</v>
      </c>
      <c r="B177" s="168" t="s">
        <v>59</v>
      </c>
      <c r="C177" s="158">
        <v>0</v>
      </c>
      <c r="D177" s="158">
        <v>0</v>
      </c>
      <c r="E177" s="158">
        <v>0</v>
      </c>
      <c r="F177" s="139">
        <f>SUM(C177:E177)</f>
        <v>0</v>
      </c>
    </row>
    <row r="178" spans="1:6" ht="15.75">
      <c r="A178" s="145" t="s">
        <v>257</v>
      </c>
      <c r="B178" s="169" t="s">
        <v>326</v>
      </c>
      <c r="C178" s="160">
        <f>SUM(C177)</f>
        <v>0</v>
      </c>
      <c r="D178" s="160">
        <f>SUM(D177)</f>
        <v>0</v>
      </c>
      <c r="E178" s="160">
        <f>SUM(E177)</f>
        <v>0</v>
      </c>
      <c r="F178" s="160">
        <f>SUM(C178:E178)</f>
        <v>0</v>
      </c>
    </row>
    <row r="179" spans="1:6" ht="15.75">
      <c r="A179" s="147" t="s">
        <v>258</v>
      </c>
      <c r="B179" s="164" t="s">
        <v>65</v>
      </c>
      <c r="C179" s="158">
        <v>0</v>
      </c>
      <c r="D179" s="158">
        <v>0</v>
      </c>
      <c r="E179" s="158">
        <v>0</v>
      </c>
      <c r="F179" s="139">
        <f>SUM(C179:E179)</f>
        <v>0</v>
      </c>
    </row>
    <row r="180" spans="1:6" ht="15.75">
      <c r="A180" s="145" t="s">
        <v>259</v>
      </c>
      <c r="B180" s="166" t="s">
        <v>327</v>
      </c>
      <c r="C180" s="160">
        <f>SUM(C177)</f>
        <v>0</v>
      </c>
      <c r="D180" s="160">
        <f>SUM(D177)</f>
        <v>0</v>
      </c>
      <c r="E180" s="160">
        <f>SUM(E177)</f>
        <v>0</v>
      </c>
      <c r="F180" s="160">
        <f>SUM(C180:E180)</f>
        <v>0</v>
      </c>
    </row>
    <row r="181" spans="1:6" ht="15.75">
      <c r="A181" s="145" t="s">
        <v>260</v>
      </c>
      <c r="B181" s="167" t="s">
        <v>328</v>
      </c>
      <c r="C181" s="160">
        <f>C176+C180+C178</f>
        <v>0</v>
      </c>
      <c r="D181" s="160">
        <f>D176+D180+D178</f>
        <v>0</v>
      </c>
      <c r="E181" s="160">
        <f>E176+E180+E178</f>
        <v>0</v>
      </c>
      <c r="F181" s="160">
        <f>SUM(C181:E181)</f>
        <v>0</v>
      </c>
    </row>
    <row r="182" spans="1:6" ht="15.75">
      <c r="A182" s="145" t="s">
        <v>261</v>
      </c>
      <c r="B182" s="167" t="s">
        <v>329</v>
      </c>
      <c r="C182" s="160">
        <f>C173+C181+C150</f>
        <v>327045674</v>
      </c>
      <c r="D182" s="160">
        <f>D173+D181+D150</f>
        <v>0</v>
      </c>
      <c r="E182" s="160">
        <f>E173+E181+E150</f>
        <v>0</v>
      </c>
      <c r="F182" s="160">
        <f>F173+F181+F150</f>
        <v>327045674</v>
      </c>
    </row>
    <row r="183" spans="1:6" ht="15.75">
      <c r="A183" s="127"/>
      <c r="B183" s="167"/>
      <c r="C183" s="160"/>
      <c r="D183" s="127"/>
      <c r="E183" s="127"/>
      <c r="F183" s="127"/>
    </row>
    <row r="184" spans="1:6" ht="15.75">
      <c r="A184" s="145" t="s">
        <v>334</v>
      </c>
      <c r="B184" s="149" t="s">
        <v>349</v>
      </c>
      <c r="C184" s="160"/>
      <c r="D184" s="127"/>
      <c r="E184" s="127"/>
      <c r="F184" s="127"/>
    </row>
    <row r="185" spans="1:6" ht="15.75">
      <c r="A185" s="145" t="s">
        <v>143</v>
      </c>
      <c r="B185" s="154" t="s">
        <v>25</v>
      </c>
      <c r="C185" s="155">
        <f>46173159+40932756+3000000</f>
        <v>90105915</v>
      </c>
      <c r="D185" s="130">
        <v>0</v>
      </c>
      <c r="E185" s="156">
        <v>0</v>
      </c>
      <c r="F185" s="156">
        <f>SUM(C185:E185)</f>
        <v>90105915</v>
      </c>
    </row>
    <row r="186" spans="1:6" ht="31.5">
      <c r="A186" s="147" t="s">
        <v>144</v>
      </c>
      <c r="B186" s="157" t="s">
        <v>69</v>
      </c>
      <c r="C186" s="158">
        <v>0</v>
      </c>
      <c r="D186" s="158">
        <v>0</v>
      </c>
      <c r="E186" s="158">
        <v>0</v>
      </c>
      <c r="F186" s="139">
        <f>SUM(C186:E186)</f>
        <v>0</v>
      </c>
    </row>
    <row r="187" spans="1:6" ht="31.5">
      <c r="A187" s="145" t="s">
        <v>145</v>
      </c>
      <c r="B187" s="159" t="s">
        <v>320</v>
      </c>
      <c r="C187" s="160">
        <f>SUM(C186)</f>
        <v>0</v>
      </c>
      <c r="D187" s="160">
        <f>SUM(D186)</f>
        <v>0</v>
      </c>
      <c r="E187" s="160">
        <f>SUM(E186)</f>
        <v>0</v>
      </c>
      <c r="F187" s="160">
        <f>SUM(F186)</f>
        <v>0</v>
      </c>
    </row>
    <row r="188" spans="1:6" ht="15.75">
      <c r="A188" s="147" t="s">
        <v>146</v>
      </c>
      <c r="B188" s="133" t="s">
        <v>84</v>
      </c>
      <c r="C188" s="158">
        <v>0</v>
      </c>
      <c r="D188" s="158">
        <v>0</v>
      </c>
      <c r="E188" s="158">
        <v>0</v>
      </c>
      <c r="F188" s="139">
        <f>SUM(C188:E188)</f>
        <v>0</v>
      </c>
    </row>
    <row r="189" spans="1:6" ht="15.75">
      <c r="A189" s="145" t="s">
        <v>147</v>
      </c>
      <c r="B189" s="161" t="s">
        <v>321</v>
      </c>
      <c r="C189" s="160">
        <f>SUM(C188)</f>
        <v>0</v>
      </c>
      <c r="D189" s="160">
        <f>SUM(D188)</f>
        <v>0</v>
      </c>
      <c r="E189" s="160">
        <f>SUM(E188)</f>
        <v>0</v>
      </c>
      <c r="F189" s="160">
        <f>SUM(F188)</f>
        <v>0</v>
      </c>
    </row>
    <row r="190" spans="1:6" ht="15.75">
      <c r="A190" s="147" t="s">
        <v>148</v>
      </c>
      <c r="B190" s="157" t="s">
        <v>193</v>
      </c>
      <c r="C190" s="158">
        <v>0</v>
      </c>
      <c r="D190" s="158">
        <v>0</v>
      </c>
      <c r="E190" s="158">
        <v>0</v>
      </c>
      <c r="F190" s="158">
        <f>SUM(C190:E190)</f>
        <v>0</v>
      </c>
    </row>
    <row r="191" spans="1:6" ht="15.75">
      <c r="A191" s="147" t="s">
        <v>150</v>
      </c>
      <c r="B191" s="157" t="s">
        <v>48</v>
      </c>
      <c r="C191" s="158">
        <v>3200000</v>
      </c>
      <c r="D191" s="158">
        <v>0</v>
      </c>
      <c r="E191" s="158">
        <v>0</v>
      </c>
      <c r="F191" s="158">
        <f aca="true" t="shared" si="6" ref="F191:F206">SUM(C191:E191)</f>
        <v>3200000</v>
      </c>
    </row>
    <row r="192" spans="1:6" ht="15.75">
      <c r="A192" s="147" t="s">
        <v>152</v>
      </c>
      <c r="B192" s="157" t="s">
        <v>194</v>
      </c>
      <c r="C192" s="158">
        <v>0</v>
      </c>
      <c r="D192" s="158">
        <v>0</v>
      </c>
      <c r="E192" s="158">
        <v>0</v>
      </c>
      <c r="F192" s="158">
        <f t="shared" si="6"/>
        <v>0</v>
      </c>
    </row>
    <row r="193" spans="1:6" ht="15.75">
      <c r="A193" s="147" t="s">
        <v>154</v>
      </c>
      <c r="B193" s="157" t="s">
        <v>49</v>
      </c>
      <c r="C193" s="158">
        <v>0</v>
      </c>
      <c r="D193" s="158">
        <v>0</v>
      </c>
      <c r="E193" s="158">
        <v>0</v>
      </c>
      <c r="F193" s="158">
        <f t="shared" si="6"/>
        <v>0</v>
      </c>
    </row>
    <row r="194" spans="1:6" ht="15.75">
      <c r="A194" s="147" t="s">
        <v>156</v>
      </c>
      <c r="B194" s="157" t="s">
        <v>50</v>
      </c>
      <c r="C194" s="158"/>
      <c r="D194" s="158">
        <v>0</v>
      </c>
      <c r="E194" s="158">
        <v>0</v>
      </c>
      <c r="F194" s="158">
        <f t="shared" si="6"/>
        <v>0</v>
      </c>
    </row>
    <row r="195" spans="1:6" ht="15.75">
      <c r="A195" s="147" t="s">
        <v>157</v>
      </c>
      <c r="B195" s="157" t="s">
        <v>51</v>
      </c>
      <c r="C195" s="158">
        <v>400000</v>
      </c>
      <c r="D195" s="158">
        <v>0</v>
      </c>
      <c r="E195" s="158">
        <v>0</v>
      </c>
      <c r="F195" s="158">
        <f t="shared" si="6"/>
        <v>400000</v>
      </c>
    </row>
    <row r="196" spans="1:6" ht="15.75">
      <c r="A196" s="147" t="s">
        <v>240</v>
      </c>
      <c r="B196" s="157" t="s">
        <v>52</v>
      </c>
      <c r="C196" s="158">
        <v>0</v>
      </c>
      <c r="D196" s="158">
        <v>0</v>
      </c>
      <c r="E196" s="158">
        <v>0</v>
      </c>
      <c r="F196" s="158">
        <f t="shared" si="6"/>
        <v>0</v>
      </c>
    </row>
    <row r="197" spans="1:6" ht="15.75">
      <c r="A197" s="147" t="s">
        <v>241</v>
      </c>
      <c r="B197" s="162" t="s">
        <v>195</v>
      </c>
      <c r="C197" s="163">
        <v>0</v>
      </c>
      <c r="D197" s="163">
        <v>0</v>
      </c>
      <c r="E197" s="163">
        <v>0</v>
      </c>
      <c r="F197" s="163">
        <f t="shared" si="6"/>
        <v>0</v>
      </c>
    </row>
    <row r="198" spans="1:6" ht="15.75">
      <c r="A198" s="147" t="s">
        <v>242</v>
      </c>
      <c r="B198" s="162" t="s">
        <v>196</v>
      </c>
      <c r="C198" s="163">
        <v>0</v>
      </c>
      <c r="D198" s="163">
        <v>0</v>
      </c>
      <c r="E198" s="163">
        <v>0</v>
      </c>
      <c r="F198" s="163">
        <f t="shared" si="6"/>
        <v>0</v>
      </c>
    </row>
    <row r="199" spans="1:6" ht="15.75">
      <c r="A199" s="147" t="s">
        <v>243</v>
      </c>
      <c r="B199" s="157" t="s">
        <v>338</v>
      </c>
      <c r="C199" s="158">
        <f>SUM(C197:C198)</f>
        <v>0</v>
      </c>
      <c r="D199" s="158">
        <f>SUM(D197:D198)</f>
        <v>0</v>
      </c>
      <c r="E199" s="158">
        <f>SUM(E197:E198)</f>
        <v>0</v>
      </c>
      <c r="F199" s="158">
        <f t="shared" si="6"/>
        <v>0</v>
      </c>
    </row>
    <row r="200" spans="1:6" ht="15.75">
      <c r="A200" s="147" t="s">
        <v>244</v>
      </c>
      <c r="B200" s="162" t="s">
        <v>198</v>
      </c>
      <c r="C200" s="163">
        <v>0</v>
      </c>
      <c r="D200" s="163">
        <v>0</v>
      </c>
      <c r="E200" s="163">
        <v>0</v>
      </c>
      <c r="F200" s="163">
        <f t="shared" si="6"/>
        <v>0</v>
      </c>
    </row>
    <row r="201" spans="1:6" ht="15.75">
      <c r="A201" s="147" t="s">
        <v>245</v>
      </c>
      <c r="B201" s="162" t="s">
        <v>199</v>
      </c>
      <c r="C201" s="163">
        <v>0</v>
      </c>
      <c r="D201" s="163">
        <v>0</v>
      </c>
      <c r="E201" s="163">
        <v>0</v>
      </c>
      <c r="F201" s="163">
        <f t="shared" si="6"/>
        <v>0</v>
      </c>
    </row>
    <row r="202" spans="1:6" ht="15.75">
      <c r="A202" s="147" t="s">
        <v>246</v>
      </c>
      <c r="B202" s="157" t="s">
        <v>339</v>
      </c>
      <c r="C202" s="158">
        <f>SUM(C200:C201)</f>
        <v>0</v>
      </c>
      <c r="D202" s="158">
        <f>SUM(D200:D201)</f>
        <v>0</v>
      </c>
      <c r="E202" s="158">
        <f>SUM(E200:E201)</f>
        <v>0</v>
      </c>
      <c r="F202" s="158">
        <f t="shared" si="6"/>
        <v>0</v>
      </c>
    </row>
    <row r="203" spans="1:6" ht="15.75">
      <c r="A203" s="147" t="s">
        <v>247</v>
      </c>
      <c r="B203" s="157" t="s">
        <v>201</v>
      </c>
      <c r="C203" s="158">
        <v>0</v>
      </c>
      <c r="D203" s="158">
        <v>0</v>
      </c>
      <c r="E203" s="158">
        <v>0</v>
      </c>
      <c r="F203" s="158">
        <f t="shared" si="6"/>
        <v>0</v>
      </c>
    </row>
    <row r="204" spans="1:6" ht="15.75">
      <c r="A204" s="147" t="s">
        <v>248</v>
      </c>
      <c r="B204" s="164" t="s">
        <v>53</v>
      </c>
      <c r="C204" s="158"/>
      <c r="D204" s="158">
        <v>0</v>
      </c>
      <c r="E204" s="158">
        <v>0</v>
      </c>
      <c r="F204" s="158">
        <f t="shared" si="6"/>
        <v>0</v>
      </c>
    </row>
    <row r="205" spans="1:6" ht="15.75">
      <c r="A205" s="145" t="s">
        <v>249</v>
      </c>
      <c r="B205" s="165" t="s">
        <v>322</v>
      </c>
      <c r="C205" s="160">
        <f>C190+C191+C192+C193+C194+C195+C196+C199+C202+C203+C204</f>
        <v>3600000</v>
      </c>
      <c r="D205" s="160">
        <f>D190+D191+D192+D193+D194+D195+D196+D199+D202+D203+D204</f>
        <v>0</v>
      </c>
      <c r="E205" s="160">
        <f>E190+E191+E192+E193+E194+E195+E196+E199+E202+E203+E204</f>
        <v>0</v>
      </c>
      <c r="F205" s="160">
        <f t="shared" si="6"/>
        <v>3600000</v>
      </c>
    </row>
    <row r="206" spans="1:6" ht="15.75">
      <c r="A206" s="147" t="s">
        <v>250</v>
      </c>
      <c r="B206" s="164" t="s">
        <v>62</v>
      </c>
      <c r="C206" s="158">
        <v>0</v>
      </c>
      <c r="D206" s="158">
        <v>0</v>
      </c>
      <c r="E206" s="158">
        <v>0</v>
      </c>
      <c r="F206" s="139">
        <f t="shared" si="6"/>
        <v>0</v>
      </c>
    </row>
    <row r="207" spans="1:6" ht="15.75">
      <c r="A207" s="145" t="s">
        <v>251</v>
      </c>
      <c r="B207" s="166" t="s">
        <v>323</v>
      </c>
      <c r="C207" s="160">
        <f>SUM(C206)</f>
        <v>0</v>
      </c>
      <c r="D207" s="160">
        <f>SUM(D206)</f>
        <v>0</v>
      </c>
      <c r="E207" s="160">
        <f>SUM(E206)</f>
        <v>0</v>
      </c>
      <c r="F207" s="160">
        <f>SUM(F206)</f>
        <v>0</v>
      </c>
    </row>
    <row r="208" spans="1:6" ht="15.75">
      <c r="A208" s="145" t="s">
        <v>252</v>
      </c>
      <c r="B208" s="167" t="s">
        <v>324</v>
      </c>
      <c r="C208" s="160">
        <f>C187+C205+C207+C189</f>
        <v>3600000</v>
      </c>
      <c r="D208" s="160">
        <f>D187+D205+D207+D189</f>
        <v>0</v>
      </c>
      <c r="E208" s="160">
        <f>E187+E205+E207+E189</f>
        <v>0</v>
      </c>
      <c r="F208" s="160">
        <f>F187+F205+F207+F189</f>
        <v>3600000</v>
      </c>
    </row>
    <row r="209" spans="1:6" ht="15.75">
      <c r="A209" s="147" t="s">
        <v>253</v>
      </c>
      <c r="B209" s="157" t="s">
        <v>46</v>
      </c>
      <c r="C209" s="158">
        <v>0</v>
      </c>
      <c r="D209" s="158">
        <v>0</v>
      </c>
      <c r="E209" s="158">
        <v>0</v>
      </c>
      <c r="F209" s="139">
        <f>SUM(C209:E209)</f>
        <v>0</v>
      </c>
    </row>
    <row r="210" spans="1:6" ht="31.5">
      <c r="A210" s="147" t="s">
        <v>254</v>
      </c>
      <c r="B210" s="157" t="s">
        <v>47</v>
      </c>
      <c r="C210" s="158">
        <v>0</v>
      </c>
      <c r="D210" s="158">
        <v>0</v>
      </c>
      <c r="E210" s="158">
        <v>0</v>
      </c>
      <c r="F210" s="139">
        <f>SUM(C210:E210)</f>
        <v>0</v>
      </c>
    </row>
    <row r="211" spans="1:6" ht="31.5">
      <c r="A211" s="145" t="s">
        <v>255</v>
      </c>
      <c r="B211" s="140" t="s">
        <v>325</v>
      </c>
      <c r="C211" s="160">
        <f>SUM(C209:C210)</f>
        <v>0</v>
      </c>
      <c r="D211" s="160">
        <f>SUM(D209:D210)</f>
        <v>0</v>
      </c>
      <c r="E211" s="160">
        <f>SUM(E209:E210)</f>
        <v>0</v>
      </c>
      <c r="F211" s="160">
        <f>SUM(F209:F210)</f>
        <v>0</v>
      </c>
    </row>
    <row r="212" spans="1:6" ht="15.75">
      <c r="A212" s="147" t="s">
        <v>256</v>
      </c>
      <c r="B212" s="168" t="s">
        <v>59</v>
      </c>
      <c r="C212" s="158">
        <v>0</v>
      </c>
      <c r="D212" s="158">
        <v>0</v>
      </c>
      <c r="E212" s="158">
        <v>0</v>
      </c>
      <c r="F212" s="139">
        <f>SUM(C212:E212)</f>
        <v>0</v>
      </c>
    </row>
    <row r="213" spans="1:6" ht="15.75">
      <c r="A213" s="145" t="s">
        <v>257</v>
      </c>
      <c r="B213" s="169" t="s">
        <v>326</v>
      </c>
      <c r="C213" s="160">
        <f>SUM(C212)</f>
        <v>0</v>
      </c>
      <c r="D213" s="160">
        <f>SUM(D212)</f>
        <v>0</v>
      </c>
      <c r="E213" s="160">
        <f>SUM(E212)</f>
        <v>0</v>
      </c>
      <c r="F213" s="160">
        <f>SUM(C213:E213)</f>
        <v>0</v>
      </c>
    </row>
    <row r="214" spans="1:6" ht="15.75">
      <c r="A214" s="147" t="s">
        <v>258</v>
      </c>
      <c r="B214" s="164" t="s">
        <v>65</v>
      </c>
      <c r="C214" s="158">
        <v>0</v>
      </c>
      <c r="D214" s="158">
        <v>0</v>
      </c>
      <c r="E214" s="158">
        <v>0</v>
      </c>
      <c r="F214" s="139">
        <f>SUM(C214:E214)</f>
        <v>0</v>
      </c>
    </row>
    <row r="215" spans="1:6" ht="15.75">
      <c r="A215" s="145" t="s">
        <v>259</v>
      </c>
      <c r="B215" s="166" t="s">
        <v>327</v>
      </c>
      <c r="C215" s="160">
        <f>SUM(C212)</f>
        <v>0</v>
      </c>
      <c r="D215" s="160">
        <f>SUM(D212)</f>
        <v>0</v>
      </c>
      <c r="E215" s="160">
        <f>SUM(E212)</f>
        <v>0</v>
      </c>
      <c r="F215" s="160">
        <f>SUM(C215:E215)</f>
        <v>0</v>
      </c>
    </row>
    <row r="216" spans="1:6" ht="15.75">
      <c r="A216" s="145" t="s">
        <v>260</v>
      </c>
      <c r="B216" s="167" t="s">
        <v>328</v>
      </c>
      <c r="C216" s="160">
        <f>C211+C215+C213</f>
        <v>0</v>
      </c>
      <c r="D216" s="160">
        <f>D211+D215+D213</f>
        <v>0</v>
      </c>
      <c r="E216" s="160">
        <f>E211+E215+E213</f>
        <v>0</v>
      </c>
      <c r="F216" s="160">
        <f>SUM(C216:E216)</f>
        <v>0</v>
      </c>
    </row>
    <row r="217" spans="1:6" ht="15.75">
      <c r="A217" s="145" t="s">
        <v>261</v>
      </c>
      <c r="B217" s="167" t="s">
        <v>329</v>
      </c>
      <c r="C217" s="160">
        <f>C208+C216+C185</f>
        <v>93705915</v>
      </c>
      <c r="D217" s="160">
        <f>D208+D216+D185</f>
        <v>0</v>
      </c>
      <c r="E217" s="160">
        <f>E208+E216+E185</f>
        <v>0</v>
      </c>
      <c r="F217" s="160">
        <f>F208+F216+F185</f>
        <v>93705915</v>
      </c>
    </row>
    <row r="218" spans="1:6" ht="15.75">
      <c r="A218" s="127"/>
      <c r="B218" s="167"/>
      <c r="C218" s="160"/>
      <c r="D218" s="127"/>
      <c r="E218" s="127"/>
      <c r="F218" s="127"/>
    </row>
    <row r="219" spans="1:6" ht="15.75">
      <c r="A219" s="145" t="s">
        <v>335</v>
      </c>
      <c r="B219" s="167" t="s">
        <v>31</v>
      </c>
      <c r="C219" s="158"/>
      <c r="D219" s="127"/>
      <c r="E219" s="127"/>
      <c r="F219" s="127"/>
    </row>
    <row r="220" spans="1:6" ht="15.75">
      <c r="A220" s="145" t="s">
        <v>143</v>
      </c>
      <c r="B220" s="154" t="s">
        <v>25</v>
      </c>
      <c r="C220" s="155">
        <f>33641000+22564770</f>
        <v>56205770</v>
      </c>
      <c r="D220" s="130">
        <v>0</v>
      </c>
      <c r="E220" s="156">
        <v>0</v>
      </c>
      <c r="F220" s="156">
        <f>SUM(C220:E220)</f>
        <v>56205770</v>
      </c>
    </row>
    <row r="221" spans="1:6" ht="31.5">
      <c r="A221" s="147" t="s">
        <v>144</v>
      </c>
      <c r="B221" s="157" t="s">
        <v>69</v>
      </c>
      <c r="C221" s="158">
        <v>0</v>
      </c>
      <c r="D221" s="158">
        <v>0</v>
      </c>
      <c r="E221" s="158">
        <v>0</v>
      </c>
      <c r="F221" s="139">
        <f>SUM(C221:E221)</f>
        <v>0</v>
      </c>
    </row>
    <row r="222" spans="1:6" ht="31.5">
      <c r="A222" s="145" t="s">
        <v>145</v>
      </c>
      <c r="B222" s="159" t="s">
        <v>320</v>
      </c>
      <c r="C222" s="160">
        <f>SUM(C221)</f>
        <v>0</v>
      </c>
      <c r="D222" s="160">
        <f>SUM(D221)</f>
        <v>0</v>
      </c>
      <c r="E222" s="160">
        <f>SUM(E221)</f>
        <v>0</v>
      </c>
      <c r="F222" s="160">
        <f>SUM(F221)</f>
        <v>0</v>
      </c>
    </row>
    <row r="223" spans="1:6" ht="15.75">
      <c r="A223" s="147" t="s">
        <v>146</v>
      </c>
      <c r="B223" s="133" t="s">
        <v>84</v>
      </c>
      <c r="C223" s="158">
        <v>0</v>
      </c>
      <c r="D223" s="158">
        <v>0</v>
      </c>
      <c r="E223" s="158">
        <v>0</v>
      </c>
      <c r="F223" s="139">
        <f>SUM(C223:E223)</f>
        <v>0</v>
      </c>
    </row>
    <row r="224" spans="1:6" ht="15.75">
      <c r="A224" s="145" t="s">
        <v>147</v>
      </c>
      <c r="B224" s="161" t="s">
        <v>321</v>
      </c>
      <c r="C224" s="160">
        <f>SUM(C223)</f>
        <v>0</v>
      </c>
      <c r="D224" s="160">
        <f>SUM(D223)</f>
        <v>0</v>
      </c>
      <c r="E224" s="160">
        <f>SUM(E223)</f>
        <v>0</v>
      </c>
      <c r="F224" s="160">
        <f>SUM(F223)</f>
        <v>0</v>
      </c>
    </row>
    <row r="225" spans="1:6" ht="15.75">
      <c r="A225" s="147" t="s">
        <v>148</v>
      </c>
      <c r="B225" s="157" t="s">
        <v>193</v>
      </c>
      <c r="C225" s="158">
        <v>0</v>
      </c>
      <c r="D225" s="158">
        <v>0</v>
      </c>
      <c r="E225" s="158">
        <v>0</v>
      </c>
      <c r="F225" s="158">
        <f>SUM(C225:E225)</f>
        <v>0</v>
      </c>
    </row>
    <row r="226" spans="1:6" ht="15.75">
      <c r="A226" s="147" t="s">
        <v>150</v>
      </c>
      <c r="B226" s="157" t="s">
        <v>48</v>
      </c>
      <c r="C226" s="158">
        <v>1000000</v>
      </c>
      <c r="D226" s="158">
        <v>0</v>
      </c>
      <c r="E226" s="158">
        <v>0</v>
      </c>
      <c r="F226" s="158">
        <f aca="true" t="shared" si="7" ref="F226:F241">SUM(C226:E226)</f>
        <v>1000000</v>
      </c>
    </row>
    <row r="227" spans="1:6" ht="15.75">
      <c r="A227" s="147" t="s">
        <v>152</v>
      </c>
      <c r="B227" s="157" t="s">
        <v>194</v>
      </c>
      <c r="C227" s="158">
        <v>0</v>
      </c>
      <c r="D227" s="158">
        <v>0</v>
      </c>
      <c r="E227" s="158">
        <v>0</v>
      </c>
      <c r="F227" s="158">
        <f t="shared" si="7"/>
        <v>0</v>
      </c>
    </row>
    <row r="228" spans="1:6" ht="15.75">
      <c r="A228" s="147" t="s">
        <v>154</v>
      </c>
      <c r="B228" s="157" t="s">
        <v>49</v>
      </c>
      <c r="C228" s="158">
        <v>0</v>
      </c>
      <c r="D228" s="158">
        <v>0</v>
      </c>
      <c r="E228" s="158">
        <v>0</v>
      </c>
      <c r="F228" s="158">
        <f t="shared" si="7"/>
        <v>0</v>
      </c>
    </row>
    <row r="229" spans="1:6" ht="15.75">
      <c r="A229" s="147" t="s">
        <v>156</v>
      </c>
      <c r="B229" s="157" t="s">
        <v>50</v>
      </c>
      <c r="C229" s="158">
        <v>0</v>
      </c>
      <c r="D229" s="158">
        <v>0</v>
      </c>
      <c r="E229" s="158">
        <v>0</v>
      </c>
      <c r="F229" s="158">
        <f t="shared" si="7"/>
        <v>0</v>
      </c>
    </row>
    <row r="230" spans="1:6" ht="15.75">
      <c r="A230" s="147" t="s">
        <v>157</v>
      </c>
      <c r="B230" s="157" t="s">
        <v>51</v>
      </c>
      <c r="C230" s="158">
        <v>0</v>
      </c>
      <c r="D230" s="158">
        <v>0</v>
      </c>
      <c r="E230" s="158">
        <v>0</v>
      </c>
      <c r="F230" s="158">
        <f t="shared" si="7"/>
        <v>0</v>
      </c>
    </row>
    <row r="231" spans="1:6" ht="15.75">
      <c r="A231" s="147" t="s">
        <v>240</v>
      </c>
      <c r="B231" s="157" t="s">
        <v>52</v>
      </c>
      <c r="C231" s="158">
        <v>0</v>
      </c>
      <c r="D231" s="158">
        <v>0</v>
      </c>
      <c r="E231" s="158">
        <v>0</v>
      </c>
      <c r="F231" s="158">
        <f t="shared" si="7"/>
        <v>0</v>
      </c>
    </row>
    <row r="232" spans="1:6" ht="15.75">
      <c r="A232" s="147" t="s">
        <v>241</v>
      </c>
      <c r="B232" s="162" t="s">
        <v>195</v>
      </c>
      <c r="C232" s="163">
        <v>0</v>
      </c>
      <c r="D232" s="163">
        <v>0</v>
      </c>
      <c r="E232" s="163">
        <v>0</v>
      </c>
      <c r="F232" s="163">
        <f t="shared" si="7"/>
        <v>0</v>
      </c>
    </row>
    <row r="233" spans="1:6" ht="15.75">
      <c r="A233" s="147" t="s">
        <v>242</v>
      </c>
      <c r="B233" s="162" t="s">
        <v>196</v>
      </c>
      <c r="C233" s="163">
        <v>0</v>
      </c>
      <c r="D233" s="163">
        <v>0</v>
      </c>
      <c r="E233" s="163">
        <v>0</v>
      </c>
      <c r="F233" s="163">
        <f t="shared" si="7"/>
        <v>0</v>
      </c>
    </row>
    <row r="234" spans="1:6" ht="15.75">
      <c r="A234" s="147" t="s">
        <v>243</v>
      </c>
      <c r="B234" s="157" t="s">
        <v>338</v>
      </c>
      <c r="C234" s="158">
        <f>SUM(C232:C233)</f>
        <v>0</v>
      </c>
      <c r="D234" s="158">
        <f>SUM(D232:D233)</f>
        <v>0</v>
      </c>
      <c r="E234" s="158">
        <f>SUM(E232:E233)</f>
        <v>0</v>
      </c>
      <c r="F234" s="158">
        <f t="shared" si="7"/>
        <v>0</v>
      </c>
    </row>
    <row r="235" spans="1:6" ht="15.75">
      <c r="A235" s="147" t="s">
        <v>244</v>
      </c>
      <c r="B235" s="162" t="s">
        <v>198</v>
      </c>
      <c r="C235" s="163">
        <v>0</v>
      </c>
      <c r="D235" s="163">
        <v>0</v>
      </c>
      <c r="E235" s="163">
        <v>0</v>
      </c>
      <c r="F235" s="163">
        <f t="shared" si="7"/>
        <v>0</v>
      </c>
    </row>
    <row r="236" spans="1:6" ht="15.75">
      <c r="A236" s="147" t="s">
        <v>245</v>
      </c>
      <c r="B236" s="162" t="s">
        <v>199</v>
      </c>
      <c r="C236" s="163">
        <v>0</v>
      </c>
      <c r="D236" s="163">
        <v>0</v>
      </c>
      <c r="E236" s="163">
        <v>0</v>
      </c>
      <c r="F236" s="163">
        <f t="shared" si="7"/>
        <v>0</v>
      </c>
    </row>
    <row r="237" spans="1:6" ht="15.75">
      <c r="A237" s="147" t="s">
        <v>246</v>
      </c>
      <c r="B237" s="157" t="s">
        <v>339</v>
      </c>
      <c r="C237" s="158">
        <f>SUM(C235:C236)</f>
        <v>0</v>
      </c>
      <c r="D237" s="158">
        <f>SUM(D235:D236)</f>
        <v>0</v>
      </c>
      <c r="E237" s="158">
        <f>SUM(E235:E236)</f>
        <v>0</v>
      </c>
      <c r="F237" s="158">
        <f t="shared" si="7"/>
        <v>0</v>
      </c>
    </row>
    <row r="238" spans="1:6" ht="15.75">
      <c r="A238" s="147" t="s">
        <v>247</v>
      </c>
      <c r="B238" s="157" t="s">
        <v>201</v>
      </c>
      <c r="C238" s="158">
        <v>0</v>
      </c>
      <c r="D238" s="158">
        <v>0</v>
      </c>
      <c r="E238" s="158">
        <v>0</v>
      </c>
      <c r="F238" s="158">
        <f t="shared" si="7"/>
        <v>0</v>
      </c>
    </row>
    <row r="239" spans="1:6" ht="15.75">
      <c r="A239" s="147" t="s">
        <v>248</v>
      </c>
      <c r="B239" s="164" t="s">
        <v>53</v>
      </c>
      <c r="C239" s="158">
        <v>0</v>
      </c>
      <c r="D239" s="158">
        <v>0</v>
      </c>
      <c r="E239" s="158">
        <v>0</v>
      </c>
      <c r="F239" s="158">
        <f t="shared" si="7"/>
        <v>0</v>
      </c>
    </row>
    <row r="240" spans="1:6" ht="15.75">
      <c r="A240" s="145" t="s">
        <v>249</v>
      </c>
      <c r="B240" s="165" t="s">
        <v>322</v>
      </c>
      <c r="C240" s="160">
        <f>C225+C226+C227+C228+C229+C230+C231+C234+C237+C238+C239</f>
        <v>1000000</v>
      </c>
      <c r="D240" s="160">
        <f>D225+D226+D227+D228+D229+D230+D231+D234+D237+D238+D239</f>
        <v>0</v>
      </c>
      <c r="E240" s="160">
        <f>E225+E226+E227+E228+E229+E230+E231+E234+E237+E238+E239</f>
        <v>0</v>
      </c>
      <c r="F240" s="160">
        <f t="shared" si="7"/>
        <v>1000000</v>
      </c>
    </row>
    <row r="241" spans="1:6" ht="15.75">
      <c r="A241" s="147" t="s">
        <v>250</v>
      </c>
      <c r="B241" s="164" t="s">
        <v>62</v>
      </c>
      <c r="C241" s="158">
        <v>0</v>
      </c>
      <c r="D241" s="158">
        <v>0</v>
      </c>
      <c r="E241" s="158">
        <v>0</v>
      </c>
      <c r="F241" s="139">
        <f t="shared" si="7"/>
        <v>0</v>
      </c>
    </row>
    <row r="242" spans="1:6" ht="15.75">
      <c r="A242" s="145" t="s">
        <v>251</v>
      </c>
      <c r="B242" s="166" t="s">
        <v>323</v>
      </c>
      <c r="C242" s="160">
        <f>SUM(C241)</f>
        <v>0</v>
      </c>
      <c r="D242" s="160">
        <f>SUM(D241)</f>
        <v>0</v>
      </c>
      <c r="E242" s="160">
        <f>SUM(E241)</f>
        <v>0</v>
      </c>
      <c r="F242" s="160">
        <f>SUM(F241)</f>
        <v>0</v>
      </c>
    </row>
    <row r="243" spans="1:6" ht="15.75">
      <c r="A243" s="145" t="s">
        <v>252</v>
      </c>
      <c r="B243" s="167" t="s">
        <v>324</v>
      </c>
      <c r="C243" s="160">
        <f>C222+C240+C242+C224</f>
        <v>1000000</v>
      </c>
      <c r="D243" s="160">
        <f>D222+D240+D242+D224</f>
        <v>0</v>
      </c>
      <c r="E243" s="160">
        <f>E222+E240+E242+E224</f>
        <v>0</v>
      </c>
      <c r="F243" s="160">
        <f>F222+F240+F242+F224</f>
        <v>1000000</v>
      </c>
    </row>
    <row r="244" spans="1:6" ht="15.75">
      <c r="A244" s="147" t="s">
        <v>253</v>
      </c>
      <c r="B244" s="157" t="s">
        <v>46</v>
      </c>
      <c r="C244" s="158">
        <v>0</v>
      </c>
      <c r="D244" s="158">
        <v>0</v>
      </c>
      <c r="E244" s="158">
        <v>0</v>
      </c>
      <c r="F244" s="139">
        <f>SUM(C244:E244)</f>
        <v>0</v>
      </c>
    </row>
    <row r="245" spans="1:6" ht="31.5">
      <c r="A245" s="147" t="s">
        <v>254</v>
      </c>
      <c r="B245" s="157" t="s">
        <v>47</v>
      </c>
      <c r="C245" s="158">
        <v>0</v>
      </c>
      <c r="D245" s="158">
        <v>0</v>
      </c>
      <c r="E245" s="158">
        <v>0</v>
      </c>
      <c r="F245" s="139">
        <f>SUM(C245:E245)</f>
        <v>0</v>
      </c>
    </row>
    <row r="246" spans="1:6" ht="31.5">
      <c r="A246" s="145" t="s">
        <v>255</v>
      </c>
      <c r="B246" s="140" t="s">
        <v>325</v>
      </c>
      <c r="C246" s="160">
        <f>SUM(C244:C245)</f>
        <v>0</v>
      </c>
      <c r="D246" s="160">
        <f>SUM(D244:D245)</f>
        <v>0</v>
      </c>
      <c r="E246" s="160">
        <f>SUM(E244:E245)</f>
        <v>0</v>
      </c>
      <c r="F246" s="160">
        <f>SUM(F244:F245)</f>
        <v>0</v>
      </c>
    </row>
    <row r="247" spans="1:6" ht="15.75">
      <c r="A247" s="147" t="s">
        <v>256</v>
      </c>
      <c r="B247" s="168" t="s">
        <v>59</v>
      </c>
      <c r="C247" s="158">
        <v>0</v>
      </c>
      <c r="D247" s="158">
        <v>0</v>
      </c>
      <c r="E247" s="158">
        <v>0</v>
      </c>
      <c r="F247" s="139">
        <f>SUM(C247:E247)</f>
        <v>0</v>
      </c>
    </row>
    <row r="248" spans="1:6" ht="15.75">
      <c r="A248" s="145" t="s">
        <v>257</v>
      </c>
      <c r="B248" s="169" t="s">
        <v>326</v>
      </c>
      <c r="C248" s="160">
        <f>SUM(C247)</f>
        <v>0</v>
      </c>
      <c r="D248" s="160">
        <f>SUM(D247)</f>
        <v>0</v>
      </c>
      <c r="E248" s="160">
        <f>SUM(E247)</f>
        <v>0</v>
      </c>
      <c r="F248" s="160">
        <f>SUM(C248:E248)</f>
        <v>0</v>
      </c>
    </row>
    <row r="249" spans="1:6" ht="15.75">
      <c r="A249" s="147" t="s">
        <v>258</v>
      </c>
      <c r="B249" s="164" t="s">
        <v>65</v>
      </c>
      <c r="C249" s="158">
        <v>0</v>
      </c>
      <c r="D249" s="158">
        <v>0</v>
      </c>
      <c r="E249" s="158">
        <v>0</v>
      </c>
      <c r="F249" s="139">
        <f>SUM(C249:E249)</f>
        <v>0</v>
      </c>
    </row>
    <row r="250" spans="1:6" ht="15.75">
      <c r="A250" s="145" t="s">
        <v>259</v>
      </c>
      <c r="B250" s="166" t="s">
        <v>327</v>
      </c>
      <c r="C250" s="160">
        <f>SUM(C247)</f>
        <v>0</v>
      </c>
      <c r="D250" s="160">
        <f>SUM(D247)</f>
        <v>0</v>
      </c>
      <c r="E250" s="160">
        <f>SUM(E247)</f>
        <v>0</v>
      </c>
      <c r="F250" s="160">
        <f>SUM(C250:E250)</f>
        <v>0</v>
      </c>
    </row>
    <row r="251" spans="1:6" ht="15.75">
      <c r="A251" s="145" t="s">
        <v>260</v>
      </c>
      <c r="B251" s="167" t="s">
        <v>328</v>
      </c>
      <c r="C251" s="160">
        <f>C246+C250+C248</f>
        <v>0</v>
      </c>
      <c r="D251" s="160">
        <f>D246+D250+D248</f>
        <v>0</v>
      </c>
      <c r="E251" s="160">
        <f>E246+E250+E248</f>
        <v>0</v>
      </c>
      <c r="F251" s="160">
        <f>SUM(C251:E251)</f>
        <v>0</v>
      </c>
    </row>
    <row r="252" spans="1:6" ht="15.75">
      <c r="A252" s="145" t="s">
        <v>261</v>
      </c>
      <c r="B252" s="167" t="s">
        <v>329</v>
      </c>
      <c r="C252" s="160">
        <f>C243+C251+C220</f>
        <v>57205770</v>
      </c>
      <c r="D252" s="160">
        <f>D243+D251+D220</f>
        <v>0</v>
      </c>
      <c r="E252" s="160">
        <f>E243+E251+E220</f>
        <v>0</v>
      </c>
      <c r="F252" s="160">
        <f>F243+F251+F220</f>
        <v>57205770</v>
      </c>
    </row>
    <row r="253" spans="1:6" ht="15.75">
      <c r="A253" s="127"/>
      <c r="B253" s="167"/>
      <c r="C253" s="160"/>
      <c r="D253" s="127"/>
      <c r="E253" s="127"/>
      <c r="F253" s="127"/>
    </row>
    <row r="254" spans="1:6" ht="15.75">
      <c r="A254" s="145" t="s">
        <v>337</v>
      </c>
      <c r="B254" s="171" t="s">
        <v>6</v>
      </c>
      <c r="C254" s="160"/>
      <c r="D254" s="127"/>
      <c r="E254" s="127"/>
      <c r="F254" s="127"/>
    </row>
    <row r="255" spans="1:6" ht="15.75">
      <c r="A255" s="145" t="s">
        <v>143</v>
      </c>
      <c r="B255" s="154" t="s">
        <v>25</v>
      </c>
      <c r="C255" s="155">
        <f>C10+C45+C80+C115+C150+C185+C220</f>
        <v>2237860603</v>
      </c>
      <c r="D255" s="155">
        <f aca="true" t="shared" si="8" ref="D255:F256">D10+D45+D80+D115+D150+D185+D220</f>
        <v>0</v>
      </c>
      <c r="E255" s="155">
        <f t="shared" si="8"/>
        <v>0</v>
      </c>
      <c r="F255" s="155">
        <f t="shared" si="8"/>
        <v>2237860603</v>
      </c>
    </row>
    <row r="256" spans="1:6" ht="31.5">
      <c r="A256" s="147" t="s">
        <v>144</v>
      </c>
      <c r="B256" s="157" t="s">
        <v>69</v>
      </c>
      <c r="C256" s="158">
        <f>C11+C46+C81+C116+C151+C186+C221</f>
        <v>178773593</v>
      </c>
      <c r="D256" s="158">
        <f t="shared" si="8"/>
        <v>0</v>
      </c>
      <c r="E256" s="158">
        <f t="shared" si="8"/>
        <v>0</v>
      </c>
      <c r="F256" s="158">
        <f t="shared" si="8"/>
        <v>178773593</v>
      </c>
    </row>
    <row r="257" spans="1:6" ht="31.5">
      <c r="A257" s="145" t="s">
        <v>145</v>
      </c>
      <c r="B257" s="159" t="s">
        <v>320</v>
      </c>
      <c r="C257" s="160">
        <f>C256</f>
        <v>178773593</v>
      </c>
      <c r="D257" s="160">
        <f>D256</f>
        <v>0</v>
      </c>
      <c r="E257" s="160">
        <f>E256</f>
        <v>0</v>
      </c>
      <c r="F257" s="160">
        <f>SUM(C257:E257)</f>
        <v>178773593</v>
      </c>
    </row>
    <row r="258" spans="1:6" ht="15.75">
      <c r="A258" s="147" t="s">
        <v>146</v>
      </c>
      <c r="B258" s="133" t="s">
        <v>84</v>
      </c>
      <c r="C258" s="158">
        <f>C13+C48+C83+C118+C153+C188+C223</f>
        <v>0</v>
      </c>
      <c r="D258" s="158">
        <f>D13+D48+D83+D118+D153+D188+D223</f>
        <v>0</v>
      </c>
      <c r="E258" s="158">
        <f>E13+E48+E83+E118+E153+E188+E223</f>
        <v>0</v>
      </c>
      <c r="F258" s="158">
        <f>F13+F48+F83+F118+F153+F188+F223</f>
        <v>0</v>
      </c>
    </row>
    <row r="259" spans="1:6" ht="15.75">
      <c r="A259" s="145" t="s">
        <v>147</v>
      </c>
      <c r="B259" s="161" t="s">
        <v>321</v>
      </c>
      <c r="C259" s="160">
        <f>C258</f>
        <v>0</v>
      </c>
      <c r="D259" s="160">
        <f>D258</f>
        <v>0</v>
      </c>
      <c r="E259" s="160">
        <f>E258</f>
        <v>0</v>
      </c>
      <c r="F259" s="160">
        <f>SUM(C259:E259)</f>
        <v>0</v>
      </c>
    </row>
    <row r="260" spans="1:6" ht="15.75">
      <c r="A260" s="147" t="s">
        <v>148</v>
      </c>
      <c r="B260" s="157" t="s">
        <v>193</v>
      </c>
      <c r="C260" s="158">
        <f aca="true" t="shared" si="9" ref="C260:F268">C15+C50+C85+C120+C155+C190+C225</f>
        <v>0</v>
      </c>
      <c r="D260" s="158">
        <f t="shared" si="9"/>
        <v>0</v>
      </c>
      <c r="E260" s="158">
        <f t="shared" si="9"/>
        <v>0</v>
      </c>
      <c r="F260" s="158">
        <f t="shared" si="9"/>
        <v>0</v>
      </c>
    </row>
    <row r="261" spans="1:6" ht="15.75">
      <c r="A261" s="147" t="s">
        <v>150</v>
      </c>
      <c r="B261" s="157" t="s">
        <v>48</v>
      </c>
      <c r="C261" s="158">
        <f aca="true" t="shared" si="10" ref="C261:C266">C16+C51+C86+C121+C156+C191+C226</f>
        <v>8433000</v>
      </c>
      <c r="D261" s="158">
        <f t="shared" si="9"/>
        <v>0</v>
      </c>
      <c r="E261" s="158">
        <f t="shared" si="9"/>
        <v>0</v>
      </c>
      <c r="F261" s="158">
        <f t="shared" si="9"/>
        <v>8433000</v>
      </c>
    </row>
    <row r="262" spans="1:6" ht="15.75">
      <c r="A262" s="147" t="s">
        <v>152</v>
      </c>
      <c r="B262" s="157" t="s">
        <v>194</v>
      </c>
      <c r="C262" s="158">
        <f t="shared" si="10"/>
        <v>15550000</v>
      </c>
      <c r="D262" s="158">
        <f t="shared" si="9"/>
        <v>0</v>
      </c>
      <c r="E262" s="158">
        <f t="shared" si="9"/>
        <v>0</v>
      </c>
      <c r="F262" s="158">
        <f t="shared" si="9"/>
        <v>15550000</v>
      </c>
    </row>
    <row r="263" spans="1:6" ht="15.75">
      <c r="A263" s="147" t="s">
        <v>154</v>
      </c>
      <c r="B263" s="157" t="s">
        <v>49</v>
      </c>
      <c r="C263" s="158">
        <f t="shared" si="10"/>
        <v>100000</v>
      </c>
      <c r="D263" s="158">
        <f t="shared" si="9"/>
        <v>0</v>
      </c>
      <c r="E263" s="158">
        <f t="shared" si="9"/>
        <v>0</v>
      </c>
      <c r="F263" s="158">
        <f t="shared" si="9"/>
        <v>100000</v>
      </c>
    </row>
    <row r="264" spans="1:6" ht="15.75">
      <c r="A264" s="147" t="s">
        <v>156</v>
      </c>
      <c r="B264" s="157" t="s">
        <v>50</v>
      </c>
      <c r="C264" s="158">
        <f t="shared" si="10"/>
        <v>86748140</v>
      </c>
      <c r="D264" s="158">
        <f t="shared" si="9"/>
        <v>0</v>
      </c>
      <c r="E264" s="158">
        <f t="shared" si="9"/>
        <v>0</v>
      </c>
      <c r="F264" s="158">
        <f t="shared" si="9"/>
        <v>86748140</v>
      </c>
    </row>
    <row r="265" spans="1:6" ht="15.75">
      <c r="A265" s="147" t="s">
        <v>157</v>
      </c>
      <c r="B265" s="157" t="s">
        <v>51</v>
      </c>
      <c r="C265" s="158">
        <f t="shared" si="10"/>
        <v>29203908</v>
      </c>
      <c r="D265" s="158">
        <f t="shared" si="9"/>
        <v>0</v>
      </c>
      <c r="E265" s="158">
        <f t="shared" si="9"/>
        <v>0</v>
      </c>
      <c r="F265" s="158">
        <f t="shared" si="9"/>
        <v>29203908</v>
      </c>
    </row>
    <row r="266" spans="1:6" ht="15.75">
      <c r="A266" s="147" t="s">
        <v>240</v>
      </c>
      <c r="B266" s="157" t="s">
        <v>52</v>
      </c>
      <c r="C266" s="158">
        <f t="shared" si="10"/>
        <v>82708388</v>
      </c>
      <c r="D266" s="158">
        <f t="shared" si="9"/>
        <v>0</v>
      </c>
      <c r="E266" s="158">
        <f t="shared" si="9"/>
        <v>0</v>
      </c>
      <c r="F266" s="158">
        <f t="shared" si="9"/>
        <v>82708388</v>
      </c>
    </row>
    <row r="267" spans="1:6" ht="15.75">
      <c r="A267" s="147" t="s">
        <v>241</v>
      </c>
      <c r="B267" s="162" t="s">
        <v>195</v>
      </c>
      <c r="C267" s="163">
        <f t="shared" si="9"/>
        <v>0</v>
      </c>
      <c r="D267" s="163">
        <f t="shared" si="9"/>
        <v>0</v>
      </c>
      <c r="E267" s="163">
        <f t="shared" si="9"/>
        <v>0</v>
      </c>
      <c r="F267" s="163">
        <f t="shared" si="9"/>
        <v>0</v>
      </c>
    </row>
    <row r="268" spans="1:6" ht="15.75">
      <c r="A268" s="147" t="s">
        <v>242</v>
      </c>
      <c r="B268" s="162" t="s">
        <v>196</v>
      </c>
      <c r="C268" s="163">
        <f t="shared" si="9"/>
        <v>0</v>
      </c>
      <c r="D268" s="163">
        <f t="shared" si="9"/>
        <v>0</v>
      </c>
      <c r="E268" s="163">
        <f t="shared" si="9"/>
        <v>0</v>
      </c>
      <c r="F268" s="163">
        <f t="shared" si="9"/>
        <v>0</v>
      </c>
    </row>
    <row r="269" spans="1:6" ht="15.75">
      <c r="A269" s="147" t="s">
        <v>243</v>
      </c>
      <c r="B269" s="157" t="s">
        <v>338</v>
      </c>
      <c r="C269" s="158">
        <f>SUM(C267:C268)</f>
        <v>0</v>
      </c>
      <c r="D269" s="158">
        <f>SUM(D267:D268)</f>
        <v>0</v>
      </c>
      <c r="E269" s="158">
        <f>SUM(E267:E268)</f>
        <v>0</v>
      </c>
      <c r="F269" s="158">
        <f>SUM(F267:F268)</f>
        <v>0</v>
      </c>
    </row>
    <row r="270" spans="1:6" ht="15.75">
      <c r="A270" s="147" t="s">
        <v>244</v>
      </c>
      <c r="B270" s="162" t="s">
        <v>198</v>
      </c>
      <c r="C270" s="163">
        <f>C25+C60+C95+C130+C165+C200+C235</f>
        <v>0</v>
      </c>
      <c r="D270" s="163">
        <f aca="true" t="shared" si="11" ref="D270:F271">D25+D60+D95+D130+D165+D200+D235</f>
        <v>0</v>
      </c>
      <c r="E270" s="163">
        <f t="shared" si="11"/>
        <v>0</v>
      </c>
      <c r="F270" s="163">
        <f t="shared" si="11"/>
        <v>0</v>
      </c>
    </row>
    <row r="271" spans="1:6" ht="15.75">
      <c r="A271" s="147" t="s">
        <v>245</v>
      </c>
      <c r="B271" s="162" t="s">
        <v>199</v>
      </c>
      <c r="C271" s="163">
        <f>C26+C61+C96+C131+C166+C201+C236</f>
        <v>0</v>
      </c>
      <c r="D271" s="163">
        <f t="shared" si="11"/>
        <v>0</v>
      </c>
      <c r="E271" s="163">
        <f t="shared" si="11"/>
        <v>0</v>
      </c>
      <c r="F271" s="163">
        <f t="shared" si="11"/>
        <v>0</v>
      </c>
    </row>
    <row r="272" spans="1:6" ht="15.75">
      <c r="A272" s="147" t="s">
        <v>246</v>
      </c>
      <c r="B272" s="157" t="s">
        <v>339</v>
      </c>
      <c r="C272" s="158">
        <f>SUM(C270:C271)</f>
        <v>0</v>
      </c>
      <c r="D272" s="158">
        <f>SUM(D270:D271)</f>
        <v>0</v>
      </c>
      <c r="E272" s="158">
        <f>SUM(E270:E271)</f>
        <v>0</v>
      </c>
      <c r="F272" s="158">
        <f>SUM(C272:E272)</f>
        <v>0</v>
      </c>
    </row>
    <row r="273" spans="1:6" ht="15.75">
      <c r="A273" s="147" t="s">
        <v>247</v>
      </c>
      <c r="B273" s="157" t="s">
        <v>201</v>
      </c>
      <c r="C273" s="158">
        <f>C28+C63+C98+C133+C168+C203+C238</f>
        <v>0</v>
      </c>
      <c r="D273" s="158">
        <f aca="true" t="shared" si="12" ref="D273:F274">D28+D63+D98+D133+D168+D203+D238</f>
        <v>0</v>
      </c>
      <c r="E273" s="158">
        <f t="shared" si="12"/>
        <v>0</v>
      </c>
      <c r="F273" s="158">
        <f t="shared" si="12"/>
        <v>0</v>
      </c>
    </row>
    <row r="274" spans="1:6" ht="15.75">
      <c r="A274" s="147" t="s">
        <v>248</v>
      </c>
      <c r="B274" s="164" t="s">
        <v>53</v>
      </c>
      <c r="C274" s="158">
        <f>C29+C64+C99+C134+C169+C204+C239</f>
        <v>100000</v>
      </c>
      <c r="D274" s="158">
        <f t="shared" si="12"/>
        <v>0</v>
      </c>
      <c r="E274" s="158">
        <f t="shared" si="12"/>
        <v>0</v>
      </c>
      <c r="F274" s="158">
        <f t="shared" si="12"/>
        <v>100000</v>
      </c>
    </row>
    <row r="275" spans="1:6" ht="15.75">
      <c r="A275" s="145" t="s">
        <v>249</v>
      </c>
      <c r="B275" s="165" t="s">
        <v>322</v>
      </c>
      <c r="C275" s="160">
        <f>C260+C261+C262+C263+C264+C265+C266+C269+C272+C273+C274</f>
        <v>222843436</v>
      </c>
      <c r="D275" s="160">
        <f>D260+D261+D262+D263+D264+D265+D266+D269+D272+D273+D274</f>
        <v>0</v>
      </c>
      <c r="E275" s="160">
        <f>E260+E261+E262+E263+E264+E265+E266+E269+E272+E273+E274</f>
        <v>0</v>
      </c>
      <c r="F275" s="160">
        <f>SUM(C275:E275)</f>
        <v>222843436</v>
      </c>
    </row>
    <row r="276" spans="1:6" ht="15.75">
      <c r="A276" s="147" t="s">
        <v>250</v>
      </c>
      <c r="B276" s="164" t="s">
        <v>62</v>
      </c>
      <c r="C276" s="158">
        <f>C31+C66+C101+C136+C171+C206+C241</f>
        <v>0</v>
      </c>
      <c r="D276" s="158">
        <f>D31+D66+D101+D136+D171+D206+D241</f>
        <v>0</v>
      </c>
      <c r="E276" s="158">
        <f>E31+E66+E101+E136+E171+E206+E241</f>
        <v>0</v>
      </c>
      <c r="F276" s="158">
        <f>F31+F66+F101+F136+F171+F206+F241</f>
        <v>0</v>
      </c>
    </row>
    <row r="277" spans="1:6" ht="15.75">
      <c r="A277" s="145" t="s">
        <v>251</v>
      </c>
      <c r="B277" s="166" t="s">
        <v>323</v>
      </c>
      <c r="C277" s="160">
        <f>C276</f>
        <v>0</v>
      </c>
      <c r="D277" s="160">
        <f>D276</f>
        <v>0</v>
      </c>
      <c r="E277" s="160">
        <f>E276</f>
        <v>0</v>
      </c>
      <c r="F277" s="160">
        <f>SUM(C277:E277)</f>
        <v>0</v>
      </c>
    </row>
    <row r="278" spans="1:6" ht="15.75">
      <c r="A278" s="145" t="s">
        <v>252</v>
      </c>
      <c r="B278" s="167" t="s">
        <v>324</v>
      </c>
      <c r="C278" s="160">
        <f>C257+C259+C275+C277</f>
        <v>401617029</v>
      </c>
      <c r="D278" s="160">
        <f>D257+D259+D275+D277</f>
        <v>0</v>
      </c>
      <c r="E278" s="160">
        <f>E257+E259+E275+E277</f>
        <v>0</v>
      </c>
      <c r="F278" s="160">
        <f>SUM(C278:E278)</f>
        <v>401617029</v>
      </c>
    </row>
    <row r="279" spans="1:6" ht="15.75">
      <c r="A279" s="147" t="s">
        <v>253</v>
      </c>
      <c r="B279" s="157" t="s">
        <v>46</v>
      </c>
      <c r="C279" s="158">
        <f>C34+C69+C104+C139+C174+C209+C244</f>
        <v>0</v>
      </c>
      <c r="D279" s="158">
        <f aca="true" t="shared" si="13" ref="D279:F280">D34+D69+D104+D139+D174+D209+D244</f>
        <v>0</v>
      </c>
      <c r="E279" s="158">
        <f t="shared" si="13"/>
        <v>0</v>
      </c>
      <c r="F279" s="158">
        <f t="shared" si="13"/>
        <v>0</v>
      </c>
    </row>
    <row r="280" spans="1:6" ht="31.5">
      <c r="A280" s="147" t="s">
        <v>254</v>
      </c>
      <c r="B280" s="157" t="s">
        <v>47</v>
      </c>
      <c r="C280" s="158">
        <f>C35+C70+C105+C140+C175+C210+C245</f>
        <v>0</v>
      </c>
      <c r="D280" s="158">
        <f t="shared" si="13"/>
        <v>0</v>
      </c>
      <c r="E280" s="158">
        <f t="shared" si="13"/>
        <v>0</v>
      </c>
      <c r="F280" s="158">
        <f t="shared" si="13"/>
        <v>0</v>
      </c>
    </row>
    <row r="281" spans="1:6" ht="31.5">
      <c r="A281" s="145" t="s">
        <v>255</v>
      </c>
      <c r="B281" s="140" t="s">
        <v>325</v>
      </c>
      <c r="C281" s="160">
        <f>SUM(C279:C280)</f>
        <v>0</v>
      </c>
      <c r="D281" s="160">
        <f>SUM(D279:D280)</f>
        <v>0</v>
      </c>
      <c r="E281" s="160">
        <f>SUM(E279:E280)</f>
        <v>0</v>
      </c>
      <c r="F281" s="160">
        <f>SUM(C281:E281)</f>
        <v>0</v>
      </c>
    </row>
    <row r="282" spans="1:6" ht="15.75">
      <c r="A282" s="147" t="s">
        <v>256</v>
      </c>
      <c r="B282" s="168" t="s">
        <v>59</v>
      </c>
      <c r="C282" s="158">
        <f>C37+C72+C107+C142+C177+C212+C247</f>
        <v>0</v>
      </c>
      <c r="D282" s="158">
        <f>D37+D72+D107+D142+D177+D212+D247</f>
        <v>0</v>
      </c>
      <c r="E282" s="158">
        <f>E37+E72+E107+E142+E177+E212+E247</f>
        <v>0</v>
      </c>
      <c r="F282" s="158">
        <f>F37+F72+F107+F142+F177+F212+F247</f>
        <v>0</v>
      </c>
    </row>
    <row r="283" spans="1:6" ht="15.75">
      <c r="A283" s="145" t="s">
        <v>257</v>
      </c>
      <c r="B283" s="169" t="s">
        <v>326</v>
      </c>
      <c r="C283" s="160">
        <f>C282</f>
        <v>0</v>
      </c>
      <c r="D283" s="160">
        <f>D282</f>
        <v>0</v>
      </c>
      <c r="E283" s="160">
        <f>E282</f>
        <v>0</v>
      </c>
      <c r="F283" s="160">
        <f>SUM(C283:E283)</f>
        <v>0</v>
      </c>
    </row>
    <row r="284" spans="1:6" ht="15.75">
      <c r="A284" s="147" t="s">
        <v>258</v>
      </c>
      <c r="B284" s="164" t="s">
        <v>65</v>
      </c>
      <c r="C284" s="158">
        <f>C39+C74+C109+C144+C179+C214+C249</f>
        <v>1600032</v>
      </c>
      <c r="D284" s="158">
        <f>D39+D74+D109+D144+D179+D214+D249</f>
        <v>0</v>
      </c>
      <c r="E284" s="158">
        <f>E39+E74+E109+E144+E179+E214+E249</f>
        <v>0</v>
      </c>
      <c r="F284" s="158">
        <f>F39+F74+F109+F144+F179+F214+F249</f>
        <v>1600032</v>
      </c>
    </row>
    <row r="285" spans="1:6" ht="15.75">
      <c r="A285" s="145" t="s">
        <v>259</v>
      </c>
      <c r="B285" s="166" t="s">
        <v>327</v>
      </c>
      <c r="C285" s="160">
        <f>C284</f>
        <v>1600032</v>
      </c>
      <c r="D285" s="160">
        <f>D284</f>
        <v>0</v>
      </c>
      <c r="E285" s="160">
        <f>E284</f>
        <v>0</v>
      </c>
      <c r="F285" s="160">
        <f>SUM(C285:E285)</f>
        <v>1600032</v>
      </c>
    </row>
    <row r="286" spans="1:6" ht="15.75">
      <c r="A286" s="145" t="s">
        <v>260</v>
      </c>
      <c r="B286" s="167" t="s">
        <v>328</v>
      </c>
      <c r="C286" s="160">
        <f>C281+C283+C285</f>
        <v>1600032</v>
      </c>
      <c r="D286" s="160">
        <f>D281+D283+D285</f>
        <v>0</v>
      </c>
      <c r="E286" s="160">
        <f>E281+E283+E285</f>
        <v>0</v>
      </c>
      <c r="F286" s="160">
        <f>SUM(C286:E286)</f>
        <v>1600032</v>
      </c>
    </row>
    <row r="287" spans="1:6" ht="15.75">
      <c r="A287" s="145" t="s">
        <v>261</v>
      </c>
      <c r="B287" s="167" t="s">
        <v>329</v>
      </c>
      <c r="C287" s="160">
        <f>C255+C278+C286</f>
        <v>2641077664</v>
      </c>
      <c r="D287" s="160">
        <f>D255+D278+D286</f>
        <v>0</v>
      </c>
      <c r="E287" s="160">
        <f>E255+E278+E286</f>
        <v>0</v>
      </c>
      <c r="F287" s="160">
        <f>F255+F278+F286</f>
        <v>2641077664</v>
      </c>
    </row>
  </sheetData>
  <sheetProtection/>
  <mergeCells count="5">
    <mergeCell ref="A7:A8"/>
    <mergeCell ref="A1:F1"/>
    <mergeCell ref="A3:F3"/>
    <mergeCell ref="A4:F4"/>
    <mergeCell ref="C7:F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9.125" style="2" customWidth="1"/>
    <col min="2" max="2" width="44.25390625" style="2" customWidth="1"/>
    <col min="3" max="3" width="15.25390625" style="2" customWidth="1"/>
    <col min="4" max="4" width="11.25390625" style="2" bestFit="1" customWidth="1"/>
    <col min="5" max="5" width="11.125" style="2" customWidth="1"/>
    <col min="6" max="6" width="17.75390625" style="2" customWidth="1"/>
    <col min="7" max="7" width="14.25390625" style="2" bestFit="1" customWidth="1"/>
    <col min="8" max="8" width="10.125" style="2" bestFit="1" customWidth="1"/>
    <col min="9" max="9" width="9.125" style="2" customWidth="1"/>
    <col min="10" max="10" width="14.25390625" style="2" bestFit="1" customWidth="1"/>
    <col min="11" max="16384" width="9.125" style="2" customWidth="1"/>
  </cols>
  <sheetData>
    <row r="1" spans="1:6" ht="15.75">
      <c r="A1" s="330" t="s">
        <v>555</v>
      </c>
      <c r="B1" s="330"/>
      <c r="C1" s="330"/>
      <c r="D1" s="330"/>
      <c r="E1" s="330"/>
      <c r="F1" s="330"/>
    </row>
    <row r="2" spans="2:3" ht="15.75">
      <c r="B2" s="4"/>
      <c r="C2" s="4"/>
    </row>
    <row r="3" spans="1:6" ht="15.75">
      <c r="A3" s="331" t="s">
        <v>13</v>
      </c>
      <c r="B3" s="331"/>
      <c r="C3" s="331"/>
      <c r="D3" s="331"/>
      <c r="E3" s="331"/>
      <c r="F3" s="331"/>
    </row>
    <row r="4" spans="1:6" ht="15.75">
      <c r="A4" s="331" t="s">
        <v>5</v>
      </c>
      <c r="B4" s="331"/>
      <c r="C4" s="331"/>
      <c r="D4" s="331"/>
      <c r="E4" s="331"/>
      <c r="F4" s="331"/>
    </row>
    <row r="5" spans="1:6" ht="15.75">
      <c r="A5" s="331" t="s">
        <v>447</v>
      </c>
      <c r="B5" s="331"/>
      <c r="C5" s="331"/>
      <c r="D5" s="331"/>
      <c r="E5" s="331"/>
      <c r="F5" s="331"/>
    </row>
    <row r="6" spans="2:6" ht="15.75">
      <c r="B6" s="5"/>
      <c r="C6" s="5"/>
      <c r="D6" s="5"/>
      <c r="E6" s="5"/>
      <c r="F6" s="5"/>
    </row>
    <row r="7" spans="1:6" ht="15.75">
      <c r="A7" s="123"/>
      <c r="B7" s="9"/>
      <c r="C7" s="10"/>
      <c r="D7" s="9"/>
      <c r="E7" s="9"/>
      <c r="F7" s="10" t="s">
        <v>342</v>
      </c>
    </row>
    <row r="8" spans="1:6" ht="15.75" customHeight="1">
      <c r="A8" s="339" t="s">
        <v>239</v>
      </c>
      <c r="B8" s="144" t="s">
        <v>15</v>
      </c>
      <c r="C8" s="321" t="s">
        <v>33</v>
      </c>
      <c r="D8" s="321"/>
      <c r="E8" s="321"/>
      <c r="F8" s="334" t="s">
        <v>17</v>
      </c>
    </row>
    <row r="9" spans="1:6" ht="31.5">
      <c r="A9" s="339"/>
      <c r="B9" s="144" t="s">
        <v>36</v>
      </c>
      <c r="C9" s="26" t="s">
        <v>34</v>
      </c>
      <c r="D9" s="37" t="s">
        <v>35</v>
      </c>
      <c r="E9" s="37" t="s">
        <v>190</v>
      </c>
      <c r="F9" s="334"/>
    </row>
    <row r="10" spans="1:13" ht="15.75">
      <c r="A10" s="145" t="s">
        <v>319</v>
      </c>
      <c r="B10" s="146" t="s">
        <v>32</v>
      </c>
      <c r="C10" s="213"/>
      <c r="D10" s="213"/>
      <c r="E10" s="213"/>
      <c r="F10" s="213"/>
      <c r="G10" s="214"/>
      <c r="H10" s="214"/>
      <c r="I10" s="214"/>
      <c r="M10" s="2" t="s">
        <v>492</v>
      </c>
    </row>
    <row r="11" spans="1:9" ht="15.75">
      <c r="A11" s="147" t="s">
        <v>143</v>
      </c>
      <c r="B11" s="138" t="s">
        <v>122</v>
      </c>
      <c r="C11" s="213">
        <v>488601597</v>
      </c>
      <c r="D11" s="213">
        <v>0</v>
      </c>
      <c r="E11" s="213">
        <v>0</v>
      </c>
      <c r="F11" s="213">
        <v>488601597</v>
      </c>
      <c r="G11" s="214"/>
      <c r="H11" s="214"/>
      <c r="I11" s="214"/>
    </row>
    <row r="12" spans="1:9" ht="31.5">
      <c r="A12" s="147" t="s">
        <v>144</v>
      </c>
      <c r="B12" s="138" t="s">
        <v>37</v>
      </c>
      <c r="C12" s="213">
        <v>87847001</v>
      </c>
      <c r="D12" s="213">
        <v>0</v>
      </c>
      <c r="E12" s="213">
        <v>0</v>
      </c>
      <c r="F12" s="213">
        <v>87847001</v>
      </c>
      <c r="G12" s="214"/>
      <c r="H12" s="214"/>
      <c r="I12" s="214"/>
    </row>
    <row r="13" spans="1:9" ht="15.75">
      <c r="A13" s="147" t="s">
        <v>145</v>
      </c>
      <c r="B13" s="138" t="s">
        <v>18</v>
      </c>
      <c r="C13" s="213">
        <v>510386008</v>
      </c>
      <c r="D13" s="213">
        <v>0</v>
      </c>
      <c r="E13" s="213">
        <v>0</v>
      </c>
      <c r="F13" s="213">
        <v>510386008</v>
      </c>
      <c r="G13" s="214"/>
      <c r="H13" s="214"/>
      <c r="I13" s="214"/>
    </row>
    <row r="14" spans="1:9" ht="15.75">
      <c r="A14" s="147" t="s">
        <v>146</v>
      </c>
      <c r="B14" s="141" t="s">
        <v>340</v>
      </c>
      <c r="C14" s="213">
        <v>0</v>
      </c>
      <c r="D14" s="213">
        <v>0</v>
      </c>
      <c r="E14" s="213">
        <v>0</v>
      </c>
      <c r="F14" s="213">
        <f>SUM(C14:E14)</f>
        <v>0</v>
      </c>
      <c r="G14" s="214"/>
      <c r="H14" s="214"/>
      <c r="I14" s="214"/>
    </row>
    <row r="15" spans="1:9" ht="15.75">
      <c r="A15" s="147" t="s">
        <v>147</v>
      </c>
      <c r="B15" s="141" t="s">
        <v>341</v>
      </c>
      <c r="C15" s="213">
        <v>0</v>
      </c>
      <c r="D15" s="213">
        <v>0</v>
      </c>
      <c r="E15" s="213">
        <v>0</v>
      </c>
      <c r="F15" s="213">
        <f>SUM(C15:E15)</f>
        <v>0</v>
      </c>
      <c r="G15" s="214"/>
      <c r="H15" s="214"/>
      <c r="I15" s="214"/>
    </row>
    <row r="16" spans="1:9" ht="15.75">
      <c r="A16" s="147" t="s">
        <v>148</v>
      </c>
      <c r="B16" s="148" t="s">
        <v>38</v>
      </c>
      <c r="C16" s="213">
        <v>16409550</v>
      </c>
      <c r="D16" s="213">
        <v>0</v>
      </c>
      <c r="E16" s="213">
        <v>0</v>
      </c>
      <c r="F16" s="213">
        <v>16409550</v>
      </c>
      <c r="G16" s="214"/>
      <c r="H16" s="214"/>
      <c r="I16" s="214"/>
    </row>
    <row r="17" spans="1:9" ht="15.75">
      <c r="A17" s="147" t="s">
        <v>150</v>
      </c>
      <c r="B17" s="141" t="s">
        <v>39</v>
      </c>
      <c r="C17" s="213">
        <v>635000</v>
      </c>
      <c r="D17" s="213">
        <v>0</v>
      </c>
      <c r="E17" s="213">
        <v>0</v>
      </c>
      <c r="F17" s="213">
        <v>635000</v>
      </c>
      <c r="G17" s="214"/>
      <c r="H17" s="214"/>
      <c r="I17" s="214"/>
    </row>
    <row r="18" spans="1:9" ht="15.75">
      <c r="A18" s="147" t="s">
        <v>152</v>
      </c>
      <c r="B18" s="141" t="s">
        <v>19</v>
      </c>
      <c r="C18" s="213">
        <v>1000000</v>
      </c>
      <c r="D18" s="213">
        <v>0</v>
      </c>
      <c r="E18" s="213">
        <v>0</v>
      </c>
      <c r="F18" s="213">
        <v>1000000</v>
      </c>
      <c r="G18" s="214"/>
      <c r="H18" s="214"/>
      <c r="I18" s="214"/>
    </row>
    <row r="19" spans="1:9" ht="15.75">
      <c r="A19" s="145" t="s">
        <v>154</v>
      </c>
      <c r="B19" s="126" t="s">
        <v>318</v>
      </c>
      <c r="C19" s="215">
        <v>1104879156</v>
      </c>
      <c r="D19" s="215">
        <f>SUM(D11:D18)</f>
        <v>0</v>
      </c>
      <c r="E19" s="215">
        <f>SUM(E11:E18)</f>
        <v>0</v>
      </c>
      <c r="F19" s="215">
        <f>SUM(F11:F18)</f>
        <v>1104879156</v>
      </c>
      <c r="G19" s="214"/>
      <c r="H19" s="214"/>
      <c r="I19" s="214"/>
    </row>
    <row r="20" spans="1:9" ht="15.75">
      <c r="A20" s="127"/>
      <c r="B20" s="126"/>
      <c r="C20" s="215"/>
      <c r="D20" s="215"/>
      <c r="E20" s="215"/>
      <c r="F20" s="215"/>
      <c r="G20" s="214"/>
      <c r="H20" s="214"/>
      <c r="I20" s="214"/>
    </row>
    <row r="21" spans="1:9" ht="15.75">
      <c r="A21" s="145" t="s">
        <v>330</v>
      </c>
      <c r="B21" s="126" t="s">
        <v>20</v>
      </c>
      <c r="C21" s="215"/>
      <c r="D21" s="215"/>
      <c r="E21" s="215"/>
      <c r="F21" s="215"/>
      <c r="G21" s="214"/>
      <c r="H21" s="214"/>
      <c r="I21" s="214"/>
    </row>
    <row r="22" spans="1:9" ht="15.75">
      <c r="A22" s="147" t="s">
        <v>143</v>
      </c>
      <c r="B22" s="138" t="s">
        <v>122</v>
      </c>
      <c r="C22" s="213">
        <v>229694999</v>
      </c>
      <c r="D22" s="213">
        <v>0</v>
      </c>
      <c r="E22" s="213">
        <v>0</v>
      </c>
      <c r="F22" s="213">
        <v>229694999</v>
      </c>
      <c r="G22" s="214"/>
      <c r="H22" s="214"/>
      <c r="I22" s="214"/>
    </row>
    <row r="23" spans="1:9" ht="31.5">
      <c r="A23" s="147" t="s">
        <v>144</v>
      </c>
      <c r="B23" s="138" t="s">
        <v>37</v>
      </c>
      <c r="C23" s="213">
        <v>43390050</v>
      </c>
      <c r="D23" s="213">
        <v>0</v>
      </c>
      <c r="E23" s="213">
        <v>0</v>
      </c>
      <c r="F23" s="213">
        <v>43390050</v>
      </c>
      <c r="G23" s="214"/>
      <c r="H23" s="214"/>
      <c r="I23" s="214"/>
    </row>
    <row r="24" spans="1:9" ht="15.75">
      <c r="A24" s="147" t="s">
        <v>145</v>
      </c>
      <c r="B24" s="138" t="s">
        <v>18</v>
      </c>
      <c r="C24" s="213">
        <v>107571848</v>
      </c>
      <c r="D24" s="213">
        <v>0</v>
      </c>
      <c r="E24" s="213">
        <v>0</v>
      </c>
      <c r="F24" s="213">
        <v>107571848</v>
      </c>
      <c r="G24" s="214"/>
      <c r="H24" s="214"/>
      <c r="I24" s="214"/>
    </row>
    <row r="25" spans="1:9" ht="15.75">
      <c r="A25" s="147" t="s">
        <v>146</v>
      </c>
      <c r="B25" s="141" t="s">
        <v>340</v>
      </c>
      <c r="C25" s="213">
        <v>0</v>
      </c>
      <c r="D25" s="213">
        <v>0</v>
      </c>
      <c r="E25" s="213">
        <v>0</v>
      </c>
      <c r="F25" s="213">
        <f>SUM(C25:E25)</f>
        <v>0</v>
      </c>
      <c r="G25" s="214"/>
      <c r="H25" s="214"/>
      <c r="I25" s="214"/>
    </row>
    <row r="26" spans="1:9" ht="15.75">
      <c r="A26" s="147" t="s">
        <v>147</v>
      </c>
      <c r="B26" s="141" t="s">
        <v>341</v>
      </c>
      <c r="C26" s="213">
        <v>0</v>
      </c>
      <c r="D26" s="213">
        <v>0</v>
      </c>
      <c r="E26" s="213">
        <v>0</v>
      </c>
      <c r="F26" s="213">
        <f>SUM(C26:E26)</f>
        <v>0</v>
      </c>
      <c r="G26" s="214"/>
      <c r="H26" s="214"/>
      <c r="I26" s="214"/>
    </row>
    <row r="27" spans="1:9" ht="15.75">
      <c r="A27" s="147" t="s">
        <v>148</v>
      </c>
      <c r="B27" s="148" t="s">
        <v>38</v>
      </c>
      <c r="C27" s="213">
        <v>500000</v>
      </c>
      <c r="D27" s="213">
        <v>0</v>
      </c>
      <c r="E27" s="213">
        <v>0</v>
      </c>
      <c r="F27" s="213">
        <v>500000</v>
      </c>
      <c r="G27" s="214"/>
      <c r="H27" s="214"/>
      <c r="I27" s="214"/>
    </row>
    <row r="28" spans="1:9" ht="15.75">
      <c r="A28" s="147" t="s">
        <v>150</v>
      </c>
      <c r="B28" s="141" t="s">
        <v>39</v>
      </c>
      <c r="C28" s="213">
        <v>0</v>
      </c>
      <c r="D28" s="213">
        <v>0</v>
      </c>
      <c r="E28" s="213">
        <v>0</v>
      </c>
      <c r="F28" s="213">
        <f>SUM(C28:E28)</f>
        <v>0</v>
      </c>
      <c r="G28" s="214"/>
      <c r="H28" s="214"/>
      <c r="I28" s="214"/>
    </row>
    <row r="29" spans="1:9" ht="15.75">
      <c r="A29" s="147" t="s">
        <v>152</v>
      </c>
      <c r="B29" s="141" t="s">
        <v>19</v>
      </c>
      <c r="C29" s="213">
        <v>0</v>
      </c>
      <c r="D29" s="213">
        <v>0</v>
      </c>
      <c r="E29" s="213">
        <v>0</v>
      </c>
      <c r="F29" s="213">
        <f>SUM(C29:E29)</f>
        <v>0</v>
      </c>
      <c r="G29" s="214"/>
      <c r="H29" s="214"/>
      <c r="I29" s="214"/>
    </row>
    <row r="30" spans="1:9" ht="15.75">
      <c r="A30" s="145" t="s">
        <v>154</v>
      </c>
      <c r="B30" s="126" t="s">
        <v>318</v>
      </c>
      <c r="C30" s="215">
        <v>381156897</v>
      </c>
      <c r="D30" s="215">
        <f>SUM(D22:D29)</f>
        <v>0</v>
      </c>
      <c r="E30" s="215">
        <f>SUM(E22:E29)</f>
        <v>0</v>
      </c>
      <c r="F30" s="215">
        <f>SUM(F22:F29)</f>
        <v>381156897</v>
      </c>
      <c r="G30" s="214"/>
      <c r="H30" s="214"/>
      <c r="I30" s="214"/>
    </row>
    <row r="31" spans="1:9" ht="15.75">
      <c r="A31" s="127"/>
      <c r="B31" s="126"/>
      <c r="C31" s="215"/>
      <c r="D31" s="215"/>
      <c r="E31" s="215"/>
      <c r="F31" s="215"/>
      <c r="G31" s="214"/>
      <c r="H31" s="214"/>
      <c r="I31" s="214"/>
    </row>
    <row r="32" spans="1:9" ht="15.75">
      <c r="A32" s="145" t="s">
        <v>331</v>
      </c>
      <c r="B32" s="126" t="s">
        <v>21</v>
      </c>
      <c r="C32" s="215"/>
      <c r="D32" s="215"/>
      <c r="E32" s="215"/>
      <c r="F32" s="215"/>
      <c r="G32" s="214"/>
      <c r="H32" s="214"/>
      <c r="I32" s="214"/>
    </row>
    <row r="33" spans="1:6" ht="15.75">
      <c r="A33" s="147" t="s">
        <v>143</v>
      </c>
      <c r="B33" s="138" t="s">
        <v>122</v>
      </c>
      <c r="C33" s="139">
        <v>189768441</v>
      </c>
      <c r="D33" s="139">
        <v>0</v>
      </c>
      <c r="E33" s="139">
        <v>0</v>
      </c>
      <c r="F33" s="139">
        <v>189768441</v>
      </c>
    </row>
    <row r="34" spans="1:6" ht="31.5">
      <c r="A34" s="147" t="s">
        <v>144</v>
      </c>
      <c r="B34" s="138" t="s">
        <v>37</v>
      </c>
      <c r="C34" s="139">
        <v>33893574</v>
      </c>
      <c r="D34" s="139">
        <v>0</v>
      </c>
      <c r="E34" s="139">
        <v>0</v>
      </c>
      <c r="F34" s="139">
        <v>33893574</v>
      </c>
    </row>
    <row r="35" spans="1:6" ht="15.75">
      <c r="A35" s="147" t="s">
        <v>145</v>
      </c>
      <c r="B35" s="138" t="s">
        <v>18</v>
      </c>
      <c r="C35" s="139">
        <v>91106318</v>
      </c>
      <c r="D35" s="139">
        <v>0</v>
      </c>
      <c r="E35" s="139">
        <v>0</v>
      </c>
      <c r="F35" s="139">
        <v>91106318</v>
      </c>
    </row>
    <row r="36" spans="1:6" ht="15.75">
      <c r="A36" s="147" t="s">
        <v>146</v>
      </c>
      <c r="B36" s="141" t="s">
        <v>340</v>
      </c>
      <c r="C36" s="139">
        <v>0</v>
      </c>
      <c r="D36" s="139">
        <v>0</v>
      </c>
      <c r="E36" s="139">
        <v>0</v>
      </c>
      <c r="F36" s="139">
        <f>SUM(C36:E36)</f>
        <v>0</v>
      </c>
    </row>
    <row r="37" spans="1:6" ht="15.75">
      <c r="A37" s="147" t="s">
        <v>147</v>
      </c>
      <c r="B37" s="141" t="s">
        <v>341</v>
      </c>
      <c r="C37" s="139">
        <v>0</v>
      </c>
      <c r="D37" s="139">
        <v>0</v>
      </c>
      <c r="E37" s="139">
        <v>0</v>
      </c>
      <c r="F37" s="139">
        <f>SUM(C37:E37)</f>
        <v>0</v>
      </c>
    </row>
    <row r="38" spans="1:6" ht="15.75">
      <c r="A38" s="147" t="s">
        <v>148</v>
      </c>
      <c r="B38" s="148" t="s">
        <v>38</v>
      </c>
      <c r="C38" s="139">
        <v>500000</v>
      </c>
      <c r="D38" s="139">
        <v>0</v>
      </c>
      <c r="E38" s="139">
        <v>0</v>
      </c>
      <c r="F38" s="139">
        <v>500000</v>
      </c>
    </row>
    <row r="39" spans="1:6" ht="15.75">
      <c r="A39" s="147" t="s">
        <v>150</v>
      </c>
      <c r="B39" s="141" t="s">
        <v>39</v>
      </c>
      <c r="C39" s="139">
        <v>0</v>
      </c>
      <c r="D39" s="139">
        <v>0</v>
      </c>
      <c r="E39" s="139">
        <v>0</v>
      </c>
      <c r="F39" s="139">
        <f>SUM(C39:E39)</f>
        <v>0</v>
      </c>
    </row>
    <row r="40" spans="1:6" ht="15.75">
      <c r="A40" s="147" t="s">
        <v>152</v>
      </c>
      <c r="B40" s="141" t="s">
        <v>19</v>
      </c>
      <c r="C40" s="139">
        <v>0</v>
      </c>
      <c r="D40" s="139">
        <v>0</v>
      </c>
      <c r="E40" s="139">
        <v>0</v>
      </c>
      <c r="F40" s="139">
        <f>SUM(C40:E40)</f>
        <v>0</v>
      </c>
    </row>
    <row r="41" spans="1:6" ht="15.75">
      <c r="A41" s="145" t="s">
        <v>154</v>
      </c>
      <c r="B41" s="126" t="s">
        <v>318</v>
      </c>
      <c r="C41" s="142">
        <v>315268333</v>
      </c>
      <c r="D41" s="142">
        <f>SUM(D33:D40)</f>
        <v>0</v>
      </c>
      <c r="E41" s="142">
        <f>SUM(E33:E40)</f>
        <v>0</v>
      </c>
      <c r="F41" s="142">
        <f>SUM(F33:F40)</f>
        <v>315268333</v>
      </c>
    </row>
    <row r="42" spans="1:6" ht="15.75">
      <c r="A42" s="127"/>
      <c r="B42" s="126"/>
      <c r="C42" s="142"/>
      <c r="D42" s="142"/>
      <c r="E42" s="142"/>
      <c r="F42" s="142"/>
    </row>
    <row r="43" spans="1:6" ht="15.75">
      <c r="A43" s="145" t="s">
        <v>332</v>
      </c>
      <c r="B43" s="126" t="s">
        <v>22</v>
      </c>
      <c r="C43" s="142"/>
      <c r="D43" s="142"/>
      <c r="E43" s="142"/>
      <c r="F43" s="142"/>
    </row>
    <row r="44" spans="1:6" ht="15.75">
      <c r="A44" s="147" t="s">
        <v>143</v>
      </c>
      <c r="B44" s="138" t="s">
        <v>122</v>
      </c>
      <c r="C44" s="139">
        <v>225581243</v>
      </c>
      <c r="D44" s="139">
        <v>0</v>
      </c>
      <c r="E44" s="139">
        <v>0</v>
      </c>
      <c r="F44" s="139">
        <v>225581243</v>
      </c>
    </row>
    <row r="45" spans="1:6" ht="31.5">
      <c r="A45" s="147" t="s">
        <v>144</v>
      </c>
      <c r="B45" s="138" t="s">
        <v>37</v>
      </c>
      <c r="C45" s="139">
        <v>43434694</v>
      </c>
      <c r="D45" s="139">
        <v>0</v>
      </c>
      <c r="E45" s="139">
        <v>0</v>
      </c>
      <c r="F45" s="139">
        <v>43434694</v>
      </c>
    </row>
    <row r="46" spans="1:6" ht="15.75">
      <c r="A46" s="147" t="s">
        <v>145</v>
      </c>
      <c r="B46" s="138" t="s">
        <v>18</v>
      </c>
      <c r="C46" s="139">
        <v>92299982</v>
      </c>
      <c r="D46" s="139">
        <v>0</v>
      </c>
      <c r="E46" s="139">
        <v>0</v>
      </c>
      <c r="F46" s="139">
        <v>92299982</v>
      </c>
    </row>
    <row r="47" spans="1:6" ht="15.75">
      <c r="A47" s="147" t="s">
        <v>146</v>
      </c>
      <c r="B47" s="141" t="s">
        <v>340</v>
      </c>
      <c r="C47" s="139">
        <v>0</v>
      </c>
      <c r="D47" s="139">
        <v>0</v>
      </c>
      <c r="E47" s="139">
        <v>0</v>
      </c>
      <c r="F47" s="139">
        <f>SUM(C47:E47)</f>
        <v>0</v>
      </c>
    </row>
    <row r="48" spans="1:6" ht="15.75">
      <c r="A48" s="147" t="s">
        <v>147</v>
      </c>
      <c r="B48" s="141" t="s">
        <v>341</v>
      </c>
      <c r="C48" s="139">
        <v>0</v>
      </c>
      <c r="D48" s="139">
        <v>0</v>
      </c>
      <c r="E48" s="139">
        <v>0</v>
      </c>
      <c r="F48" s="139">
        <f>SUM(C48:E48)</f>
        <v>0</v>
      </c>
    </row>
    <row r="49" spans="1:6" ht="15.75">
      <c r="A49" s="147" t="s">
        <v>148</v>
      </c>
      <c r="B49" s="148" t="s">
        <v>38</v>
      </c>
      <c r="C49" s="139">
        <v>500000</v>
      </c>
      <c r="D49" s="139">
        <v>0</v>
      </c>
      <c r="E49" s="139">
        <v>0</v>
      </c>
      <c r="F49" s="139">
        <v>500000</v>
      </c>
    </row>
    <row r="50" spans="1:6" ht="15.75">
      <c r="A50" s="147" t="s">
        <v>150</v>
      </c>
      <c r="B50" s="141" t="s">
        <v>39</v>
      </c>
      <c r="C50" s="139">
        <v>0</v>
      </c>
      <c r="D50" s="139">
        <v>0</v>
      </c>
      <c r="E50" s="139">
        <v>0</v>
      </c>
      <c r="F50" s="139">
        <f>SUM(C50:E50)</f>
        <v>0</v>
      </c>
    </row>
    <row r="51" spans="1:6" ht="15.75">
      <c r="A51" s="147" t="s">
        <v>152</v>
      </c>
      <c r="B51" s="141" t="s">
        <v>19</v>
      </c>
      <c r="C51" s="139">
        <v>0</v>
      </c>
      <c r="D51" s="139">
        <v>0</v>
      </c>
      <c r="E51" s="139">
        <v>0</v>
      </c>
      <c r="F51" s="139">
        <f>SUM(C51:E51)</f>
        <v>0</v>
      </c>
    </row>
    <row r="52" spans="1:6" ht="15.75">
      <c r="A52" s="145" t="s">
        <v>154</v>
      </c>
      <c r="B52" s="126" t="s">
        <v>318</v>
      </c>
      <c r="C52" s="142">
        <v>361815919</v>
      </c>
      <c r="D52" s="142">
        <f>SUM(D44:D51)</f>
        <v>0</v>
      </c>
      <c r="E52" s="142">
        <f>SUM(E44:E51)</f>
        <v>0</v>
      </c>
      <c r="F52" s="142">
        <f>SUM(F44:F51)</f>
        <v>361815919</v>
      </c>
    </row>
    <row r="53" spans="1:6" ht="15.75">
      <c r="A53" s="127"/>
      <c r="B53" s="126"/>
      <c r="C53" s="142"/>
      <c r="D53" s="142"/>
      <c r="E53" s="142"/>
      <c r="F53" s="142"/>
    </row>
    <row r="54" spans="1:6" ht="15.75">
      <c r="A54" s="145" t="s">
        <v>333</v>
      </c>
      <c r="B54" s="126" t="s">
        <v>352</v>
      </c>
      <c r="C54" s="139"/>
      <c r="D54" s="139"/>
      <c r="E54" s="139"/>
      <c r="F54" s="139"/>
    </row>
    <row r="55" spans="1:6" ht="15.75">
      <c r="A55" s="147" t="s">
        <v>143</v>
      </c>
      <c r="B55" s="138" t="s">
        <v>122</v>
      </c>
      <c r="C55" s="139">
        <v>218440464</v>
      </c>
      <c r="D55" s="139">
        <v>0</v>
      </c>
      <c r="E55" s="139">
        <v>0</v>
      </c>
      <c r="F55" s="139">
        <v>218440464</v>
      </c>
    </row>
    <row r="56" spans="1:6" ht="31.5">
      <c r="A56" s="147" t="s">
        <v>144</v>
      </c>
      <c r="B56" s="138" t="s">
        <v>37</v>
      </c>
      <c r="C56" s="139">
        <v>43228819</v>
      </c>
      <c r="D56" s="139">
        <v>0</v>
      </c>
      <c r="E56" s="139">
        <v>0</v>
      </c>
      <c r="F56" s="139">
        <v>43228819</v>
      </c>
    </row>
    <row r="57" spans="1:6" ht="15.75">
      <c r="A57" s="147" t="s">
        <v>145</v>
      </c>
      <c r="B57" s="138" t="s">
        <v>18</v>
      </c>
      <c r="C57" s="139">
        <v>64876391</v>
      </c>
      <c r="D57" s="139">
        <v>0</v>
      </c>
      <c r="E57" s="139">
        <v>0</v>
      </c>
      <c r="F57" s="139">
        <v>64876391</v>
      </c>
    </row>
    <row r="58" spans="1:6" ht="15.75">
      <c r="A58" s="147" t="s">
        <v>146</v>
      </c>
      <c r="B58" s="141" t="s">
        <v>340</v>
      </c>
      <c r="C58" s="139"/>
      <c r="D58" s="139">
        <v>0</v>
      </c>
      <c r="E58" s="139">
        <v>0</v>
      </c>
      <c r="F58" s="139">
        <f>SUM(C58:E58)</f>
        <v>0</v>
      </c>
    </row>
    <row r="59" spans="1:6" ht="15.75">
      <c r="A59" s="147" t="s">
        <v>147</v>
      </c>
      <c r="B59" s="141" t="s">
        <v>341</v>
      </c>
      <c r="C59" s="139"/>
      <c r="D59" s="139">
        <v>0</v>
      </c>
      <c r="E59" s="139">
        <v>0</v>
      </c>
      <c r="F59" s="139">
        <f>SUM(C59:E59)</f>
        <v>0</v>
      </c>
    </row>
    <row r="60" spans="1:6" ht="15.75">
      <c r="A60" s="147" t="s">
        <v>148</v>
      </c>
      <c r="B60" s="148" t="s">
        <v>38</v>
      </c>
      <c r="C60" s="139">
        <v>500000</v>
      </c>
      <c r="D60" s="139">
        <v>0</v>
      </c>
      <c r="E60" s="139">
        <v>0</v>
      </c>
      <c r="F60" s="139">
        <v>500000</v>
      </c>
    </row>
    <row r="61" spans="1:6" ht="15.75">
      <c r="A61" s="147" t="s">
        <v>150</v>
      </c>
      <c r="B61" s="141" t="s">
        <v>39</v>
      </c>
      <c r="C61" s="139"/>
      <c r="D61" s="139">
        <v>0</v>
      </c>
      <c r="E61" s="139">
        <v>0</v>
      </c>
      <c r="F61" s="139">
        <f>SUM(C61:E61)</f>
        <v>0</v>
      </c>
    </row>
    <row r="62" spans="1:6" ht="15.75">
      <c r="A62" s="147" t="s">
        <v>152</v>
      </c>
      <c r="B62" s="141" t="s">
        <v>19</v>
      </c>
      <c r="C62" s="139"/>
      <c r="D62" s="139">
        <v>0</v>
      </c>
      <c r="E62" s="139">
        <v>0</v>
      </c>
      <c r="F62" s="139">
        <f>SUM(C62:E62)</f>
        <v>0</v>
      </c>
    </row>
    <row r="63" spans="1:6" ht="15.75">
      <c r="A63" s="145" t="s">
        <v>154</v>
      </c>
      <c r="B63" s="126" t="s">
        <v>318</v>
      </c>
      <c r="C63" s="142">
        <f>SUM(C55:C62)</f>
        <v>327045674</v>
      </c>
      <c r="D63" s="142">
        <f>SUM(D55:D62)</f>
        <v>0</v>
      </c>
      <c r="E63" s="142">
        <f>SUM(E55:E62)</f>
        <v>0</v>
      </c>
      <c r="F63" s="142">
        <f>SUM(F55:F62)</f>
        <v>327045674</v>
      </c>
    </row>
    <row r="64" spans="1:6" ht="15.75">
      <c r="A64" s="127"/>
      <c r="B64" s="126"/>
      <c r="C64" s="142"/>
      <c r="D64" s="142"/>
      <c r="E64" s="142"/>
      <c r="F64" s="142"/>
    </row>
    <row r="65" spans="1:6" ht="15.75">
      <c r="A65" s="145" t="s">
        <v>334</v>
      </c>
      <c r="B65" s="149" t="s">
        <v>349</v>
      </c>
      <c r="C65" s="139"/>
      <c r="D65" s="139"/>
      <c r="E65" s="139"/>
      <c r="F65" s="139"/>
    </row>
    <row r="66" spans="1:6" ht="15.75">
      <c r="A66" s="147" t="s">
        <v>143</v>
      </c>
      <c r="B66" s="138" t="s">
        <v>122</v>
      </c>
      <c r="C66" s="139">
        <v>59069655</v>
      </c>
      <c r="D66" s="139">
        <v>0</v>
      </c>
      <c r="E66" s="139">
        <v>0</v>
      </c>
      <c r="F66" s="139">
        <v>59069655</v>
      </c>
    </row>
    <row r="67" spans="1:6" ht="31.5">
      <c r="A67" s="147" t="s">
        <v>144</v>
      </c>
      <c r="B67" s="138" t="s">
        <v>37</v>
      </c>
      <c r="C67" s="139">
        <v>10538190</v>
      </c>
      <c r="D67" s="139">
        <v>0</v>
      </c>
      <c r="E67" s="139">
        <v>0</v>
      </c>
      <c r="F67" s="139">
        <v>10538190</v>
      </c>
    </row>
    <row r="68" spans="1:6" ht="15.75">
      <c r="A68" s="147" t="s">
        <v>145</v>
      </c>
      <c r="B68" s="138" t="s">
        <v>18</v>
      </c>
      <c r="C68" s="139">
        <v>17008070</v>
      </c>
      <c r="D68" s="139">
        <v>0</v>
      </c>
      <c r="E68" s="139">
        <v>0</v>
      </c>
      <c r="F68" s="139">
        <v>17008070</v>
      </c>
    </row>
    <row r="69" spans="1:6" ht="15.75">
      <c r="A69" s="147" t="s">
        <v>146</v>
      </c>
      <c r="B69" s="141" t="s">
        <v>340</v>
      </c>
      <c r="C69" s="139"/>
      <c r="D69" s="139">
        <v>0</v>
      </c>
      <c r="E69" s="139">
        <v>0</v>
      </c>
      <c r="F69" s="139">
        <f>SUM(C69:E69)</f>
        <v>0</v>
      </c>
    </row>
    <row r="70" spans="1:6" ht="15.75">
      <c r="A70" s="147" t="s">
        <v>147</v>
      </c>
      <c r="B70" s="141" t="s">
        <v>341</v>
      </c>
      <c r="C70" s="139"/>
      <c r="D70" s="139">
        <v>0</v>
      </c>
      <c r="E70" s="139">
        <v>0</v>
      </c>
      <c r="F70" s="139">
        <f>SUM(C70:E70)</f>
        <v>0</v>
      </c>
    </row>
    <row r="71" spans="1:6" ht="15.75">
      <c r="A71" s="147" t="s">
        <v>148</v>
      </c>
      <c r="B71" s="148" t="s">
        <v>38</v>
      </c>
      <c r="C71" s="139">
        <f>4090000+3000000</f>
        <v>7090000</v>
      </c>
      <c r="D71" s="139">
        <v>0</v>
      </c>
      <c r="E71" s="139">
        <v>0</v>
      </c>
      <c r="F71" s="139">
        <f>C71+D71+E71</f>
        <v>7090000</v>
      </c>
    </row>
    <row r="72" spans="1:6" ht="15.75">
      <c r="A72" s="147" t="s">
        <v>150</v>
      </c>
      <c r="B72" s="141" t="s">
        <v>39</v>
      </c>
      <c r="C72" s="139"/>
      <c r="D72" s="139">
        <v>0</v>
      </c>
      <c r="E72" s="139">
        <v>0</v>
      </c>
      <c r="F72" s="139">
        <f>SUM(C72:E72)</f>
        <v>0</v>
      </c>
    </row>
    <row r="73" spans="1:6" ht="15.75">
      <c r="A73" s="147" t="s">
        <v>152</v>
      </c>
      <c r="B73" s="141" t="s">
        <v>19</v>
      </c>
      <c r="C73" s="139"/>
      <c r="D73" s="139">
        <v>0</v>
      </c>
      <c r="E73" s="139">
        <v>0</v>
      </c>
      <c r="F73" s="139">
        <f>SUM(C73:E73)</f>
        <v>0</v>
      </c>
    </row>
    <row r="74" spans="1:6" ht="15.75">
      <c r="A74" s="145" t="s">
        <v>154</v>
      </c>
      <c r="B74" s="126" t="s">
        <v>318</v>
      </c>
      <c r="C74" s="142">
        <f>SUM(C66:C73)</f>
        <v>93705915</v>
      </c>
      <c r="D74" s="142">
        <f>SUM(D66:D73)</f>
        <v>0</v>
      </c>
      <c r="E74" s="142">
        <f>SUM(E66:E73)</f>
        <v>0</v>
      </c>
      <c r="F74" s="142">
        <f>SUM(F66:F73)</f>
        <v>93705915</v>
      </c>
    </row>
    <row r="75" spans="1:6" ht="15.75">
      <c r="A75" s="127"/>
      <c r="B75" s="126"/>
      <c r="C75" s="139"/>
      <c r="D75" s="139"/>
      <c r="E75" s="139"/>
      <c r="F75" s="139"/>
    </row>
    <row r="76" spans="1:6" ht="15.75">
      <c r="A76" s="145" t="s">
        <v>335</v>
      </c>
      <c r="B76" s="126" t="s">
        <v>31</v>
      </c>
      <c r="C76" s="139"/>
      <c r="D76" s="139"/>
      <c r="E76" s="139"/>
      <c r="F76" s="139"/>
    </row>
    <row r="77" spans="1:6" ht="15.75">
      <c r="A77" s="147" t="s">
        <v>143</v>
      </c>
      <c r="B77" s="138" t="s">
        <v>122</v>
      </c>
      <c r="C77" s="139">
        <v>33263800</v>
      </c>
      <c r="D77" s="139">
        <v>0</v>
      </c>
      <c r="E77" s="139">
        <v>0</v>
      </c>
      <c r="F77" s="139">
        <v>33263800</v>
      </c>
    </row>
    <row r="78" spans="1:6" ht="31.5">
      <c r="A78" s="147" t="s">
        <v>144</v>
      </c>
      <c r="B78" s="138" t="s">
        <v>37</v>
      </c>
      <c r="C78" s="139">
        <v>5971165</v>
      </c>
      <c r="D78" s="139">
        <v>0</v>
      </c>
      <c r="E78" s="139">
        <v>0</v>
      </c>
      <c r="F78" s="139">
        <v>5971165</v>
      </c>
    </row>
    <row r="79" spans="1:6" ht="15.75">
      <c r="A79" s="147" t="s">
        <v>145</v>
      </c>
      <c r="B79" s="138" t="s">
        <v>18</v>
      </c>
      <c r="C79" s="139">
        <v>17470806</v>
      </c>
      <c r="D79" s="139">
        <v>0</v>
      </c>
      <c r="E79" s="139">
        <v>0</v>
      </c>
      <c r="F79" s="139">
        <f aca="true" t="shared" si="0" ref="F79:F84">SUM(C79:E79)</f>
        <v>17470806</v>
      </c>
    </row>
    <row r="80" spans="1:6" ht="15.75">
      <c r="A80" s="147" t="s">
        <v>146</v>
      </c>
      <c r="B80" s="141" t="s">
        <v>340</v>
      </c>
      <c r="C80" s="139"/>
      <c r="D80" s="139">
        <v>0</v>
      </c>
      <c r="E80" s="139">
        <v>0</v>
      </c>
      <c r="F80" s="139">
        <f t="shared" si="0"/>
        <v>0</v>
      </c>
    </row>
    <row r="81" spans="1:6" ht="15.75">
      <c r="A81" s="147" t="s">
        <v>147</v>
      </c>
      <c r="B81" s="141" t="s">
        <v>341</v>
      </c>
      <c r="C81" s="139"/>
      <c r="D81" s="139">
        <v>0</v>
      </c>
      <c r="E81" s="139">
        <v>0</v>
      </c>
      <c r="F81" s="139">
        <f t="shared" si="0"/>
        <v>0</v>
      </c>
    </row>
    <row r="82" spans="1:6" ht="15.75">
      <c r="A82" s="147" t="s">
        <v>148</v>
      </c>
      <c r="B82" s="148" t="s">
        <v>38</v>
      </c>
      <c r="C82" s="139">
        <v>500000</v>
      </c>
      <c r="D82" s="139">
        <v>0</v>
      </c>
      <c r="E82" s="139">
        <v>0</v>
      </c>
      <c r="F82" s="139">
        <v>500000</v>
      </c>
    </row>
    <row r="83" spans="1:6" ht="15.75">
      <c r="A83" s="147" t="s">
        <v>150</v>
      </c>
      <c r="B83" s="141" t="s">
        <v>39</v>
      </c>
      <c r="C83" s="139"/>
      <c r="D83" s="139">
        <v>0</v>
      </c>
      <c r="E83" s="139">
        <v>0</v>
      </c>
      <c r="F83" s="139">
        <f t="shared" si="0"/>
        <v>0</v>
      </c>
    </row>
    <row r="84" spans="1:6" ht="15.75">
      <c r="A84" s="147" t="s">
        <v>152</v>
      </c>
      <c r="B84" s="141" t="s">
        <v>19</v>
      </c>
      <c r="C84" s="139"/>
      <c r="D84" s="139">
        <v>0</v>
      </c>
      <c r="E84" s="139">
        <v>0</v>
      </c>
      <c r="F84" s="139">
        <f t="shared" si="0"/>
        <v>0</v>
      </c>
    </row>
    <row r="85" spans="1:6" ht="15.75">
      <c r="A85" s="145" t="s">
        <v>154</v>
      </c>
      <c r="B85" s="126" t="s">
        <v>318</v>
      </c>
      <c r="C85" s="142">
        <f>SUM(C77:C84)</f>
        <v>57205771</v>
      </c>
      <c r="D85" s="142">
        <f>SUM(D77:D84)</f>
        <v>0</v>
      </c>
      <c r="E85" s="142">
        <f>SUM(E77:E84)</f>
        <v>0</v>
      </c>
      <c r="F85" s="142">
        <f>SUM(F77:F84)</f>
        <v>57205771</v>
      </c>
    </row>
    <row r="86" spans="1:6" ht="15.75">
      <c r="A86" s="127"/>
      <c r="B86" s="126"/>
      <c r="C86" s="142"/>
      <c r="D86" s="142"/>
      <c r="E86" s="142"/>
      <c r="F86" s="142"/>
    </row>
    <row r="87" spans="1:6" ht="15.75">
      <c r="A87" s="127"/>
      <c r="B87" s="126"/>
      <c r="C87" s="142"/>
      <c r="D87" s="142"/>
      <c r="E87" s="142"/>
      <c r="F87" s="142"/>
    </row>
    <row r="88" spans="1:6" ht="15.75">
      <c r="A88" s="145" t="s">
        <v>336</v>
      </c>
      <c r="B88" s="146" t="s">
        <v>6</v>
      </c>
      <c r="C88" s="131"/>
      <c r="D88" s="131"/>
      <c r="E88" s="131"/>
      <c r="F88" s="131"/>
    </row>
    <row r="89" spans="1:7" ht="15.75">
      <c r="A89" s="145" t="s">
        <v>143</v>
      </c>
      <c r="B89" s="150" t="s">
        <v>122</v>
      </c>
      <c r="C89" s="142">
        <f>C11+C22+C33+C44+C55+C66+C77</f>
        <v>1444420199</v>
      </c>
      <c r="D89" s="142">
        <f>D11+D22+D33+D44+D55+D66+D77</f>
        <v>0</v>
      </c>
      <c r="E89" s="142">
        <f>E11+E22+E33+E44+E55+E66+E77</f>
        <v>0</v>
      </c>
      <c r="F89" s="142">
        <f>F11+F22+F33+F44+F55+F66+F77</f>
        <v>1444420199</v>
      </c>
      <c r="G89" s="8"/>
    </row>
    <row r="90" spans="1:6" ht="31.5">
      <c r="A90" s="145" t="s">
        <v>144</v>
      </c>
      <c r="B90" s="150" t="s">
        <v>37</v>
      </c>
      <c r="C90" s="142">
        <f aca="true" t="shared" si="1" ref="C90:F97">C12+C23+C34+C45+C56+C67+C78</f>
        <v>268303493</v>
      </c>
      <c r="D90" s="142">
        <f t="shared" si="1"/>
        <v>0</v>
      </c>
      <c r="E90" s="142">
        <f t="shared" si="1"/>
        <v>0</v>
      </c>
      <c r="F90" s="142">
        <f t="shared" si="1"/>
        <v>268303493</v>
      </c>
    </row>
    <row r="91" spans="1:6" ht="15.75">
      <c r="A91" s="145" t="s">
        <v>145</v>
      </c>
      <c r="B91" s="150" t="s">
        <v>18</v>
      </c>
      <c r="C91" s="142">
        <f t="shared" si="1"/>
        <v>900719423</v>
      </c>
      <c r="D91" s="142">
        <f t="shared" si="1"/>
        <v>0</v>
      </c>
      <c r="E91" s="142">
        <f t="shared" si="1"/>
        <v>0</v>
      </c>
      <c r="F91" s="142">
        <f t="shared" si="1"/>
        <v>900719423</v>
      </c>
    </row>
    <row r="92" spans="1:6" ht="15.75">
      <c r="A92" s="145" t="s">
        <v>146</v>
      </c>
      <c r="B92" s="143" t="s">
        <v>340</v>
      </c>
      <c r="C92" s="142">
        <f t="shared" si="1"/>
        <v>0</v>
      </c>
      <c r="D92" s="142">
        <f t="shared" si="1"/>
        <v>0</v>
      </c>
      <c r="E92" s="142">
        <f t="shared" si="1"/>
        <v>0</v>
      </c>
      <c r="F92" s="142">
        <f t="shared" si="1"/>
        <v>0</v>
      </c>
    </row>
    <row r="93" spans="1:6" ht="15.75">
      <c r="A93" s="145" t="s">
        <v>147</v>
      </c>
      <c r="B93" s="143" t="s">
        <v>341</v>
      </c>
      <c r="C93" s="142">
        <f t="shared" si="1"/>
        <v>0</v>
      </c>
      <c r="D93" s="142">
        <f t="shared" si="1"/>
        <v>0</v>
      </c>
      <c r="E93" s="142">
        <f t="shared" si="1"/>
        <v>0</v>
      </c>
      <c r="F93" s="142">
        <f t="shared" si="1"/>
        <v>0</v>
      </c>
    </row>
    <row r="94" spans="1:6" ht="15.75">
      <c r="A94" s="145" t="s">
        <v>148</v>
      </c>
      <c r="B94" s="151" t="s">
        <v>38</v>
      </c>
      <c r="C94" s="142">
        <f>C16+C27+C38+C49+C60+C71+C82</f>
        <v>25999550</v>
      </c>
      <c r="D94" s="142">
        <f t="shared" si="1"/>
        <v>0</v>
      </c>
      <c r="E94" s="142">
        <f t="shared" si="1"/>
        <v>0</v>
      </c>
      <c r="F94" s="142">
        <f t="shared" si="1"/>
        <v>25999550</v>
      </c>
    </row>
    <row r="95" spans="1:6" ht="15.75">
      <c r="A95" s="145" t="s">
        <v>150</v>
      </c>
      <c r="B95" s="143" t="s">
        <v>39</v>
      </c>
      <c r="C95" s="142">
        <f t="shared" si="1"/>
        <v>635000</v>
      </c>
      <c r="D95" s="142">
        <f t="shared" si="1"/>
        <v>0</v>
      </c>
      <c r="E95" s="142">
        <f t="shared" si="1"/>
        <v>0</v>
      </c>
      <c r="F95" s="142">
        <f t="shared" si="1"/>
        <v>635000</v>
      </c>
    </row>
    <row r="96" spans="1:6" ht="15.75">
      <c r="A96" s="145" t="s">
        <v>152</v>
      </c>
      <c r="B96" s="143" t="s">
        <v>19</v>
      </c>
      <c r="C96" s="142">
        <f t="shared" si="1"/>
        <v>1000000</v>
      </c>
      <c r="D96" s="142">
        <f t="shared" si="1"/>
        <v>0</v>
      </c>
      <c r="E96" s="142">
        <f t="shared" si="1"/>
        <v>0</v>
      </c>
      <c r="F96" s="142">
        <f t="shared" si="1"/>
        <v>1000000</v>
      </c>
    </row>
    <row r="97" spans="1:6" ht="15.75">
      <c r="A97" s="145" t="s">
        <v>154</v>
      </c>
      <c r="B97" s="126" t="s">
        <v>318</v>
      </c>
      <c r="C97" s="142">
        <f t="shared" si="1"/>
        <v>2641077665</v>
      </c>
      <c r="D97" s="142">
        <f t="shared" si="1"/>
        <v>0</v>
      </c>
      <c r="E97" s="142">
        <f t="shared" si="1"/>
        <v>0</v>
      </c>
      <c r="F97" s="142">
        <f t="shared" si="1"/>
        <v>2641077665</v>
      </c>
    </row>
  </sheetData>
  <sheetProtection/>
  <mergeCells count="7">
    <mergeCell ref="A1:F1"/>
    <mergeCell ref="A3:F3"/>
    <mergeCell ref="A4:F4"/>
    <mergeCell ref="A5:F5"/>
    <mergeCell ref="A8:A9"/>
    <mergeCell ref="C8:E8"/>
    <mergeCell ref="F8:F9"/>
  </mergeCells>
  <printOptions/>
  <pageMargins left="0" right="0" top="0.7874015748031497" bottom="0.1968503937007874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B24" sqref="B24"/>
    </sheetView>
  </sheetViews>
  <sheetFormatPr defaultColWidth="8.00390625" defaultRowHeight="12.75"/>
  <cols>
    <col min="1" max="1" width="51.375" style="112" customWidth="1"/>
    <col min="2" max="2" width="14.625" style="112" customWidth="1"/>
    <col min="3" max="3" width="16.375" style="312" bestFit="1" customWidth="1"/>
    <col min="4" max="4" width="12.00390625" style="112" customWidth="1"/>
    <col min="5" max="5" width="12.25390625" style="112" customWidth="1"/>
    <col min="6" max="7" width="8.00390625" style="112" customWidth="1"/>
    <col min="8" max="8" width="8.375" style="112" bestFit="1" customWidth="1"/>
    <col min="9" max="16384" width="8.00390625" style="112" customWidth="1"/>
  </cols>
  <sheetData>
    <row r="1" spans="1:5" ht="15.75">
      <c r="A1" s="330" t="s">
        <v>556</v>
      </c>
      <c r="B1" s="330"/>
      <c r="C1" s="330"/>
      <c r="D1" s="330"/>
      <c r="E1" s="330"/>
    </row>
    <row r="2" ht="15.75">
      <c r="B2" s="113"/>
    </row>
    <row r="3" spans="1:5" ht="15.75">
      <c r="A3" s="345" t="s">
        <v>13</v>
      </c>
      <c r="B3" s="345"/>
      <c r="C3" s="345"/>
      <c r="D3" s="345"/>
      <c r="E3" s="345"/>
    </row>
    <row r="4" spans="1:5" ht="15.75">
      <c r="A4" s="345" t="s">
        <v>448</v>
      </c>
      <c r="B4" s="345"/>
      <c r="C4" s="345"/>
      <c r="D4" s="345"/>
      <c r="E4" s="345"/>
    </row>
    <row r="5" spans="1:6" ht="15.75">
      <c r="A5" s="284"/>
      <c r="B5" s="284"/>
      <c r="C5" s="313"/>
      <c r="D5" s="285"/>
      <c r="E5" s="285"/>
      <c r="F5" s="285"/>
    </row>
    <row r="6" spans="1:6" ht="15.75">
      <c r="A6" s="254"/>
      <c r="B6" s="255"/>
      <c r="C6" s="313"/>
      <c r="D6" s="254"/>
      <c r="E6" s="255" t="s">
        <v>342</v>
      </c>
      <c r="F6" s="285"/>
    </row>
    <row r="7" spans="1:6" ht="15.75">
      <c r="A7" s="172" t="s">
        <v>15</v>
      </c>
      <c r="B7" s="340" t="s">
        <v>33</v>
      </c>
      <c r="C7" s="341"/>
      <c r="D7" s="342"/>
      <c r="E7" s="343" t="s">
        <v>17</v>
      </c>
      <c r="F7" s="285"/>
    </row>
    <row r="8" spans="1:6" ht="28.5">
      <c r="A8" s="172" t="s">
        <v>36</v>
      </c>
      <c r="B8" s="286" t="s">
        <v>34</v>
      </c>
      <c r="C8" s="314" t="s">
        <v>35</v>
      </c>
      <c r="D8" s="173" t="s">
        <v>190</v>
      </c>
      <c r="E8" s="344"/>
      <c r="F8" s="285"/>
    </row>
    <row r="9" spans="1:6" ht="15.75">
      <c r="A9" s="257" t="s">
        <v>419</v>
      </c>
      <c r="B9" s="256">
        <v>50000000</v>
      </c>
      <c r="C9" s="315">
        <v>0</v>
      </c>
      <c r="D9" s="261">
        <v>0</v>
      </c>
      <c r="E9" s="261">
        <f aca="true" t="shared" si="0" ref="E9:E46">SUM(B9:D9)</f>
        <v>50000000</v>
      </c>
      <c r="F9" s="285"/>
    </row>
    <row r="10" spans="1:6" ht="15.75">
      <c r="A10" s="346" t="s">
        <v>521</v>
      </c>
      <c r="B10" s="347"/>
      <c r="C10" s="347"/>
      <c r="D10" s="347"/>
      <c r="E10" s="348"/>
      <c r="F10" s="285"/>
    </row>
    <row r="11" spans="1:6" ht="30">
      <c r="A11" s="257" t="s">
        <v>420</v>
      </c>
      <c r="B11" s="256">
        <v>5000000</v>
      </c>
      <c r="C11" s="315">
        <v>0</v>
      </c>
      <c r="D11" s="261">
        <v>0</v>
      </c>
      <c r="E11" s="261">
        <f t="shared" si="0"/>
        <v>5000000</v>
      </c>
      <c r="F11" s="285"/>
    </row>
    <row r="12" spans="1:6" ht="45">
      <c r="A12" s="257" t="s">
        <v>499</v>
      </c>
      <c r="B12" s="256">
        <v>0</v>
      </c>
      <c r="C12" s="315">
        <v>10000000</v>
      </c>
      <c r="D12" s="261">
        <v>0</v>
      </c>
      <c r="E12" s="261">
        <f t="shared" si="0"/>
        <v>10000000</v>
      </c>
      <c r="F12" s="285"/>
    </row>
    <row r="13" spans="1:6" ht="15.75">
      <c r="A13" s="257" t="s">
        <v>421</v>
      </c>
      <c r="B13" s="256">
        <v>50000000</v>
      </c>
      <c r="C13" s="315">
        <v>0</v>
      </c>
      <c r="D13" s="261">
        <v>0</v>
      </c>
      <c r="E13" s="261">
        <f t="shared" si="0"/>
        <v>50000000</v>
      </c>
      <c r="F13" s="285"/>
    </row>
    <row r="14" spans="1:6" ht="15.75">
      <c r="A14" s="257" t="s">
        <v>422</v>
      </c>
      <c r="B14" s="256">
        <v>10000000</v>
      </c>
      <c r="C14" s="315">
        <v>0</v>
      </c>
      <c r="D14" s="261">
        <v>0</v>
      </c>
      <c r="E14" s="261">
        <f t="shared" si="0"/>
        <v>10000000</v>
      </c>
      <c r="F14" s="285"/>
    </row>
    <row r="15" spans="1:6" ht="15.75">
      <c r="A15" s="257" t="s">
        <v>423</v>
      </c>
      <c r="B15" s="256">
        <v>10000000</v>
      </c>
      <c r="C15" s="315">
        <v>0</v>
      </c>
      <c r="D15" s="261">
        <v>0</v>
      </c>
      <c r="E15" s="261">
        <f t="shared" si="0"/>
        <v>10000000</v>
      </c>
      <c r="F15" s="285"/>
    </row>
    <row r="16" spans="1:6" ht="15.75">
      <c r="A16" s="257" t="s">
        <v>424</v>
      </c>
      <c r="B16" s="256">
        <v>6000000</v>
      </c>
      <c r="C16" s="315">
        <v>0</v>
      </c>
      <c r="D16" s="261">
        <v>0</v>
      </c>
      <c r="E16" s="261">
        <f t="shared" si="0"/>
        <v>6000000</v>
      </c>
      <c r="F16" s="285"/>
    </row>
    <row r="17" spans="1:6" ht="15.75">
      <c r="A17" s="257" t="s">
        <v>515</v>
      </c>
      <c r="B17" s="256">
        <v>108100469</v>
      </c>
      <c r="C17" s="315"/>
      <c r="D17" s="287"/>
      <c r="E17" s="261">
        <f t="shared" si="0"/>
        <v>108100469</v>
      </c>
      <c r="F17" s="285"/>
    </row>
    <row r="18" spans="1:6" ht="15.75">
      <c r="A18" s="257" t="s">
        <v>500</v>
      </c>
      <c r="B18" s="256">
        <v>0</v>
      </c>
      <c r="C18" s="315">
        <v>2000000</v>
      </c>
      <c r="D18" s="288">
        <v>0</v>
      </c>
      <c r="E18" s="261">
        <f t="shared" si="0"/>
        <v>2000000</v>
      </c>
      <c r="F18" s="285"/>
    </row>
    <row r="19" spans="1:6" ht="15.75">
      <c r="A19" s="378" t="s">
        <v>522</v>
      </c>
      <c r="B19" s="379">
        <v>1000000</v>
      </c>
      <c r="C19" s="376"/>
      <c r="D19" s="288"/>
      <c r="E19" s="261">
        <f t="shared" si="0"/>
        <v>1000000</v>
      </c>
      <c r="F19" s="285"/>
    </row>
    <row r="20" spans="1:6" ht="15.75">
      <c r="A20" s="378" t="s">
        <v>415</v>
      </c>
      <c r="B20" s="379">
        <v>1000000</v>
      </c>
      <c r="C20" s="376"/>
      <c r="D20" s="288"/>
      <c r="E20" s="261">
        <f t="shared" si="0"/>
        <v>1000000</v>
      </c>
      <c r="F20" s="285"/>
    </row>
    <row r="21" spans="1:6" ht="15.75">
      <c r="A21" s="378" t="s">
        <v>523</v>
      </c>
      <c r="B21" s="379">
        <v>18000000</v>
      </c>
      <c r="C21" s="376"/>
      <c r="D21" s="288"/>
      <c r="E21" s="261">
        <f t="shared" si="0"/>
        <v>18000000</v>
      </c>
      <c r="F21" s="285"/>
    </row>
    <row r="22" spans="1:6" ht="15.75">
      <c r="A22" s="378" t="s">
        <v>524</v>
      </c>
      <c r="B22" s="379">
        <v>25000000</v>
      </c>
      <c r="C22" s="376"/>
      <c r="D22" s="288"/>
      <c r="E22" s="261">
        <f t="shared" si="0"/>
        <v>25000000</v>
      </c>
      <c r="F22" s="285"/>
    </row>
    <row r="23" spans="1:6" ht="15.75">
      <c r="A23" s="378" t="s">
        <v>525</v>
      </c>
      <c r="B23" s="379">
        <v>6500000</v>
      </c>
      <c r="C23" s="376"/>
      <c r="D23" s="288"/>
      <c r="E23" s="261">
        <f t="shared" si="0"/>
        <v>6500000</v>
      </c>
      <c r="F23" s="285"/>
    </row>
    <row r="24" spans="1:6" ht="15.75">
      <c r="A24" s="378" t="s">
        <v>526</v>
      </c>
      <c r="B24" s="379">
        <v>18500000</v>
      </c>
      <c r="C24" s="376"/>
      <c r="D24" s="288"/>
      <c r="E24" s="261">
        <f t="shared" si="0"/>
        <v>18500000</v>
      </c>
      <c r="F24" s="285"/>
    </row>
    <row r="25" spans="1:6" ht="30">
      <c r="A25" s="378" t="s">
        <v>527</v>
      </c>
      <c r="B25" s="379">
        <v>8000000</v>
      </c>
      <c r="C25" s="376"/>
      <c r="D25" s="288"/>
      <c r="E25" s="261">
        <f t="shared" si="0"/>
        <v>8000000</v>
      </c>
      <c r="F25" s="285"/>
    </row>
    <row r="26" spans="1:6" ht="15.75">
      <c r="A26" s="378" t="s">
        <v>473</v>
      </c>
      <c r="B26" s="380">
        <v>15000000</v>
      </c>
      <c r="C26" s="377"/>
      <c r="D26" s="288"/>
      <c r="E26" s="261">
        <f t="shared" si="0"/>
        <v>15000000</v>
      </c>
      <c r="F26" s="285"/>
    </row>
    <row r="27" spans="1:6" ht="15.75">
      <c r="A27" s="378" t="s">
        <v>528</v>
      </c>
      <c r="B27" s="380">
        <v>1500000</v>
      </c>
      <c r="C27" s="377"/>
      <c r="D27" s="288"/>
      <c r="E27" s="261">
        <f t="shared" si="0"/>
        <v>1500000</v>
      </c>
      <c r="F27" s="285"/>
    </row>
    <row r="28" spans="1:6" ht="15.75">
      <c r="A28" s="378" t="s">
        <v>529</v>
      </c>
      <c r="B28" s="379">
        <v>1000000</v>
      </c>
      <c r="C28" s="376"/>
      <c r="D28" s="288"/>
      <c r="E28" s="261">
        <f t="shared" si="0"/>
        <v>1000000</v>
      </c>
      <c r="F28" s="285"/>
    </row>
    <row r="29" spans="1:6" ht="26.25">
      <c r="A29" s="306" t="s">
        <v>530</v>
      </c>
      <c r="B29" s="307">
        <v>350000</v>
      </c>
      <c r="C29" s="315"/>
      <c r="D29" s="288"/>
      <c r="E29" s="261">
        <f t="shared" si="0"/>
        <v>350000</v>
      </c>
      <c r="F29" s="285"/>
    </row>
    <row r="30" spans="1:6" ht="15.75">
      <c r="A30" s="306" t="s">
        <v>531</v>
      </c>
      <c r="B30" s="307">
        <v>5000000</v>
      </c>
      <c r="C30" s="315"/>
      <c r="D30" s="288"/>
      <c r="E30" s="261">
        <f t="shared" si="0"/>
        <v>5000000</v>
      </c>
      <c r="F30" s="285"/>
    </row>
    <row r="31" spans="1:6" ht="15.75">
      <c r="A31" s="306" t="s">
        <v>532</v>
      </c>
      <c r="B31" s="307">
        <v>10000000</v>
      </c>
      <c r="C31" s="315"/>
      <c r="D31" s="288"/>
      <c r="E31" s="261">
        <f t="shared" si="0"/>
        <v>10000000</v>
      </c>
      <c r="F31" s="285"/>
    </row>
    <row r="32" spans="1:6" ht="15.75">
      <c r="A32" s="306" t="s">
        <v>533</v>
      </c>
      <c r="B32" s="307">
        <v>10000000</v>
      </c>
      <c r="C32" s="315"/>
      <c r="D32" s="288"/>
      <c r="E32" s="261">
        <f t="shared" si="0"/>
        <v>10000000</v>
      </c>
      <c r="F32" s="285"/>
    </row>
    <row r="33" spans="1:6" ht="15.75">
      <c r="A33" s="306" t="s">
        <v>534</v>
      </c>
      <c r="B33" s="307">
        <v>20000000</v>
      </c>
      <c r="C33" s="315"/>
      <c r="D33" s="288"/>
      <c r="E33" s="261">
        <f t="shared" si="0"/>
        <v>20000000</v>
      </c>
      <c r="F33" s="285"/>
    </row>
    <row r="34" spans="1:6" ht="15.75">
      <c r="A34" s="306" t="s">
        <v>535</v>
      </c>
      <c r="B34" s="307">
        <v>5000000</v>
      </c>
      <c r="C34" s="315"/>
      <c r="D34" s="288"/>
      <c r="E34" s="261">
        <f t="shared" si="0"/>
        <v>5000000</v>
      </c>
      <c r="F34" s="285"/>
    </row>
    <row r="35" spans="1:6" ht="15.75">
      <c r="A35" s="306" t="s">
        <v>536</v>
      </c>
      <c r="B35" s="307">
        <v>5000000</v>
      </c>
      <c r="C35" s="315"/>
      <c r="D35" s="288"/>
      <c r="E35" s="261">
        <f t="shared" si="0"/>
        <v>5000000</v>
      </c>
      <c r="F35" s="285"/>
    </row>
    <row r="36" spans="1:6" ht="15.75">
      <c r="A36" s="306" t="s">
        <v>537</v>
      </c>
      <c r="B36" s="307">
        <v>30000000</v>
      </c>
      <c r="C36" s="315"/>
      <c r="D36" s="288"/>
      <c r="E36" s="261">
        <f t="shared" si="0"/>
        <v>30000000</v>
      </c>
      <c r="F36" s="285"/>
    </row>
    <row r="37" spans="1:6" ht="15.75">
      <c r="A37" s="306" t="s">
        <v>538</v>
      </c>
      <c r="B37" s="307">
        <v>5000000</v>
      </c>
      <c r="C37" s="315"/>
      <c r="D37" s="288"/>
      <c r="E37" s="261">
        <f t="shared" si="0"/>
        <v>5000000</v>
      </c>
      <c r="F37" s="285"/>
    </row>
    <row r="38" spans="1:6" ht="15.75">
      <c r="A38" s="306" t="s">
        <v>539</v>
      </c>
      <c r="B38" s="307">
        <v>1454658</v>
      </c>
      <c r="C38" s="315"/>
      <c r="D38" s="288"/>
      <c r="E38" s="261">
        <f t="shared" si="0"/>
        <v>1454658</v>
      </c>
      <c r="F38" s="285"/>
    </row>
    <row r="39" spans="1:6" ht="15.75">
      <c r="A39" s="306" t="s">
        <v>540</v>
      </c>
      <c r="B39" s="307">
        <v>800000</v>
      </c>
      <c r="C39" s="315"/>
      <c r="D39" s="288"/>
      <c r="E39" s="261">
        <f t="shared" si="0"/>
        <v>800000</v>
      </c>
      <c r="F39" s="285"/>
    </row>
    <row r="40" spans="1:6" ht="26.25">
      <c r="A40" s="306" t="s">
        <v>541</v>
      </c>
      <c r="B40" s="307">
        <v>4000000</v>
      </c>
      <c r="C40" s="315"/>
      <c r="D40" s="288"/>
      <c r="E40" s="261">
        <f t="shared" si="0"/>
        <v>4000000</v>
      </c>
      <c r="F40" s="285"/>
    </row>
    <row r="41" spans="1:6" ht="15.75">
      <c r="A41" s="306" t="s">
        <v>542</v>
      </c>
      <c r="B41" s="307">
        <v>2000000</v>
      </c>
      <c r="C41" s="315"/>
      <c r="D41" s="288"/>
      <c r="E41" s="261">
        <f t="shared" si="0"/>
        <v>2000000</v>
      </c>
      <c r="F41" s="285"/>
    </row>
    <row r="42" spans="1:6" ht="15.75">
      <c r="A42" s="306" t="s">
        <v>543</v>
      </c>
      <c r="B42" s="307">
        <v>1500000</v>
      </c>
      <c r="C42" s="315"/>
      <c r="D42" s="288"/>
      <c r="E42" s="261">
        <f t="shared" si="0"/>
        <v>1500000</v>
      </c>
      <c r="F42" s="285"/>
    </row>
    <row r="43" spans="1:6" ht="15.75">
      <c r="A43" s="306" t="s">
        <v>544</v>
      </c>
      <c r="B43" s="307">
        <v>1600000</v>
      </c>
      <c r="C43" s="315"/>
      <c r="D43" s="288"/>
      <c r="E43" s="261">
        <f t="shared" si="0"/>
        <v>1600000</v>
      </c>
      <c r="F43" s="285"/>
    </row>
    <row r="44" spans="1:6" ht="26.25">
      <c r="A44" s="306" t="s">
        <v>545</v>
      </c>
      <c r="B44" s="307">
        <v>3000000</v>
      </c>
      <c r="C44" s="315"/>
      <c r="D44" s="288"/>
      <c r="E44" s="261">
        <f t="shared" si="0"/>
        <v>3000000</v>
      </c>
      <c r="F44" s="285"/>
    </row>
    <row r="45" spans="1:6" ht="15.75">
      <c r="A45" s="308" t="s">
        <v>546</v>
      </c>
      <c r="B45" s="309">
        <v>17000000</v>
      </c>
      <c r="C45" s="315"/>
      <c r="D45" s="288"/>
      <c r="E45" s="261">
        <f t="shared" si="0"/>
        <v>17000000</v>
      </c>
      <c r="F45" s="285"/>
    </row>
    <row r="46" spans="1:6" ht="30">
      <c r="A46" s="310" t="s">
        <v>547</v>
      </c>
      <c r="B46" s="311">
        <f>15983673+16076610+1000000+10802397</f>
        <v>43862680</v>
      </c>
      <c r="C46" s="315"/>
      <c r="D46" s="288"/>
      <c r="E46" s="261">
        <f t="shared" si="0"/>
        <v>43862680</v>
      </c>
      <c r="F46" s="285"/>
    </row>
    <row r="47" spans="1:6" ht="15.75">
      <c r="A47" s="289" t="s">
        <v>501</v>
      </c>
      <c r="B47" s="290">
        <f>SUM(B9:B46)</f>
        <v>500167807</v>
      </c>
      <c r="C47" s="316">
        <f>SUM(C11:C46)</f>
        <v>12000000</v>
      </c>
      <c r="D47" s="290">
        <f>SUM(D9:D18)</f>
        <v>0</v>
      </c>
      <c r="E47" s="290">
        <f>SUM(E9:E46)</f>
        <v>512167807</v>
      </c>
      <c r="F47" s="291"/>
    </row>
    <row r="48" spans="1:6" ht="15.75">
      <c r="A48" s="285"/>
      <c r="B48" s="285"/>
      <c r="C48" s="313"/>
      <c r="D48" s="285"/>
      <c r="E48" s="285"/>
      <c r="F48" s="285"/>
    </row>
    <row r="49" spans="1:6" ht="15.75">
      <c r="A49" s="285"/>
      <c r="B49" s="285"/>
      <c r="C49" s="313"/>
      <c r="D49" s="285"/>
      <c r="E49" s="285"/>
      <c r="F49" s="285"/>
    </row>
    <row r="50" spans="1:6" ht="15.75">
      <c r="A50" s="285"/>
      <c r="B50" s="285"/>
      <c r="C50" s="313"/>
      <c r="D50" s="285"/>
      <c r="E50" s="285"/>
      <c r="F50" s="285"/>
    </row>
  </sheetData>
  <sheetProtection/>
  <mergeCells count="6">
    <mergeCell ref="A1:E1"/>
    <mergeCell ref="B7:D7"/>
    <mergeCell ref="E7:E8"/>
    <mergeCell ref="A4:E4"/>
    <mergeCell ref="A3:E3"/>
    <mergeCell ref="A10:E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7.375" style="9" customWidth="1"/>
    <col min="2" max="2" width="15.75390625" style="9" customWidth="1"/>
    <col min="3" max="3" width="14.125" style="9" customWidth="1"/>
    <col min="4" max="4" width="11.00390625" style="9" customWidth="1"/>
    <col min="5" max="5" width="15.25390625" style="9" bestFit="1" customWidth="1"/>
    <col min="6" max="16384" width="9.125" style="9" customWidth="1"/>
  </cols>
  <sheetData>
    <row r="1" spans="1:5" ht="15.75">
      <c r="A1" s="330" t="s">
        <v>557</v>
      </c>
      <c r="B1" s="330"/>
      <c r="C1" s="330"/>
      <c r="D1" s="330"/>
      <c r="E1" s="330"/>
    </row>
    <row r="3" spans="1:5" ht="15.75">
      <c r="A3" s="349" t="s">
        <v>13</v>
      </c>
      <c r="B3" s="349"/>
      <c r="C3" s="349"/>
      <c r="D3" s="349"/>
      <c r="E3" s="349"/>
    </row>
    <row r="4" spans="1:5" ht="15.75">
      <c r="A4" s="349" t="s">
        <v>449</v>
      </c>
      <c r="B4" s="349"/>
      <c r="C4" s="349"/>
      <c r="D4" s="349"/>
      <c r="E4" s="349"/>
    </row>
    <row r="5" spans="1:5" ht="15.75">
      <c r="A5" s="45"/>
      <c r="B5" s="45"/>
      <c r="C5" s="45"/>
      <c r="D5" s="45"/>
      <c r="E5" s="45"/>
    </row>
    <row r="6" spans="1:5" ht="15.75">
      <c r="A6" s="254"/>
      <c r="B6" s="255"/>
      <c r="C6" s="254"/>
      <c r="D6" s="254"/>
      <c r="E6" s="255" t="s">
        <v>342</v>
      </c>
    </row>
    <row r="7" spans="1:5" ht="15.75" customHeight="1">
      <c r="A7" s="172" t="s">
        <v>15</v>
      </c>
      <c r="B7" s="350" t="s">
        <v>33</v>
      </c>
      <c r="C7" s="350"/>
      <c r="D7" s="350"/>
      <c r="E7" s="351" t="s">
        <v>17</v>
      </c>
    </row>
    <row r="8" spans="1:5" ht="28.5">
      <c r="A8" s="172" t="s">
        <v>36</v>
      </c>
      <c r="B8" s="253" t="s">
        <v>34</v>
      </c>
      <c r="C8" s="173" t="s">
        <v>35</v>
      </c>
      <c r="D8" s="173" t="s">
        <v>190</v>
      </c>
      <c r="E8" s="351"/>
    </row>
    <row r="9" spans="1:5" ht="15.75">
      <c r="A9" s="381" t="s">
        <v>504</v>
      </c>
      <c r="B9" s="382">
        <f>137401575*1.27+1736846+34000000</f>
        <v>210236846.25</v>
      </c>
      <c r="C9" s="383">
        <v>0</v>
      </c>
      <c r="D9" s="383">
        <v>0</v>
      </c>
      <c r="E9" s="384">
        <f>SUM(B9:D9)</f>
        <v>210236846.25</v>
      </c>
    </row>
    <row r="10" spans="1:5" ht="15.75">
      <c r="A10" s="381" t="s">
        <v>520</v>
      </c>
      <c r="B10" s="382">
        <v>300000</v>
      </c>
      <c r="C10" s="383">
        <v>0</v>
      </c>
      <c r="D10" s="383">
        <v>0</v>
      </c>
      <c r="E10" s="384">
        <f>SUM(B10:D10)</f>
        <v>300000</v>
      </c>
    </row>
    <row r="11" spans="1:5" ht="15.75">
      <c r="A11" s="257" t="s">
        <v>482</v>
      </c>
      <c r="B11" s="256">
        <v>4500000</v>
      </c>
      <c r="C11" s="248">
        <v>0</v>
      </c>
      <c r="D11" s="248">
        <v>0</v>
      </c>
      <c r="E11" s="249">
        <f>SUM(B11:D11)</f>
        <v>4500000</v>
      </c>
    </row>
    <row r="12" spans="1:5" ht="30">
      <c r="A12" s="257" t="s">
        <v>425</v>
      </c>
      <c r="B12" s="256">
        <f>111711870+30162205</f>
        <v>141874075</v>
      </c>
      <c r="C12" s="248">
        <v>0</v>
      </c>
      <c r="D12" s="248">
        <v>0</v>
      </c>
      <c r="E12" s="249">
        <f>SUM(B12:D12)</f>
        <v>141874075</v>
      </c>
    </row>
    <row r="13" spans="1:5" ht="15.75">
      <c r="A13" s="257" t="s">
        <v>483</v>
      </c>
      <c r="B13" s="256">
        <v>59543000</v>
      </c>
      <c r="C13" s="248">
        <v>0</v>
      </c>
      <c r="D13" s="248">
        <v>0</v>
      </c>
      <c r="E13" s="249">
        <f>SUM(B13:D13)</f>
        <v>59543000</v>
      </c>
    </row>
    <row r="14" spans="1:5" ht="15.75">
      <c r="A14" s="257" t="s">
        <v>484</v>
      </c>
      <c r="B14" s="256">
        <f>2113765+570717</f>
        <v>2684482</v>
      </c>
      <c r="C14" s="248">
        <v>0</v>
      </c>
      <c r="D14" s="248">
        <v>0</v>
      </c>
      <c r="E14" s="249">
        <f aca="true" t="shared" si="0" ref="E14:E25">SUM(B14:D14)</f>
        <v>2684482</v>
      </c>
    </row>
    <row r="15" spans="1:5" ht="15.75">
      <c r="A15" s="257" t="s">
        <v>485</v>
      </c>
      <c r="B15" s="256">
        <f>350000000-8958580</f>
        <v>341041420</v>
      </c>
      <c r="C15" s="248"/>
      <c r="D15" s="248">
        <v>0</v>
      </c>
      <c r="E15" s="249">
        <f>SUM(B15:D15)</f>
        <v>341041420</v>
      </c>
    </row>
    <row r="16" spans="1:5" ht="15.75">
      <c r="A16" s="257" t="s">
        <v>426</v>
      </c>
      <c r="B16" s="256">
        <f>360551181+450000000+97348819</f>
        <v>907900000</v>
      </c>
      <c r="C16" s="248">
        <v>0</v>
      </c>
      <c r="D16" s="248">
        <v>0</v>
      </c>
      <c r="E16" s="249">
        <f>SUM(B16:D16)</f>
        <v>907900000</v>
      </c>
    </row>
    <row r="17" spans="1:15" ht="15.75">
      <c r="A17" s="257" t="s">
        <v>427</v>
      </c>
      <c r="B17" s="256">
        <f>308281086+83235895</f>
        <v>391516981</v>
      </c>
      <c r="C17" s="248">
        <v>0</v>
      </c>
      <c r="D17" s="248">
        <v>0</v>
      </c>
      <c r="E17" s="249">
        <f>SUM(B17:D17)</f>
        <v>391516981</v>
      </c>
      <c r="O17" s="9" t="s">
        <v>492</v>
      </c>
    </row>
    <row r="18" spans="1:5" ht="15.75">
      <c r="A18" s="257" t="s">
        <v>486</v>
      </c>
      <c r="B18" s="256">
        <f>550000+148500</f>
        <v>698500</v>
      </c>
      <c r="C18" s="248">
        <v>0</v>
      </c>
      <c r="D18" s="248">
        <v>0</v>
      </c>
      <c r="E18" s="249">
        <f>SUM(B18:D18)</f>
        <v>698500</v>
      </c>
    </row>
    <row r="19" spans="1:5" ht="15.75">
      <c r="A19" s="257" t="s">
        <v>487</v>
      </c>
      <c r="B19" s="256">
        <v>0</v>
      </c>
      <c r="C19" s="256">
        <f>669291+180709</f>
        <v>850000</v>
      </c>
      <c r="D19" s="248">
        <v>0</v>
      </c>
      <c r="E19" s="249">
        <f t="shared" si="0"/>
        <v>850000</v>
      </c>
    </row>
    <row r="20" spans="1:5" ht="15.75">
      <c r="A20" s="257" t="s">
        <v>502</v>
      </c>
      <c r="B20" s="256">
        <v>0</v>
      </c>
      <c r="C20" s="256">
        <f>6000000+1620000</f>
        <v>7620000</v>
      </c>
      <c r="D20" s="248">
        <v>0</v>
      </c>
      <c r="E20" s="249">
        <f t="shared" si="0"/>
        <v>7620000</v>
      </c>
    </row>
    <row r="21" spans="1:5" ht="15.75">
      <c r="A21" s="257" t="s">
        <v>503</v>
      </c>
      <c r="B21" s="256">
        <v>0</v>
      </c>
      <c r="C21" s="256">
        <f>2000000+540000</f>
        <v>2540000</v>
      </c>
      <c r="D21" s="248">
        <v>0</v>
      </c>
      <c r="E21" s="249">
        <f t="shared" si="0"/>
        <v>2540000</v>
      </c>
    </row>
    <row r="22" spans="1:18" ht="15.75">
      <c r="A22" s="257" t="s">
        <v>488</v>
      </c>
      <c r="B22" s="256">
        <v>0</v>
      </c>
      <c r="C22" s="256">
        <v>20000000</v>
      </c>
      <c r="D22" s="248">
        <v>0</v>
      </c>
      <c r="E22" s="249">
        <f t="shared" si="0"/>
        <v>20000000</v>
      </c>
      <c r="I22" s="9" t="s">
        <v>492</v>
      </c>
      <c r="R22" s="9" t="s">
        <v>492</v>
      </c>
    </row>
    <row r="23" spans="1:5" ht="15.75">
      <c r="A23" s="257" t="s">
        <v>489</v>
      </c>
      <c r="B23" s="256">
        <v>0</v>
      </c>
      <c r="C23" s="256">
        <v>2000000</v>
      </c>
      <c r="D23" s="248">
        <v>0</v>
      </c>
      <c r="E23" s="249">
        <f t="shared" si="0"/>
        <v>2000000</v>
      </c>
    </row>
    <row r="24" spans="1:5" ht="15.75">
      <c r="A24" s="257" t="s">
        <v>505</v>
      </c>
      <c r="B24" s="256">
        <v>0</v>
      </c>
      <c r="C24" s="256">
        <v>19050000</v>
      </c>
      <c r="D24" s="248">
        <v>0</v>
      </c>
      <c r="E24" s="249">
        <f t="shared" si="0"/>
        <v>19050000</v>
      </c>
    </row>
    <row r="25" spans="1:5" ht="15.75">
      <c r="A25" s="258" t="s">
        <v>506</v>
      </c>
      <c r="B25" s="256">
        <v>0</v>
      </c>
      <c r="C25" s="256">
        <f>3937008+1062992</f>
        <v>5000000</v>
      </c>
      <c r="D25" s="248">
        <v>0</v>
      </c>
      <c r="E25" s="249">
        <f t="shared" si="0"/>
        <v>5000000</v>
      </c>
    </row>
    <row r="26" spans="1:5" ht="15.75">
      <c r="A26" s="175" t="s">
        <v>8</v>
      </c>
      <c r="B26" s="250">
        <f>SUM(B9:B25)</f>
        <v>2060295304.25</v>
      </c>
      <c r="C26" s="250">
        <f>SUM(C9:C25)</f>
        <v>57060000</v>
      </c>
      <c r="D26" s="250">
        <f>SUM(D9:D25)</f>
        <v>0</v>
      </c>
      <c r="E26" s="250">
        <f>SUM(E9:E25)</f>
        <v>2117355304.25</v>
      </c>
    </row>
    <row r="27" spans="1:5" ht="60">
      <c r="A27" s="259" t="s">
        <v>507</v>
      </c>
      <c r="B27" s="260">
        <f>10165000*1.27</f>
        <v>12909550</v>
      </c>
      <c r="C27" s="249">
        <v>0</v>
      </c>
      <c r="D27" s="249">
        <v>0</v>
      </c>
      <c r="E27" s="249">
        <f>SUM(B27:D27)</f>
        <v>12909550</v>
      </c>
    </row>
    <row r="28" spans="1:5" ht="15.75">
      <c r="A28" s="259" t="s">
        <v>490</v>
      </c>
      <c r="B28" s="260">
        <f>1495000</f>
        <v>1495000</v>
      </c>
      <c r="C28" s="249">
        <v>0</v>
      </c>
      <c r="D28" s="249">
        <v>0</v>
      </c>
      <c r="E28" s="249">
        <f>SUM(B28:D28)</f>
        <v>1495000</v>
      </c>
    </row>
    <row r="29" spans="1:5" ht="15.75">
      <c r="A29" s="259" t="s">
        <v>491</v>
      </c>
      <c r="B29" s="260">
        <f>2005000</f>
        <v>2005000</v>
      </c>
      <c r="C29" s="249">
        <v>0</v>
      </c>
      <c r="D29" s="249">
        <v>0</v>
      </c>
      <c r="E29" s="249">
        <f>SUM(B29:D29)</f>
        <v>2005000</v>
      </c>
    </row>
    <row r="30" spans="1:5" ht="15.75">
      <c r="A30" s="177" t="s">
        <v>32</v>
      </c>
      <c r="B30" s="250">
        <f>SUM(B27:B29)</f>
        <v>16409550</v>
      </c>
      <c r="C30" s="250">
        <f>SUM(C27:C29)</f>
        <v>0</v>
      </c>
      <c r="D30" s="250">
        <f>SUM(D27:D29)</f>
        <v>0</v>
      </c>
      <c r="E30" s="250">
        <f>SUM(E27:E29)</f>
        <v>16409550</v>
      </c>
    </row>
    <row r="31" spans="1:5" ht="15.75">
      <c r="A31" s="206" t="s">
        <v>493</v>
      </c>
      <c r="B31" s="249">
        <v>500000</v>
      </c>
      <c r="C31" s="249">
        <v>0</v>
      </c>
      <c r="D31" s="249">
        <v>0</v>
      </c>
      <c r="E31" s="249">
        <f aca="true" t="shared" si="1" ref="E31:E36">SUM(B31:D31)</f>
        <v>500000</v>
      </c>
    </row>
    <row r="32" spans="1:5" ht="15.75">
      <c r="A32" s="206" t="s">
        <v>494</v>
      </c>
      <c r="B32" s="249">
        <v>7090000</v>
      </c>
      <c r="C32" s="249">
        <v>0</v>
      </c>
      <c r="D32" s="249">
        <v>0</v>
      </c>
      <c r="E32" s="249">
        <f t="shared" si="1"/>
        <v>7090000</v>
      </c>
    </row>
    <row r="33" spans="1:5" ht="15.75">
      <c r="A33" s="206" t="s">
        <v>495</v>
      </c>
      <c r="B33" s="249">
        <v>500000</v>
      </c>
      <c r="C33" s="249">
        <v>0</v>
      </c>
      <c r="D33" s="249">
        <v>0</v>
      </c>
      <c r="E33" s="249">
        <f t="shared" si="1"/>
        <v>500000</v>
      </c>
    </row>
    <row r="34" spans="1:5" ht="15.75">
      <c r="A34" s="206" t="s">
        <v>496</v>
      </c>
      <c r="B34" s="249">
        <v>500000</v>
      </c>
      <c r="C34" s="249">
        <v>0</v>
      </c>
      <c r="D34" s="249">
        <v>0</v>
      </c>
      <c r="E34" s="249">
        <f t="shared" si="1"/>
        <v>500000</v>
      </c>
    </row>
    <row r="35" spans="1:5" ht="15.75">
      <c r="A35" s="206" t="s">
        <v>497</v>
      </c>
      <c r="B35" s="174">
        <v>500000</v>
      </c>
      <c r="C35" s="174">
        <v>0</v>
      </c>
      <c r="D35" s="174">
        <v>0</v>
      </c>
      <c r="E35" s="174">
        <f t="shared" si="1"/>
        <v>500000</v>
      </c>
    </row>
    <row r="36" spans="1:5" ht="15.75">
      <c r="A36" s="206" t="s">
        <v>498</v>
      </c>
      <c r="B36" s="174">
        <v>500000</v>
      </c>
      <c r="C36" s="174">
        <v>0</v>
      </c>
      <c r="D36" s="174">
        <v>0</v>
      </c>
      <c r="E36" s="174">
        <f t="shared" si="1"/>
        <v>500000</v>
      </c>
    </row>
    <row r="37" spans="1:17" ht="15.75">
      <c r="A37" s="178" t="s">
        <v>7</v>
      </c>
      <c r="B37" s="176">
        <f>SUM(B31:B36)</f>
        <v>9590000</v>
      </c>
      <c r="C37" s="176">
        <f>SUM(C31:C36)</f>
        <v>0</v>
      </c>
      <c r="D37" s="176">
        <f>SUM(D31:D36)</f>
        <v>0</v>
      </c>
      <c r="E37" s="176">
        <f>SUM(E31:E36)</f>
        <v>9590000</v>
      </c>
      <c r="Q37" s="9" t="s">
        <v>492</v>
      </c>
    </row>
    <row r="38" spans="1:5" ht="15.75">
      <c r="A38" s="178" t="s">
        <v>166</v>
      </c>
      <c r="B38" s="176">
        <f>B37+B26+B30</f>
        <v>2086294854.25</v>
      </c>
      <c r="C38" s="176">
        <f>C37+C26+C30</f>
        <v>57060000</v>
      </c>
      <c r="D38" s="176">
        <f>D37+D26+D30</f>
        <v>0</v>
      </c>
      <c r="E38" s="176">
        <f>E37+E26+E30</f>
        <v>2143354854.25</v>
      </c>
    </row>
    <row r="39" spans="1:5" ht="15.75">
      <c r="A39" s="254"/>
      <c r="B39" s="254"/>
      <c r="C39" s="254"/>
      <c r="D39" s="254"/>
      <c r="E39" s="254"/>
    </row>
  </sheetData>
  <sheetProtection/>
  <mergeCells count="5">
    <mergeCell ref="A4:E4"/>
    <mergeCell ref="B7:D7"/>
    <mergeCell ref="E7:E8"/>
    <mergeCell ref="A1:E1"/>
    <mergeCell ref="A3:E3"/>
  </mergeCells>
  <conditionalFormatting sqref="A27">
    <cfRule type="expression" priority="6" dxfId="0">
      <formula>hossz&gt;60</formula>
    </cfRule>
    <cfRule type="colorScale" priority="5" dxfId="0">
      <colorScale>
        <cfvo type="num" val="60"/>
        <cfvo type="num" val="1000"/>
        <color rgb="FFFF7128"/>
        <color rgb="FFFFEF9C"/>
      </colorScale>
    </cfRule>
  </conditionalFormatting>
  <conditionalFormatting sqref="A28:A29">
    <cfRule type="expression" priority="2" dxfId="0">
      <formula>hossz&gt;60</formula>
    </cfRule>
    <cfRule type="colorScale" priority="1" dxfId="0">
      <colorScale>
        <cfvo type="num" val="60"/>
        <cfvo type="num" val="1000"/>
        <color rgb="FFFF7128"/>
        <color rgb="FFFFEF9C"/>
      </colorScale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Cegléd Város Polgármesteri Hi</dc:creator>
  <cp:keywords/>
  <dc:description/>
  <cp:lastModifiedBy>Jáger Mária</cp:lastModifiedBy>
  <cp:lastPrinted>2020-02-14T10:23:38Z</cp:lastPrinted>
  <dcterms:created xsi:type="dcterms:W3CDTF">2007-02-02T11:56:00Z</dcterms:created>
  <dcterms:modified xsi:type="dcterms:W3CDTF">2020-02-14T10:24:13Z</dcterms:modified>
  <cp:category/>
  <cp:version/>
  <cp:contentType/>
  <cp:contentStatus/>
</cp:coreProperties>
</file>