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3" activeTab="17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" sheetId="20" r:id="rId20"/>
    <sheet name="20 közvetett" sheetId="21" r:id="rId21"/>
    <sheet name="21 MÉRLEG" sheetId="22" r:id="rId22"/>
    <sheet name="22 FELH TERV" sheetId="23" r:id="rId23"/>
    <sheet name="23 GÖRDÜLŐ" sheetId="24" r:id="rId24"/>
  </sheets>
  <externalReferences>
    <externalReference r:id="rId27"/>
  </externalReferences>
  <definedNames>
    <definedName name="_xlnm.Print_Area" localSheetId="1">'1 kiem'!$A$1:$G$31</definedName>
    <definedName name="_xlnm.Print_Area" localSheetId="10">'10 Járób'!$B$1:$I$134</definedName>
    <definedName name="_xlnm.Print_Titles" localSheetId="10">'10 Járób'!$1:$5</definedName>
    <definedName name="_xlnm.Print_Area" localSheetId="11">'11 Szoci'!$B$1:$I$134</definedName>
    <definedName name="_xlnm.Print_Titles" localSheetId="11">'11 Szoci'!$1:$5</definedName>
    <definedName name="_xlnm.Print_Area" localSheetId="12">'12 Ovi'!$B$1:$I$134</definedName>
    <definedName name="_xlnm.Print_Titles" localSheetId="12">'12 Ovi'!$1:$5</definedName>
    <definedName name="_xlnm.Print_Area" localSheetId="13">'13 Művház'!$B$1:$I$134</definedName>
    <definedName name="_xlnm.Print_Titles" localSheetId="13">'13 Művház'!$1:$5</definedName>
    <definedName name="_xlnm.Print_Area" localSheetId="14">'14 Könyvt'!$B$1:$I$134</definedName>
    <definedName name="_xlnm.Print_Titles" localSheetId="14">'14 Könyvt'!$1:$5</definedName>
    <definedName name="_xlnm.Print_Area" localSheetId="15">'15 létszám'!$A$1:$T$37</definedName>
    <definedName name="_xlnm.Print_Area" localSheetId="16">'16 szociális kiad'!$B$1:$E$27</definedName>
    <definedName name="_xlnm.Print_Area" localSheetId="17">'17 hitelek'!$B$1:$G$84</definedName>
    <definedName name="_xlnm.Print_Area" localSheetId="18">'18 TÖBB ÉVES'!$A$1:$I$27</definedName>
    <definedName name="_xlnm.Print_Area" localSheetId="19">'19 EU proj'!$A$1:$B$198</definedName>
    <definedName name="_xlnm.Print_Titles" localSheetId="19">'19 EU proj'!$1:$6</definedName>
    <definedName name="_xlnm.Print_Area" localSheetId="2">'2 Össz'!$A$1:$H$155</definedName>
    <definedName name="_xlnm.Print_Titles" localSheetId="2">'2 Össz'!$1:$5</definedName>
    <definedName name="_xlnm.Print_Area" localSheetId="20">'20 közvetett'!$A$1:$E$19</definedName>
    <definedName name="_xlnm.Print_Area" localSheetId="21">'21 MÉRLEG'!$A$1:$E$154</definedName>
    <definedName name="_xlnm.Print_Titles" localSheetId="21">'21 MÉRLEG'!$1:$4</definedName>
    <definedName name="_xlnm.Print_Area" localSheetId="22">'22 FELH TERV'!$A$1:$O$154</definedName>
    <definedName name="_xlnm.Print_Titles" localSheetId="22">'22 FELH TERV'!$1:$6</definedName>
    <definedName name="_xlnm.Print_Area" localSheetId="23">'23 GÖRDÜLŐ'!$A$1:$F$151</definedName>
    <definedName name="_xlnm.Print_Titles" localSheetId="23">'23 GÖRDÜLŐ'!$1:$6</definedName>
    <definedName name="_xlnm.Print_Area" localSheetId="3">'3 Adók és tám'!$B$1:$E$80</definedName>
    <definedName name="_xlnm.Print_Titles" localSheetId="3">'3 Adók és tám'!$1:$6</definedName>
    <definedName name="_xlnm.Print_Area" localSheetId="4">'4 Átvett és Felh bev'!$B$1:$G$97</definedName>
    <definedName name="_xlnm.Print_Titles" localSheetId="4">'4 Átvett és Felh bev'!$1:$9</definedName>
    <definedName name="_xlnm.Print_Area" localSheetId="5">'5 Beruh kiad'!$B$1:$G$81</definedName>
    <definedName name="_xlnm.Print_Titles" localSheetId="5">'5 Beruh kiad'!$1:$8</definedName>
    <definedName name="_xlnm.Print_Area" localSheetId="6">'6 Tart'!$B$1:$I$26</definedName>
    <definedName name="_xlnm.Print_Area" localSheetId="7">'7 Önk'!$B$1:$BA$131</definedName>
    <definedName name="_xlnm.Print_Titles" localSheetId="7">('7 Önk'!$B:$C,'7 Önk'!$1:$5)</definedName>
    <definedName name="_xlnm.Print_Area" localSheetId="8">'8 PH'!$B$1:$I$134</definedName>
    <definedName name="_xlnm.Print_Titles" localSheetId="8">'8 PH'!$1:$5</definedName>
    <definedName name="_xlnm.Print_Area" localSheetId="9">'9 VGIG'!$B$1:$I$134</definedName>
    <definedName name="_xlnm.Print_Titles" localSheetId="9">'9 VGIG'!$1:$5</definedName>
    <definedName name="_xlnm.Print_Area" localSheetId="0">'Címrend'!$A$1:$B$18</definedName>
    <definedName name="Excel_BuiltIn_Print_Area" localSheetId="1">'1 kiem'!$A$1:$D$31</definedName>
    <definedName name="Excel_BuiltIn_Print_Area" localSheetId="2">'2 Össz'!$A$1:$E$155</definedName>
    <definedName name="Excel_BuiltIn_Print_Area" localSheetId="7">'7 Önk'!$B$1:$AZ$131</definedName>
    <definedName name="_4._sz._sor_részletezése">#REF!</definedName>
    <definedName name="Excel_BuiltIn_Print_Area" localSheetId="10">'10 Járób'!$B$1:$F$134</definedName>
    <definedName name="Excel_BuiltIn_Print_Area" localSheetId="11">'11 Szoci'!$B$1:$F$134</definedName>
    <definedName name="Excel_BuiltIn_Print_Area" localSheetId="12">'12 Ovi'!$B$1:$F$134</definedName>
    <definedName name="Excel_BuiltIn_Print_Area" localSheetId="13">'13 Művház'!$B$1:$F$134</definedName>
    <definedName name="Excel_BuiltIn_Print_Area" localSheetId="14">'14 Könyvt'!$B$1:$F$134</definedName>
    <definedName name="Excel_BuiltIn_Print_Area" localSheetId="15">'15 létszám'!$A$1:$S$37</definedName>
    <definedName name="Excel_BuiltIn_Print_Area" localSheetId="16">'16 szociális kiad'!$B$1:$D$27</definedName>
    <definedName name="Excel_BuiltIn_Print_Area" localSheetId="17">'17 hitelek'!$B$1:$E$84</definedName>
    <definedName name="Excel_BuiltIn_Print_Area" localSheetId="3">'3 Adók és tám'!$B$1:$D$80</definedName>
    <definedName name="Excel_BuiltIn_Print_Area" localSheetId="4">'4 Átvett és Felh bev'!$B$1:$E$97</definedName>
    <definedName name="Excel_BuiltIn_Print_Area" localSheetId="5">'5 Beruh kiad'!$B$1:$E$81</definedName>
    <definedName name="Excel_BuiltIn_Print_Area" localSheetId="6">'6 Tart'!$B$1:$F$26</definedName>
    <definedName name="Excel_BuiltIn_Print_Area" localSheetId="8">'8 PH'!$B$1:$F$134</definedName>
    <definedName name="Excel_BuiltIn_Print_Area" localSheetId="9">'9 VGIG'!$B$1:$F$134</definedName>
    <definedName name="pr232" localSheetId="18">'18 TÖBB ÉVES'!$A$16</definedName>
    <definedName name="pr232" localSheetId="21">'21 MÉRLEG'!#REF!</definedName>
    <definedName name="pr232" localSheetId="23">'23 GÖRDÜLŐ'!#REF!</definedName>
    <definedName name="pr233" localSheetId="18">'18 TÖBB ÉVES'!$A$17</definedName>
    <definedName name="pr233" localSheetId="21">'21 MÉRLEG'!#REF!</definedName>
    <definedName name="pr233" localSheetId="23">'23 GÖRDÜLŐ'!#REF!</definedName>
    <definedName name="pr234" localSheetId="18">'18 TÖBB ÉVES'!$A$18</definedName>
    <definedName name="pr234" localSheetId="21">'21 MÉRLEG'!#REF!</definedName>
    <definedName name="pr234" localSheetId="23">'23 GÖRDÜLŐ'!#REF!</definedName>
    <definedName name="pr235" localSheetId="18">'18 TÖBB ÉVES'!$A$19</definedName>
    <definedName name="pr235" localSheetId="21">'21 MÉRLEG'!#REF!</definedName>
    <definedName name="pr235" localSheetId="23">'23 GÖRDÜLŐ'!#REF!</definedName>
    <definedName name="pr236" localSheetId="18">'18 TÖBB ÉVES'!$A$20</definedName>
    <definedName name="pr236" localSheetId="21">'21 MÉRLEG'!#REF!</definedName>
    <definedName name="pr236" localSheetId="23">'23 GÖRDÜLŐ'!#REF!</definedName>
    <definedName name="pr312" localSheetId="18">'18 TÖBB ÉVES'!#REF!</definedName>
    <definedName name="pr312" localSheetId="21">'21 MÉRLEG'!#REF!</definedName>
    <definedName name="pr312" localSheetId="23">'23 GÖRDÜLŐ'!#REF!</definedName>
    <definedName name="pr313" localSheetId="18">'18 TÖBB ÉVES'!$A$4</definedName>
    <definedName name="pr313" localSheetId="21">'21 MÉRLEG'!#REF!</definedName>
    <definedName name="pr313" localSheetId="23">'23 GÖRDÜLŐ'!#REF!</definedName>
    <definedName name="pr314" localSheetId="18">'18 TÖBB ÉVES'!#REF!</definedName>
    <definedName name="pr314" localSheetId="21">'21 MÉRLEG'!#REF!</definedName>
    <definedName name="pr314" localSheetId="23">'23 GÖRDÜLŐ'!#REF!</definedName>
    <definedName name="pr315" localSheetId="18">'18 TÖBB ÉVES'!$A$12</definedName>
    <definedName name="pr315" localSheetId="21">'21 MÉRLEG'!#REF!</definedName>
    <definedName name="pr315" localSheetId="23">'23 GÖRDÜLŐ'!$A$5</definedName>
    <definedName name="pr347" localSheetId="23">'23 GÖRDÜLŐ'!$G$7</definedName>
    <definedName name="pr348" localSheetId="23">'23 GÖRDÜLŐ'!$G$8</definedName>
    <definedName name="pr349" localSheetId="23">'23 GÖRDÜLŐ'!$G$9</definedName>
    <definedName name="pr54" localSheetId="0">'Címrend'!$B$29</definedName>
    <definedName name="pr55" localSheetId="0">'Címrend'!$B$30</definedName>
    <definedName name="pr56" localSheetId="0">'Címrend'!$B$31</definedName>
    <definedName name="pr57" localSheetId="0">'Címrend'!$B$32</definedName>
    <definedName name="pr58" localSheetId="0">'Címrend'!$B$33</definedName>
    <definedName name="pr59" localSheetId="0">'Címrend'!$B$34</definedName>
    <definedName name="pr60" localSheetId="0">'Címrend'!#REF!</definedName>
    <definedName name="pr61" localSheetId="0">'Címrend'!$B$36</definedName>
    <definedName name="pr62" localSheetId="0">'Címrend'!$B$37</definedName>
    <definedName name="pr63" localSheetId="0">'Címrend'!$B$38</definedName>
    <definedName name="pr64" localSheetId="0">'Címrend'!$B$39</definedName>
    <definedName name="pr65" localSheetId="0">'Címrend'!$B$40</definedName>
    <definedName name="pr66" localSheetId="0">'Címrend'!$B$41</definedName>
    <definedName name="pr67" localSheetId="0">'Címrend'!$B$42</definedName>
    <definedName name="pr68" localSheetId="0">'Címrend'!$B$43</definedName>
    <definedName name="pr69" localSheetId="0">'Címrend'!$B$44</definedName>
    <definedName name="pr70" localSheetId="0">'Címrend'!$B$45</definedName>
    <definedName name="pr71" localSheetId="0">'Címrend'!$B$46</definedName>
    <definedName name="pr72" localSheetId="0">'Címrend'!$B$47</definedName>
    <definedName name="pr73" localSheetId="0">'Címrend'!$B$48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D98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Ezt módosítani ha kell</t>
        </r>
      </text>
    </comment>
    <comment ref="G98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Ezt módosítani ha kell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J13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Szoc segély dologi ktg 3500eFt</t>
        </r>
      </text>
    </comment>
    <comment ref="J50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Ivóvíz önerőtám</t>
        </r>
      </text>
    </comment>
    <comment ref="K50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Ivóvíz önerőtám</t>
        </r>
      </text>
    </comment>
  </commentList>
</comments>
</file>

<file path=xl/sharedStrings.xml><?xml version="1.0" encoding="utf-8"?>
<sst xmlns="http://schemas.openxmlformats.org/spreadsheetml/2006/main" count="4496" uniqueCount="841">
  <si>
    <t xml:space="preserve">Barcs Város Önkormányzata </t>
  </si>
  <si>
    <t>C Í M R E N D J E</t>
  </si>
  <si>
    <t>Barcsi Polgármesteri Hivatal</t>
  </si>
  <si>
    <t>Barcs Városi Önkormányzat Városgazdálkodási Igazgatósága</t>
  </si>
  <si>
    <t>Kistérségi Járóbetegellátó Központ</t>
  </si>
  <si>
    <t>Barcsi Szociális Központ</t>
  </si>
  <si>
    <t>Barcs Város Óvodája és Bölcsődéje</t>
  </si>
  <si>
    <t>Móricz Zsigmond Művelődési Központ és Dráva Közérdekű Múzeális kiállítóhely</t>
  </si>
  <si>
    <t>Barcsi Városi Könyvtár</t>
  </si>
  <si>
    <r>
      <t xml:space="preserve">1. melléklet </t>
    </r>
    <r>
      <rPr>
        <b/>
        <vertAlign val="superscript"/>
        <sz val="12"/>
        <color indexed="8"/>
        <rFont val="Times New Roman"/>
        <family val="1"/>
      </rPr>
      <t>(1)</t>
    </r>
  </si>
  <si>
    <t>a  4/2015.(II.26.) önkormányzati rendelethez</t>
  </si>
  <si>
    <t>Barcs Város Önkormányzata 2015. évi költségvetése</t>
  </si>
  <si>
    <t>Az egységes rovatrend szerint a kiemelt kiadási és bevételi jogcímek (E Ft)</t>
  </si>
  <si>
    <t>Eredeti előirányzat</t>
  </si>
  <si>
    <t>Módosított előirányzat</t>
  </si>
  <si>
    <t>Rovat megnevezése</t>
  </si>
  <si>
    <t>Kötelező feladatok</t>
  </si>
  <si>
    <t>Önként vállalt feladatok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</si>
  <si>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</si>
  <si>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</si>
  <si>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</si>
  <si>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</si>
  <si>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</si>
  <si>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</si>
  <si>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</si>
  <si>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</si>
  <si>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</si>
  <si>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</si>
  <si>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</si>
  <si>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</si>
  <si>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</si>
  <si>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</si>
  <si>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</si>
  <si>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</si>
  <si>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</si>
  <si>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</si>
  <si>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</si>
  <si>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</si>
  <si>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</si>
  <si>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</si>
  <si>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r>
      <t xml:space="preserve">2. melléklet </t>
    </r>
    <r>
      <rPr>
        <b/>
        <vertAlign val="superscript"/>
        <sz val="12"/>
        <color indexed="8"/>
        <rFont val="Times New Roman"/>
        <family val="1"/>
      </rPr>
      <t>(1)</t>
    </r>
  </si>
  <si>
    <t>Kiadások - Bevételek (EFt)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</si>
  <si>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</si>
  <si>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</si>
  <si>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</si>
  <si>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</si>
  <si>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</si>
  <si>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</si>
  <si>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</si>
  <si>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</si>
  <si>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</si>
  <si>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</si>
  <si>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</si>
  <si>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</si>
  <si>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</si>
  <si>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</si>
  <si>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</si>
  <si>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</si>
  <si>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</si>
  <si>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</si>
  <si>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</si>
  <si>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>Dologi kiadások összesen</t>
  </si>
  <si>
    <t>K3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</si>
  <si>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</si>
  <si>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</si>
  <si>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</si>
  <si>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</si>
  <si>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</si>
  <si>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</si>
  <si>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</si>
  <si>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</si>
  <si>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</si>
  <si>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</si>
  <si>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</si>
  <si>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</si>
  <si>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áht-n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</si>
  <si>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</si>
  <si>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</si>
  <si>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</si>
  <si>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</si>
  <si>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</si>
  <si>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Árkiegészítések, ártámogatások</t>
  </si>
  <si>
    <t>K509</t>
  </si>
  <si>
    <t>Kamattámogatások</t>
  </si>
  <si>
    <t>K510</t>
  </si>
  <si>
    <t>Működési célú támogatások EU-nak</t>
  </si>
  <si>
    <t>K511</t>
  </si>
  <si>
    <t>Egyéb működési célú támogatások államháztartáson kívülre</t>
  </si>
  <si>
    <t>K512</t>
  </si>
  <si>
    <t>Tartalékok-általános</t>
  </si>
  <si>
    <t>K513</t>
  </si>
  <si>
    <t>Tartalékok-cél</t>
  </si>
  <si>
    <t>Egyéb működési célú kiadások összesen</t>
  </si>
  <si>
    <t>K5</t>
  </si>
  <si>
    <t>Működési költségvetés előirányzat csoport összesen</t>
  </si>
  <si>
    <t>K1+..+K5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</si>
  <si>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</si>
  <si>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</si>
  <si>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</si>
  <si>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</si>
  <si>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</si>
  <si>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</si>
  <si>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</si>
  <si>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</si>
  <si>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</si>
  <si>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</si>
  <si>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</si>
  <si>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</si>
  <si>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</si>
  <si>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</si>
  <si>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összesen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</si>
  <si>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</si>
  <si>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</si>
  <si>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</si>
  <si>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</si>
  <si>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</si>
  <si>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</si>
  <si>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</si>
  <si>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</si>
  <si>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</si>
  <si>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összesen</t>
  </si>
  <si>
    <t>K7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</si>
  <si>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</si>
  <si>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</si>
  <si>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</si>
  <si>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</si>
  <si>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támogatások, kölcsönök törlesztése áht-n belülre</t>
  </si>
  <si>
    <t>K83</t>
  </si>
  <si>
    <t>Egyéb felhalmozási célú támogatások áht-n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</si>
  <si>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</si>
  <si>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</si>
  <si>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</si>
  <si>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</si>
  <si>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</si>
  <si>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</si>
  <si>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</si>
  <si>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 xml:space="preserve">Felhalmozási célú támogatások az EU-nak </t>
  </si>
  <si>
    <t>K88</t>
  </si>
  <si>
    <t xml:space="preserve">Egyéb felhalmozási célú támogatások államháztartáson kívülre </t>
  </si>
  <si>
    <t>K89</t>
  </si>
  <si>
    <t>Egyéb felhalmozási célú kiadások összesen</t>
  </si>
  <si>
    <t>K8</t>
  </si>
  <si>
    <t>Felhalmozási költségvetés előirányzat csoport összesen</t>
  </si>
  <si>
    <t>K6+..+K8</t>
  </si>
  <si>
    <t>Költségvetési kiadások összesen</t>
  </si>
  <si>
    <t>K1+..+K8</t>
  </si>
  <si>
    <t>Hosszú lejáratú hitelek, kölcsönök törlesztése FELHALMOZÁSRA</t>
  </si>
  <si>
    <t>K9111</t>
  </si>
  <si>
    <t>Likviditási célú hitelek, kölcsönök törlesztése pénzügyi vállalkozásnak</t>
  </si>
  <si>
    <t>K9112</t>
  </si>
  <si>
    <t>Rövid lejáratú hitelek, kölcsönök törlesztése MŰKÖDÉSRE</t>
  </si>
  <si>
    <t>K9113</t>
  </si>
  <si>
    <t>Hitel-, kölcsöntörlesztés államháztartáson kívülre összesen</t>
  </si>
  <si>
    <t>K911</t>
  </si>
  <si>
    <t>Belföldi értékpapírok kiadásai összesen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</si>
  <si>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</si>
  <si>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</si>
  <si>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</si>
  <si>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</si>
  <si>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</si>
  <si>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</si>
  <si>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</si>
  <si>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</si>
  <si>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</si>
  <si>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</si>
  <si>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</si>
  <si>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</si>
  <si>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</si>
  <si>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kölcsönök kiadásai</t>
  </si>
  <si>
    <t>K919</t>
  </si>
  <si>
    <t>Belföldi finanszírozás kiadásai összesen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</si>
  <si>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</si>
  <si>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</si>
  <si>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</si>
  <si>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</si>
  <si>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</si>
  <si>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</si>
  <si>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</si>
  <si>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>Finanszírozási kiadások összesen</t>
  </si>
  <si>
    <t>K9</t>
  </si>
  <si>
    <t xml:space="preserve">KIADÁSOK ÖSSZESEN </t>
  </si>
  <si>
    <t>K1+..+K9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</si>
  <si>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</si>
  <si>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</si>
  <si>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</si>
  <si>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</si>
  <si>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</si>
  <si>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</si>
  <si>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</si>
  <si>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</si>
  <si>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</si>
  <si>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költségvetési támogatások és kiegészítések</t>
  </si>
  <si>
    <t>B115</t>
  </si>
  <si>
    <t>Elszámolásból származó bevételek</t>
  </si>
  <si>
    <t>B116</t>
  </si>
  <si>
    <t>Önkormányzatok működési támogatásai összesen</t>
  </si>
  <si>
    <t>B11</t>
  </si>
  <si>
    <t>Elvonások és befizetések bevételei</t>
  </si>
  <si>
    <t>B12</t>
  </si>
  <si>
    <t>Működési célú garancia- és kezességvállalásból származó megtérül. áht-n belülről</t>
  </si>
  <si>
    <t>B13</t>
  </si>
  <si>
    <t>Működési célú visszatérítendő támogatások, kölcsönök visszatérülése áht-n belülről</t>
  </si>
  <si>
    <t>B14</t>
  </si>
  <si>
    <t>Működési célú visszatérítendő támogatások, kölcsönök igénybevétele áht-n belülről</t>
  </si>
  <si>
    <t>B15</t>
  </si>
  <si>
    <t>Egyéb működési célú támogatások bevételei államháztartáson belülről</t>
  </si>
  <si>
    <t>B16</t>
  </si>
  <si>
    <t>Működési célú támogatások államháztartáson belülről összesen</t>
  </si>
  <si>
    <t>B1</t>
  </si>
  <si>
    <t xml:space="preserve">Felhalmozási célú támogatások államháztartáson belülről </t>
  </si>
  <si>
    <t>B2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</si>
  <si>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</si>
  <si>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</si>
  <si>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</si>
  <si>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</si>
  <si>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</si>
  <si>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</si>
  <si>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</si>
  <si>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</si>
  <si>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</si>
  <si>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</si>
  <si>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</si>
  <si>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</si>
  <si>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>Közhatalmi bevételek összesen</t>
  </si>
  <si>
    <t>B3</t>
  </si>
  <si>
    <t>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</si>
  <si>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</si>
  <si>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</si>
  <si>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</si>
  <si>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</si>
  <si>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</si>
  <si>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</si>
  <si>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</si>
  <si>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</si>
  <si>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</si>
  <si>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</si>
  <si>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</si>
  <si>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</si>
  <si>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</si>
  <si>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</si>
  <si>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</si>
  <si>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</si>
  <si>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</si>
  <si>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</si>
  <si>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</si>
  <si>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</si>
  <si>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</si>
  <si>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>Működési bevételek összesen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</si>
  <si>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</si>
  <si>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</si>
  <si>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</si>
  <si>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</si>
  <si>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</si>
  <si>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</si>
  <si>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</si>
  <si>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</si>
  <si>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</si>
  <si>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</si>
  <si>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</si>
  <si>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</si>
  <si>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B5</t>
  </si>
  <si>
    <t xml:space="preserve">Működési célú átvett pénzeszközök </t>
  </si>
  <si>
    <t>B6</t>
  </si>
  <si>
    <t>Felhalm.célú garancia- és kezességvállalásból származó megtérülések áht-n kívülről</t>
  </si>
  <si>
    <t>B71</t>
  </si>
  <si>
    <t>Felhalm.célú visszatérítendő támogatások, kölcsönök visszatérülése EU-tól</t>
  </si>
  <si>
    <t>B72</t>
  </si>
  <si>
    <t>Felhalm.célú garancia- és kezességvállalásból származó megtérülések kormánytól és más nemzetközi szervezettől</t>
  </si>
  <si>
    <t>B73</t>
  </si>
  <si>
    <t>Felhalm.célú visszatérítendő támogatások, kölcsönök visszatérülése áht-n kívülről</t>
  </si>
  <si>
    <t>B74</t>
  </si>
  <si>
    <t>Egyéb felhalmozási célú átvett pénzeszközök</t>
  </si>
  <si>
    <t>B75</t>
  </si>
  <si>
    <t>Felhalmozási célú átvett pénzeszközök összesen</t>
  </si>
  <si>
    <t>B7</t>
  </si>
  <si>
    <t>Költségvetési bevételek összesen</t>
  </si>
  <si>
    <t>B1+..+B7</t>
  </si>
  <si>
    <t xml:space="preserve">  MŰKÖDÉSI költségvetési egyenleg (B1+B3+B4+B6) - (K1+K2+K3+K4+K5)</t>
  </si>
  <si>
    <t xml:space="preserve">  FELHALMOZÁSI költségvetési egyenleg (B2+B5+B7) - (K6+K7+K8)</t>
  </si>
  <si>
    <t>Hosszú lejáratú hitelek, kölcsönök felvétele FELHALMOZÁSRA</t>
  </si>
  <si>
    <t>B8111</t>
  </si>
  <si>
    <t>Likviditási célú hitelek, kölcsönök felvétele pénzügyi váll.-tól FELHALMO</t>
  </si>
  <si>
    <t>B8112</t>
  </si>
  <si>
    <t>Rövid lejáratú hitelek, kölcsönök felvétele  MŰKÖDÉSRE</t>
  </si>
  <si>
    <t>B8113</t>
  </si>
  <si>
    <t>Hitel-, kölcsönfelvétel pénzügyi vállalkozástól összesen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</si>
  <si>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</si>
  <si>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</si>
  <si>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</si>
  <si>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</si>
  <si>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</si>
  <si>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</si>
  <si>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</si>
  <si>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</si>
  <si>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</si>
  <si>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>Belföldi értékpapírok bevételei összesen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</si>
  <si>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</si>
  <si>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</si>
  <si>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</si>
  <si>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</si>
  <si>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</si>
  <si>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</si>
  <si>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</si>
  <si>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</si>
  <si>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</si>
  <si>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</si>
  <si>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</si>
  <si>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</si>
  <si>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</si>
  <si>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</si>
  <si>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</si>
  <si>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</si>
  <si>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</si>
  <si>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</si>
  <si>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</si>
  <si>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</si>
  <si>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</si>
  <si>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Belföldi finanszírozás bevételei összesen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</si>
  <si>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</si>
  <si>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</si>
  <si>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</si>
  <si>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</si>
  <si>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</si>
  <si>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</si>
  <si>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</si>
  <si>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összesen</t>
  </si>
  <si>
    <t>B8</t>
  </si>
  <si>
    <t xml:space="preserve">BEVÉTELEK ÖSSZESEN </t>
  </si>
  <si>
    <t>B1+..+B8</t>
  </si>
  <si>
    <t>Költségvetési hiány / többlet  (B1+..B7) - (K1+..+K8)</t>
  </si>
  <si>
    <t>Finanszírozási hiány / többlet  B8 - K9</t>
  </si>
  <si>
    <t>Működési hiány / többlet  (B1+B3+B4+B6+B8134+B8113) - (K1+K2+K3+K4+K5+K9113)</t>
  </si>
  <si>
    <t>Felhalmozási hiány / többlet (B2+B5+B7+B8111) - (K6+K7+K8+K9111)</t>
  </si>
  <si>
    <t>Bevétel - Kiadás</t>
  </si>
  <si>
    <r>
      <t xml:space="preserve">3 .melléklet </t>
    </r>
    <r>
      <rPr>
        <b/>
        <vertAlign val="superscript"/>
        <sz val="12"/>
        <color indexed="8"/>
        <rFont val="Times New Roman"/>
        <family val="1"/>
      </rPr>
      <t>(1)</t>
    </r>
  </si>
  <si>
    <t>Helyi adó, egyéb közhatalmi bevételek és a működési támogatások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</si>
  <si>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</si>
  <si>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</si>
  <si>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</si>
  <si>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</si>
  <si>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Vagyoni tipusú adók összesen</t>
  </si>
  <si>
    <t xml:space="preserve">Értékesítési és forgalmi adók </t>
  </si>
  <si>
    <t>B351</t>
  </si>
  <si>
    <t>ebből: állandó jelleggel végzett iparűzési tevékenység után fizetett helyi iparűzési adó</t>
  </si>
  <si>
    <t>ebből: ideiglenes jelleggel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</si>
  <si>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</si>
  <si>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</si>
  <si>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</si>
  <si>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</si>
  <si>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</si>
  <si>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</si>
  <si>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</si>
  <si>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</si>
  <si>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</si>
  <si>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</si>
  <si>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>Termékek és szolgáltatások adói  összesen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</si>
  <si>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</si>
  <si>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</si>
  <si>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</si>
  <si>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</si>
  <si>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</si>
  <si>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</si>
  <si>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</si>
  <si>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</si>
  <si>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</si>
  <si>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egyéb bírság</t>
  </si>
  <si>
    <t>Egyéb közhatalmi bevételek összesen</t>
  </si>
  <si>
    <t>Önkormányzati hivatal működési támogatása</t>
  </si>
  <si>
    <t>Települési üzemeltetéshez kapcsolódó 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</si>
  <si>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</si>
  <si>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</si>
  <si>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</si>
  <si>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</si>
  <si>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Határátkelőhelyek fenntartásának támogatása</t>
  </si>
  <si>
    <t>Hozzájárulás a pénzbeli szociális ellátásokhoz (visszaigénylés)</t>
  </si>
  <si>
    <t>Helyi önkormányzatok működésének általános támogatása összesen</t>
  </si>
  <si>
    <t>Óvodapedagógusok bértámogatása</t>
  </si>
  <si>
    <t>Óvodapedagógusok munkáját közvetlenül segítől bértámogatása</t>
  </si>
  <si>
    <t>Óvoda működtetési támogatás</t>
  </si>
  <si>
    <t>Óvodapedagógusok kiegészítő támogatása</t>
  </si>
  <si>
    <t>Szociális feladatok egyéb támogatása</t>
  </si>
  <si>
    <t>Települési önkormányzatok egyes köznevelési feladatainak támogatása összesen</t>
  </si>
  <si>
    <t>Családsegítés</t>
  </si>
  <si>
    <t>Gyermekjóléti szolgálat</t>
  </si>
  <si>
    <t>Szociális étkeztetés</t>
  </si>
  <si>
    <t>Házi segítségnyújtás</t>
  </si>
  <si>
    <t>Időskorúak nappali intézményi ellátása</t>
  </si>
  <si>
    <t>Bölcsődei ellátás</t>
  </si>
  <si>
    <t>Szakmai dolgozók bértámogatás</t>
  </si>
  <si>
    <t>Intézmény üzemeltetési támogatása</t>
  </si>
  <si>
    <t>Gyermekétkeztetésben dolgozók bértámogatása</t>
  </si>
  <si>
    <t>Gyermekétkeztetés üzemeltetési támogatása</t>
  </si>
  <si>
    <t>Szociális ágazati pótlék</t>
  </si>
  <si>
    <t>Települési önkormányzatok szociális és gyermekjóléti  feladatainak támogatása összesen</t>
  </si>
  <si>
    <t>Könyvtár, közművelődés támogatás</t>
  </si>
  <si>
    <t>Települési önkormányzatok kulturális feladatainak támogatása összesen</t>
  </si>
  <si>
    <t>Üdülőhelyi feladatok támogatása</t>
  </si>
  <si>
    <t>Települési önkormányzatok köznevelési támogatása</t>
  </si>
  <si>
    <t>Államháztartáson belüli megelőlegezések (0. havi nettósítás)</t>
  </si>
  <si>
    <t>Lakott külterületi feladatok támogatása</t>
  </si>
  <si>
    <t>Lakossági víz és csatornaszolgáltatás támogatása</t>
  </si>
  <si>
    <t>Ágazati pótlék</t>
  </si>
  <si>
    <t>Bérkompenzáció</t>
  </si>
  <si>
    <t>Önkormányzatok működőképessége megőrzését szolgáló támogatás</t>
  </si>
  <si>
    <t>Működési célú költségvetési támogatások és kiegészítések összesen</t>
  </si>
  <si>
    <t>Elszámolásból származó bevételek összesen</t>
  </si>
  <si>
    <r>
      <t xml:space="preserve">4 .melléklet </t>
    </r>
    <r>
      <rPr>
        <b/>
        <vertAlign val="superscript"/>
        <sz val="12"/>
        <color indexed="8"/>
        <rFont val="Times New Roman"/>
        <family val="1"/>
      </rPr>
      <t>(1)</t>
    </r>
  </si>
  <si>
    <t>Támogatások, kölcsönök bevételei és a felhalmozási bevételek (E Ft)</t>
  </si>
  <si>
    <t>Kötelező feladat</t>
  </si>
  <si>
    <t>Önkéntvállalt feladat</t>
  </si>
  <si>
    <t>Működési célú visszatérítendő támogatások, kölcsönök visszatérülése államháztartáson belülről összesen</t>
  </si>
  <si>
    <t>Működési célú visszatérítendő támogatások, kölcsönök igénybevétele államháztartáson belülről összesen</t>
  </si>
  <si>
    <t>ÁROP-1.A.5-2013-2013-0079 Szervezetfejlesztés Barcson</t>
  </si>
  <si>
    <t>B16131</t>
  </si>
  <si>
    <t>Fejezeti kezelésű előirányzatok EU-s programok és azok hazai társfinanszírozása összesen</t>
  </si>
  <si>
    <t>Önkormányzatok térítése Jelzőrendszeres házi segítségnyújtáshoz</t>
  </si>
  <si>
    <t>B1616</t>
  </si>
  <si>
    <t>Települési hozzájárulás szociális alapszolgáltatáshoz</t>
  </si>
  <si>
    <t>Jelzőrendszeres házi segítségnyújtás támogatás pályázat</t>
  </si>
  <si>
    <t>Pszichiátriai betegek ellátásának támogatása</t>
  </si>
  <si>
    <t>Helyi önkormányzatok és költségvetési szerveiktől összesen</t>
  </si>
  <si>
    <t>Egyéb működési célú támogatások bevételei államháztartáson belülről összesen</t>
  </si>
  <si>
    <t>Muzeális intézmények szakmai támogatása</t>
  </si>
  <si>
    <t>B21</t>
  </si>
  <si>
    <t>Közművelődési érdekeltségnövelő támogatás</t>
  </si>
  <si>
    <t>Vis maior támogatás</t>
  </si>
  <si>
    <t>Ravatalozó kialakítása a Béke utcai temetőbe Önerőalap támogatás</t>
  </si>
  <si>
    <t>Barcs Város közvilágításának korszerűsítése Önerőalap támogatás</t>
  </si>
  <si>
    <t>Háziorvosi szolgálat és fogászati szakellátás minőségi javítása Önerőalap támogatás</t>
  </si>
  <si>
    <t>Bajcsy-Zs u. 72 (Volt SZTK) épületének átalakítása és közterület rendezése Önerőalap támogatás</t>
  </si>
  <si>
    <t>Horvát-Magyar CBC program, Turisztikai célú kerékpárút fejlesztés Önerőalap támogatás</t>
  </si>
  <si>
    <t>Ivóvíz minőség javítási program Önerőalap támogatás</t>
  </si>
  <si>
    <t>Felhalmozási célú önkormányzati támogatások összesen</t>
  </si>
  <si>
    <t>Felhalmozási célú visszatérítendő támogatások, kölcsönök visszatérülése államháztartáson belülről összesen</t>
  </si>
  <si>
    <t>B23</t>
  </si>
  <si>
    <t>Felhalmozási célú visszatérítendő támogatások, kölcsönök igénybevétele államháztartáson belülről összesen</t>
  </si>
  <si>
    <t>B24</t>
  </si>
  <si>
    <t>Barcs Város területén belterületi utak és járdák felújítása</t>
  </si>
  <si>
    <t>B251</t>
  </si>
  <si>
    <t>VII. tagóvoda (Szent István u.) felújítása</t>
  </si>
  <si>
    <t>Tavasz u. 3. szám alatti konyha felújítása</t>
  </si>
  <si>
    <t>Művelődési Központ közösségi színterének karbantartása</t>
  </si>
  <si>
    <t>Városi PIAC épületének korszerűsítése</t>
  </si>
  <si>
    <t>Első Világháborús Emlékmű felújítása</t>
  </si>
  <si>
    <t>Központi költségvetési szervek összesen</t>
  </si>
  <si>
    <t>Barcsi Szociális Központ fejlesztése</t>
  </si>
  <si>
    <t>B252</t>
  </si>
  <si>
    <t>Barcs Város közvilágításának korszerűsítése</t>
  </si>
  <si>
    <t>Horvát-Magyar CBC program, Turisztikai célú kerékpárút fejlesztés</t>
  </si>
  <si>
    <t>Ravatalozó kialakítása a Béke utcai temetőbe</t>
  </si>
  <si>
    <t>Barcsi Polgármesteri Hivatal épületeinek épületenergetikai fejlesztése</t>
  </si>
  <si>
    <t>Barcsi Gyógyfürdő és Rekreációs Központ napelem rendszer kialakítása</t>
  </si>
  <si>
    <t>Bajcsy-Zs u. 72 (Volt SZTK) épületének átalakítása és közterület rendezése</t>
  </si>
  <si>
    <t>Háziorvosi szolgálat és fogászati szakellátás minőségi javítása</t>
  </si>
  <si>
    <t>Móricz Zsigmond Művelődési Központ moziterem felújítása, külső térrendezés</t>
  </si>
  <si>
    <t>Egyéb felhalmozási célú támogatások bevételei államháztartáson belülről összesen</t>
  </si>
  <si>
    <t>B25</t>
  </si>
  <si>
    <t>Felhalmozási célú támogatások államháztartáson belülről összesen</t>
  </si>
  <si>
    <t>Működési célú visszatérítendő támogatások, kölcsönök visszatérülése EU-tól összesen</t>
  </si>
  <si>
    <t>B62</t>
  </si>
  <si>
    <t>Működési célú visszatérítendő támogatások, kölcsönök visszatérülése kormánytól és más nemzetközi szervezettől összen</t>
  </si>
  <si>
    <t>B63</t>
  </si>
  <si>
    <t>Felhalmozási célú visszatérítendő támogatások, kölcsönök visszatérülése EU-tól összesen</t>
  </si>
  <si>
    <t>Felhalmozási célú visszatérítendő támogatások, kölcsönök visszatérülése kormánytól és más nemzetközi szervezettől összen</t>
  </si>
  <si>
    <t xml:space="preserve"> </t>
  </si>
  <si>
    <t>Előző év költségvetési maradványának igénybevétele FELHALMOZÁSRA  összesen</t>
  </si>
  <si>
    <t>Immateriális javak értékesítése összesen</t>
  </si>
  <si>
    <t>Önkormányzati ingatlanok értékesítése</t>
  </si>
  <si>
    <t>Építési telkek értékesítése</t>
  </si>
  <si>
    <t>Otthonházi lakásokértékesítése</t>
  </si>
  <si>
    <t>Önkormányzati bérlakások értékesítése</t>
  </si>
  <si>
    <t>Ingatlanok értékesítése összesen</t>
  </si>
  <si>
    <t>Gépjármű értékesítés</t>
  </si>
  <si>
    <t>Egyéb tárgyi eszközök értékesítése összesen</t>
  </si>
  <si>
    <t>Részesedések értékesítése összesen</t>
  </si>
  <si>
    <t>Részesedések megszűnéséhez kapcsolódó bevételek összesen</t>
  </si>
  <si>
    <t>Felhalmozási bevételek mindösszesen</t>
  </si>
  <si>
    <r>
      <t xml:space="preserve">5 .melléklet </t>
    </r>
    <r>
      <rPr>
        <b/>
        <vertAlign val="superscript"/>
        <sz val="12"/>
        <color indexed="8"/>
        <rFont val="Times New Roman"/>
        <family val="1"/>
      </rPr>
      <t>(1)</t>
    </r>
  </si>
  <si>
    <t>Beruházások és felújítások (E Ft)</t>
  </si>
  <si>
    <t>Számítógéphez (Ph.) WIN 8.1 szoftver beszerzése</t>
  </si>
  <si>
    <t>Laptopokhoz WIN 8.1 szoftver beszerzése képviselőknek</t>
  </si>
  <si>
    <t>Immateriális javak beszerzése, létesítése összesen</t>
  </si>
  <si>
    <t>Telek vásárlások</t>
  </si>
  <si>
    <t>Egyéb épület beszerzés( Drávaparti kikötő)</t>
  </si>
  <si>
    <t>Bajcsy-Zs. 30. épület vásárlás (Szoc.központ mellett)</t>
  </si>
  <si>
    <t>Ingatlanok beszerzése, létesítése  összesen</t>
  </si>
  <si>
    <t>Számítógép beszerzés (Ph.)</t>
  </si>
  <si>
    <t>Monitor beszerzés (Ph.)</t>
  </si>
  <si>
    <t>Laptopok beszerzése képviselőknek</t>
  </si>
  <si>
    <t>Informatikai eszközök beszerzése, létesítése összesen</t>
  </si>
  <si>
    <t>Jármű beszerzés (Kisbusz)</t>
  </si>
  <si>
    <t>Szavazó rendszer (Tanácskozóterem)</t>
  </si>
  <si>
    <t>Egyéb tárgyi eszközök beszerzése, létesítése összesen</t>
  </si>
  <si>
    <t>Részesedések beszerzése összesen</t>
  </si>
  <si>
    <t>Meglévő részesedések növeléséhez kapcsolódó kiadások összesen</t>
  </si>
  <si>
    <t>Számítógéphez (Ph.) WIN 8.1 szoftver beszerzése ÁFA</t>
  </si>
  <si>
    <t>Számítógép beszerzés (Ph.) ÁFA</t>
  </si>
  <si>
    <t>Monitor beszerzés (Ph.) ÁFA</t>
  </si>
  <si>
    <t>Bajcsy-Zs. 30. épület vásárvás (Szoc.központ mellett) ÁFA</t>
  </si>
  <si>
    <t>Barcsi Gyógyfürdő és Rekreációs Központ napelem rendszer kialakítása ÁFA</t>
  </si>
  <si>
    <t>Laptopokhoz WIN 8.1 szoftver beszerzése képviselőknek ÁFA</t>
  </si>
  <si>
    <t>Laptopok beszerzése képviselőknek ÁFA</t>
  </si>
  <si>
    <t>Szavazó rendszer (Tanácskozóterem) ÁFA</t>
  </si>
  <si>
    <t>Beruházási célú előzetesen felszámított általános forgalmi adó összesen</t>
  </si>
  <si>
    <t>Beruházások mindösszesen</t>
  </si>
  <si>
    <t>Kemping kialakítása a Szabadstrandon</t>
  </si>
  <si>
    <t>Városi PIAC tetőszerkezetének felújítása</t>
  </si>
  <si>
    <t>Ingatlanok felújítása összesen</t>
  </si>
  <si>
    <t>Informatikai eszközök felújítása összesen</t>
  </si>
  <si>
    <t>Egyéb tárgyi eszközök felújítása összesen</t>
  </si>
  <si>
    <t>Barcs Város területén belterületi utak és járdák felújítása ÁFA</t>
  </si>
  <si>
    <t>VII. tagóvoda (Szent István u.) felújítása ÁFA</t>
  </si>
  <si>
    <t>Barcsi Szociális Központ fejlesztése ÁFA</t>
  </si>
  <si>
    <t>Bajcsy-Zs u. 72 (Volt SZTK) épületének átalakítása és közterület rendezése  ÁFA</t>
  </si>
  <si>
    <t>Barcsi Polgármesteri Hivatal épületeinek épületenergetikai fejlesztése ÁFA</t>
  </si>
  <si>
    <t>Ravatalozó kialakítása a Béke utcai temetőbeÁFA</t>
  </si>
  <si>
    <t>Horvát-Magyar CBC program, Turisztikai célú kerékpárút fejlesztés ÁFA</t>
  </si>
  <si>
    <t>Kemping kialakítása a SzabadstrandonÁFA</t>
  </si>
  <si>
    <t>Móricz Zsigmond Művelődési Központ moziterem felújítása, külső térrendezés ÁFA</t>
  </si>
  <si>
    <t>Városi PIAC tetőszerkezetének felújítása ÁFA</t>
  </si>
  <si>
    <t>Barcs Város közvilágításának korszerűsítése ÁFA</t>
  </si>
  <si>
    <t>Felújítási célú előzetesen felszámított  ÁFA összesen</t>
  </si>
  <si>
    <t>Felújítások mindösszesen</t>
  </si>
  <si>
    <t>Felhalmozási kiadások mindösszesen:</t>
  </si>
  <si>
    <t>K6+K7</t>
  </si>
  <si>
    <r>
      <t xml:space="preserve">6 .melléklet </t>
    </r>
    <r>
      <rPr>
        <b/>
        <vertAlign val="superscript"/>
        <sz val="12"/>
        <color indexed="8"/>
        <rFont val="Times New Roman"/>
        <family val="1"/>
      </rPr>
      <t>(1)</t>
    </r>
  </si>
  <si>
    <t>Általános- és céltartalékok (E Ft)</t>
  </si>
  <si>
    <t>Megnevezés</t>
  </si>
  <si>
    <t>Összesen</t>
  </si>
  <si>
    <t>Önkormányzat általános gazdálkodási tartaléka működési célra</t>
  </si>
  <si>
    <t>Önkormányzat általános gazdálkodási tartaléka felhalmozási célra</t>
  </si>
  <si>
    <t>Általános tartalékok mindösszesen</t>
  </si>
  <si>
    <t>Oktatási, Művelődési, Sport Bizottság</t>
  </si>
  <si>
    <t>Jogi, Egészségügyi, Szociálpolitikai Bizottság</t>
  </si>
  <si>
    <t xml:space="preserve">Pénzügyi, Városfejlesztési Bizottság </t>
  </si>
  <si>
    <t>Polgármester saját hatáskör</t>
  </si>
  <si>
    <t xml:space="preserve"> Céltartalék működési célra összesen</t>
  </si>
  <si>
    <t xml:space="preserve"> Céltartalék felhalmozási célra összesen</t>
  </si>
  <si>
    <t>Céltartalékok mindösszesen</t>
  </si>
  <si>
    <t>Tartalékok mindösszesen:</t>
  </si>
  <si>
    <r>
      <t xml:space="preserve">7 .melléklet </t>
    </r>
    <r>
      <rPr>
        <b/>
        <vertAlign val="superscript"/>
        <sz val="12"/>
        <color indexed="8"/>
        <rFont val="Times New Roman"/>
        <family val="1"/>
      </rPr>
      <t>(1)</t>
    </r>
  </si>
  <si>
    <t>Önkormányzat 2015. évi költségvetése</t>
  </si>
  <si>
    <t>Kiadások - Bevételek (E Ft)</t>
  </si>
  <si>
    <t>Kötelező</t>
  </si>
  <si>
    <t>Önként vállalt</t>
  </si>
  <si>
    <t>Eredeti e.i</t>
  </si>
  <si>
    <t>Mód.  e.i.</t>
  </si>
  <si>
    <t>Kötelező feladatok összesen</t>
  </si>
  <si>
    <t>Önként vállalt feladatok összesen</t>
  </si>
  <si>
    <t xml:space="preserve"> Mind-összesen</t>
  </si>
  <si>
    <t>011130   Önkormányzatok és önkormányzati hivatalok jogalkotó és általános igazgatási tevékenysége</t>
  </si>
  <si>
    <t>013350                           Az önkormányzati vagyonnal való gazdálkodással kapcsolatos feladatok</t>
  </si>
  <si>
    <t>013320                   Köztemető-fenntartás és -működtetés</t>
  </si>
  <si>
    <t>041120                       Földügy igazgatása</t>
  </si>
  <si>
    <t>045160                   Közutak, hidak, alagutak üzemeltetése, fenntartása</t>
  </si>
  <si>
    <t>047410                           Ár- és belvízvédelemmel összefüggő tevékenységek</t>
  </si>
  <si>
    <t>051030                        Nem veszélyes (települési) hulladék vegyes (ömlesztett) begyűjtése, szállítása, átrakása</t>
  </si>
  <si>
    <t>063020                   Víztermelés, -kezelés, -ellátás</t>
  </si>
  <si>
    <t>066020                   Város-, községgazdálkodási egyéb szolgáltatások</t>
  </si>
  <si>
    <t>064010          Közvilágítás</t>
  </si>
  <si>
    <t>081030 Sportlétesítmények, edzőtáborok működtetése és fejlesztése</t>
  </si>
  <si>
    <t>081043                         Iskolai, diáksport-tevékenység és támogatása</t>
  </si>
  <si>
    <t>081045         Szabadidősport- (rekreációs sport-) tevékenység és támogatása</t>
  </si>
  <si>
    <t>094260                  Hallgatói és oktatói ösztöndíjak, egyéb juttatások</t>
  </si>
  <si>
    <t>046020                    Vezetékes műsorelosztás, városi és kábeltelevíziós rendszerek</t>
  </si>
  <si>
    <t>045140                         Városi és elővárosi közúti személyszállítás</t>
  </si>
  <si>
    <t>011130                       IPA 3 TOUR-Pack pályázat (Horvát-Magyar)</t>
  </si>
  <si>
    <t>081041               Versenysport- és utánpótlás-nevelési tevékenység és támogatása</t>
  </si>
  <si>
    <t>082091                  Közművelődés – közösségi és társadalmi részvétel fejlesztése</t>
  </si>
  <si>
    <t>084020                  Nemzetiségi közfeladatok ellátása és támogatása</t>
  </si>
  <si>
    <t>084031                  Civil szervezetek működési támogatása</t>
  </si>
  <si>
    <t>084040                    Egyházak közösségi és hitéleti tevékenységének támogatása</t>
  </si>
  <si>
    <t>Műk. célú garancia- és kezességváll.-ból származó kif. áht-n belülre</t>
  </si>
  <si>
    <t>Műk. célú visszatérítendő tám., kölcsönök nyújtása áht-n belülre</t>
  </si>
  <si>
    <t>Működési célú visszatérítendő tám., kölcsönök törl. áht-n belülre</t>
  </si>
  <si>
    <t>Műk.célú garancia- és kezességváll.-ból származó kif. áht-n kívülre</t>
  </si>
  <si>
    <t>Működési célú visszatérítendő tám., kölcs. nyújtása áht-n kívülre</t>
  </si>
  <si>
    <t>Felhalm. célú garancia- és kezességváll. származó kifiz. áht-n belülre</t>
  </si>
  <si>
    <t>Felhalm. célú visszatérítendő tám., kölcsönök nyújtása áht-n belülre</t>
  </si>
  <si>
    <t>Felhalm. célú visszatérítendő tám., kölcsönök törlesztése áht-n belülre</t>
  </si>
  <si>
    <t>Felhalm. célú garancia- és kezességváll. származó kif. és áht-n kívülre</t>
  </si>
  <si>
    <t>Felhalmozási célú visszatérítendő tám., kölcs. nyújtása áht-n kívülre</t>
  </si>
  <si>
    <t xml:space="preserve">Belföldi finanszírozás kiadásai </t>
  </si>
  <si>
    <t>051030                             Nem veszélyes (települési) hulladék vegyes (ömlesztett) begyűjtése, szállítása, átrakása</t>
  </si>
  <si>
    <t xml:space="preserve">Önkormányzatok működési támogatásai </t>
  </si>
  <si>
    <t>Áru- és készletértékesítés ellenértéke</t>
  </si>
  <si>
    <t xml:space="preserve">Hitel-, kölcsönfelvétel államháztartáson kívülről </t>
  </si>
  <si>
    <t xml:space="preserve">Belföldi értékpapírok bevételei </t>
  </si>
  <si>
    <t>Előző év költségvetési maradványának igénybevétele FELHALM.</t>
  </si>
  <si>
    <t>Előző év vállalkozási maradványának igénybevétele FELHALM.</t>
  </si>
  <si>
    <t>ebből Állami támogatás</t>
  </si>
  <si>
    <t>Önkormányzati hozzájárulás</t>
  </si>
  <si>
    <r>
      <t xml:space="preserve">8. melléklet </t>
    </r>
    <r>
      <rPr>
        <b/>
        <vertAlign val="superscript"/>
        <sz val="12"/>
        <color indexed="8"/>
        <rFont val="Times New Roman"/>
        <family val="1"/>
      </rPr>
      <t>(1)</t>
    </r>
  </si>
  <si>
    <t xml:space="preserve"> 2015. évi költségvetése</t>
  </si>
  <si>
    <t>Munkaadókat terhelő járulékok és szociális hozzájárulási adó</t>
  </si>
  <si>
    <t>Működési célú támogatás EU-nak</t>
  </si>
  <si>
    <t>Felhalmozási célú támogatás EU-nak</t>
  </si>
  <si>
    <t>Cofog:</t>
  </si>
  <si>
    <t>018030</t>
  </si>
  <si>
    <t>0591512 1</t>
  </si>
  <si>
    <t>ebből Állami támogatás és egyéb támogatás</t>
  </si>
  <si>
    <r>
      <t xml:space="preserve">9. melléklet </t>
    </r>
    <r>
      <rPr>
        <b/>
        <vertAlign val="superscript"/>
        <sz val="12"/>
        <color indexed="8"/>
        <rFont val="Times New Roman"/>
        <family val="1"/>
      </rPr>
      <t>(1)</t>
    </r>
  </si>
  <si>
    <t xml:space="preserve"> Városgazdálkodási Igazgatóság</t>
  </si>
  <si>
    <t xml:space="preserve">Munkaadókat terhelő járulékok és szociális hozzájárulási adó </t>
  </si>
  <si>
    <t>0591512 2</t>
  </si>
  <si>
    <r>
      <t xml:space="preserve">10. melléklet </t>
    </r>
    <r>
      <rPr>
        <b/>
        <vertAlign val="superscript"/>
        <sz val="12"/>
        <color indexed="8"/>
        <rFont val="Times New Roman"/>
        <family val="1"/>
      </rPr>
      <t>(1)</t>
    </r>
  </si>
  <si>
    <t>0591512 8</t>
  </si>
  <si>
    <r>
      <t xml:space="preserve">11. melléklet </t>
    </r>
    <r>
      <rPr>
        <b/>
        <vertAlign val="superscript"/>
        <sz val="12"/>
        <color indexed="8"/>
        <rFont val="Times New Roman"/>
        <family val="1"/>
      </rPr>
      <t>(1)</t>
    </r>
  </si>
  <si>
    <t>0591512 3</t>
  </si>
  <si>
    <r>
      <t xml:space="preserve">12. melléklet </t>
    </r>
    <r>
      <rPr>
        <b/>
        <vertAlign val="superscript"/>
        <sz val="12"/>
        <color indexed="8"/>
        <rFont val="Times New Roman"/>
        <family val="1"/>
      </rPr>
      <t>(1)</t>
    </r>
  </si>
  <si>
    <t>0591512 4</t>
  </si>
  <si>
    <r>
      <t xml:space="preserve">13. melléklet </t>
    </r>
    <r>
      <rPr>
        <b/>
        <vertAlign val="superscript"/>
        <sz val="12"/>
        <color indexed="8"/>
        <rFont val="Times New Roman"/>
        <family val="1"/>
      </rPr>
      <t>(1)</t>
    </r>
  </si>
  <si>
    <t>0591512 5</t>
  </si>
  <si>
    <r>
      <t xml:space="preserve">14. melléklet </t>
    </r>
    <r>
      <rPr>
        <b/>
        <vertAlign val="superscript"/>
        <sz val="12"/>
        <color indexed="8"/>
        <rFont val="Times New Roman"/>
        <family val="1"/>
      </rPr>
      <t>(1)</t>
    </r>
  </si>
  <si>
    <t>0591512 6</t>
  </si>
  <si>
    <t>15. melléklet</t>
  </si>
  <si>
    <t>Foglalkoztatottak létszáma</t>
  </si>
  <si>
    <t xml:space="preserve">Költségvetési engedélyezett létszámkeret (álláshely) (fő) </t>
  </si>
  <si>
    <t>Sor- szám</t>
  </si>
  <si>
    <t>MEGNEVEZÉS</t>
  </si>
  <si>
    <t>Barcs Város Önkormányzata</t>
  </si>
  <si>
    <t>Barcs Város Önkormányzata Járóbetegellátó Intézmények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</si>
  <si>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</si>
  <si>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</si>
  <si>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</si>
  <si>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</si>
  <si>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</si>
  <si>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 (1+..+4)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</si>
  <si>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</si>
  <si>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</si>
  <si>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</si>
  <si>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Pedagógus I.</t>
  </si>
  <si>
    <t>Pedagógus II.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</si>
  <si>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</si>
  <si>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</si>
  <si>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</si>
  <si>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</si>
  <si>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KÖZALKALMAZOTTAK ÖSSZESEN (6+..+12)</t>
  </si>
  <si>
    <t>fizikai alkalmazott,
a költségvetési szerveknél foglalkoztatott egyéb munkavállaló  (fizikai alkalmazott)</t>
  </si>
  <si>
    <t>ösztöndíjas foglalkoztatott</t>
  </si>
  <si>
    <t>közfoglalkoztatott</t>
  </si>
  <si>
    <t>EGYÉB BÉRRENDSZER ÖSSZESEN (14+..+16)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</si>
  <si>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</si>
  <si>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</si>
  <si>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</si>
  <si>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VÁLASZTOTT TISZTSÉGVISELŐK ÖSSZESEN (18+..+20)</t>
  </si>
  <si>
    <t>KÖLTSÉGVETÉSI ENGEDÉLYEZETT LÉTSZÁMKERETBE TARTOZÓ FOGLALKOZTATOTTAK LÉTSZÁMA MINDÖSSZESEN (5+13+17+21)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</si>
  <si>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</si>
  <si>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</si>
  <si>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</si>
  <si>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</si>
  <si>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(23+..+26)</t>
  </si>
  <si>
    <t>16. melléklet</t>
  </si>
  <si>
    <t>Lakosságnak juttatott támogatások, szociális, rászorultsági jellegű ellátások (E Ft)</t>
  </si>
  <si>
    <t>Eredeti ei.</t>
  </si>
  <si>
    <t>Módosított ei.</t>
  </si>
  <si>
    <t>Rendszeres szociális segély [Szoctv. 37. § (1) bek. a) - d) pontok] (Március 1-ig)</t>
  </si>
  <si>
    <t>Foglalkoztatást helyettesítő támogatás [Szoctv. 35. § (1) bek.] (Március 1-ig)</t>
  </si>
  <si>
    <t xml:space="preserve">Rendszeres gyermekvédelmi kedvezményben részesülők támogatása [Gyvt. 20/A.§] </t>
  </si>
  <si>
    <t>Óvodáztatási támogatás [Gyvt. 20/C. §]</t>
  </si>
  <si>
    <t xml:space="preserve">Lakásfenntartási támogatás (Normatív) [Szoctv. 38. § (2)-(3) bek.134/C §] </t>
  </si>
  <si>
    <t>Lakbértámogatás 24/2003.(XI.28) önk. Rendelet 3.§</t>
  </si>
  <si>
    <t xml:space="preserve">Ápolási díj méltányos  [Szoctv. 43/B. §]  </t>
  </si>
  <si>
    <t>Települési támogatás 2015. március 1-től</t>
  </si>
  <si>
    <t xml:space="preserve">Lakásfenntartási támogatás [Szoctv. 45. § ] </t>
  </si>
  <si>
    <t>Gyógyszerkiadás támogatás</t>
  </si>
  <si>
    <t>Rendkívüli települési támogatás</t>
  </si>
  <si>
    <t>Átmeneti segély [Szoctv. 45.§]</t>
  </si>
  <si>
    <t>Temetési segély [Szoctv. 46.§]</t>
  </si>
  <si>
    <t xml:space="preserve">Rendkívüli gyermekvédelmi támogatás [Gyvt. 21.§] </t>
  </si>
  <si>
    <t>Települési támogatás összesen:</t>
  </si>
  <si>
    <t>Köztemetés [Szoctv. 48.§]</t>
  </si>
  <si>
    <t xml:space="preserve">Közgyógyellátás [Szoctv.53.§ (1) bek.] </t>
  </si>
  <si>
    <t>Ellátottak pénzbeli juttatásai mindösszesen</t>
  </si>
  <si>
    <t>Dologi</t>
  </si>
  <si>
    <t>Segély finanszírozás dologival együtt</t>
  </si>
  <si>
    <r>
      <t xml:space="preserve">17. melléklet </t>
    </r>
    <r>
      <rPr>
        <b/>
        <vertAlign val="superscript"/>
        <sz val="12"/>
        <color indexed="8"/>
        <rFont val="Times New Roman"/>
        <family val="1"/>
      </rPr>
      <t>(1)</t>
    </r>
  </si>
  <si>
    <t>A költségvetési hiány külső finanszírozására vagy a költségvetési többlet felhasználására szolgáló finanszírozási bevételek és kiadások  (E Ft)</t>
  </si>
  <si>
    <t>900060</t>
  </si>
  <si>
    <t xml:space="preserve"> Kiadások megnevezés</t>
  </si>
  <si>
    <t>05911111 1</t>
  </si>
  <si>
    <t>05911111 2</t>
  </si>
  <si>
    <t>05911111 3</t>
  </si>
  <si>
    <t>Hosszú lejáratú hitelek, kölcsönök törlesztése  összesen</t>
  </si>
  <si>
    <t>ebből: pénzügyi vállalkozás</t>
  </si>
  <si>
    <t>ebből: fedezeti ügyletek nettó kiadásai</t>
  </si>
  <si>
    <t>05911312</t>
  </si>
  <si>
    <t>2015.évi folyószámlahitel</t>
  </si>
  <si>
    <t>Rövid lejáratú hitelek, kölcsönök törlesztése  összesen</t>
  </si>
  <si>
    <t xml:space="preserve">Forgatási célú belföldi értékpapírok vásárlása </t>
  </si>
  <si>
    <t>K9121</t>
  </si>
  <si>
    <t>ebből: befektetési jegyek</t>
  </si>
  <si>
    <t>ebből: kárpótlási jegyek</t>
  </si>
  <si>
    <t>Forgatási célú belföldi értékpapírok beváltása</t>
  </si>
  <si>
    <t>K9122</t>
  </si>
  <si>
    <t>Befektetési célú belföldi értékpapírok vásárlása</t>
  </si>
  <si>
    <t>K9123</t>
  </si>
  <si>
    <t>K9124</t>
  </si>
  <si>
    <t>Befektetési célú belföldi értékpapírok beváltása FELHALMOZÁSRA összesen</t>
  </si>
  <si>
    <t>Pénzeszközök betétként elhelyezése</t>
  </si>
  <si>
    <t>Forgatási célú külföldi értékpapírok vásárlása</t>
  </si>
  <si>
    <t>K921</t>
  </si>
  <si>
    <t>Befektetési célú külföldi értékpapírok vásárlása</t>
  </si>
  <si>
    <t>K922</t>
  </si>
  <si>
    <t xml:space="preserve">Külföldi értékpapírok beváltása </t>
  </si>
  <si>
    <t>K923</t>
  </si>
  <si>
    <t>Külföldi hitelek, kölcsönök törlesztése</t>
  </si>
  <si>
    <t>K924</t>
  </si>
  <si>
    <t>ebből: nemzetközi fejlesztési szervezetek</t>
  </si>
  <si>
    <t>ebből: más kormányok</t>
  </si>
  <si>
    <t>ebből: külföldi pénzintézetek</t>
  </si>
  <si>
    <t>Külföldi finanszírozás kiadásai összesen</t>
  </si>
  <si>
    <t>Bevételek megnevezés</t>
  </si>
  <si>
    <t>09811111 1</t>
  </si>
  <si>
    <t>09811111 2</t>
  </si>
  <si>
    <t>Hosszú lejáratú hitelek, kölcsönök felvétele FELHALMOZÁSRA összesen</t>
  </si>
  <si>
    <t>Likviditási célú hitelek, kölcsönök felvétele pénzügyi vállalkozástól</t>
  </si>
  <si>
    <t>09811312</t>
  </si>
  <si>
    <t>2014.évi folyószámlahitel</t>
  </si>
  <si>
    <t>Rövid lejáratú hitelek, kölcsönök felvétele MŰKÖDÉSRE összesen</t>
  </si>
  <si>
    <t>Hitel-, kölcsönfelvétel államháztartáson kívülről összesen</t>
  </si>
  <si>
    <t xml:space="preserve">Forgatási célú belföldi értékpapírok beváltása, értékesítése </t>
  </si>
  <si>
    <t>Forgatási célú belföldi értékpapírok kibocsátása</t>
  </si>
  <si>
    <t xml:space="preserve">Befektetési célú belföldi értékpapírok beváltása, értékesítése </t>
  </si>
  <si>
    <t>Befektetési célú belföldi értékpapírok kibocsátása</t>
  </si>
  <si>
    <t>Betétek megszüntetése</t>
  </si>
  <si>
    <t xml:space="preserve">Központi költségvetés sajátos finanszírozási bevételei </t>
  </si>
  <si>
    <t>ebből: tulajdonosi kölcsönök visszatérülése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</si>
  <si>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</si>
  <si>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</si>
  <si>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</si>
  <si>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</si>
  <si>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</si>
  <si>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</si>
  <si>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</si>
  <si>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</si>
  <si>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összesen</t>
  </si>
  <si>
    <t>18. melléklet</t>
  </si>
  <si>
    <t>A többéves kihatással járó döntések számszerűsítése évenkénti bontásban és összesítve (E Ft)</t>
  </si>
  <si>
    <t>Kötelezettségek megnevezése</t>
  </si>
  <si>
    <t>Kötelezettség-vállalás éve</t>
  </si>
  <si>
    <t>Tárgyév előtti kifizetés</t>
  </si>
  <si>
    <t>Tárgyévi kifizetés (2015. évi ei.)</t>
  </si>
  <si>
    <t>2016. évi kifizetés</t>
  </si>
  <si>
    <t>2017. évi kifizetés</t>
  </si>
  <si>
    <t>2018. évi kifizetés</t>
  </si>
  <si>
    <t>2019. év utáni kifizetések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</si>
  <si>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</si>
  <si>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</si>
  <si>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</si>
  <si>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</si>
  <si>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</si>
  <si>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19. melléklet</t>
  </si>
  <si>
    <t>Az európai uniós forrásból finanszírozott támogatással megvalósuló programok, projektek kiadásai, bevételei, valamint a helyi önkormányzat ilyen projektekhez történő hozzájárulásai (E 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</si>
  <si>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</si>
  <si>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</si>
  <si>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</si>
  <si>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</si>
  <si>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</si>
  <si>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</si>
  <si>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</si>
  <si>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</si>
  <si>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>Móricz Zsigmond Művelődési Központ moziterem felújítása külső térrendezése</t>
  </si>
  <si>
    <t>Háziorvosi szolgálat és fogászati szakellátás minőségének javítása</t>
  </si>
  <si>
    <t>Bajcsy Zs. 72 (Volt "SZTK") épületének átalakítása és közterület rendezése</t>
  </si>
  <si>
    <t>Fürdő napelem rendszer kialakítása</t>
  </si>
  <si>
    <t>Barcs Város Önkormányzata hivatali épületeinek épületenergetikai fejlesztése</t>
  </si>
  <si>
    <t>Ravatalozó kialakítása a Béke utcai temetőben</t>
  </si>
  <si>
    <t>(Horvát-Magyar CBC program,) turisztikayi célú kerékpárút fejlesztés</t>
  </si>
  <si>
    <t>IPA 3 TOUR-Pack (Horvát-Magyar)  pályázat</t>
  </si>
  <si>
    <t>20. melléklet</t>
  </si>
  <si>
    <t>Az önkormányzat 2015. évi közvetett támogatásai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</si>
  <si>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</si>
  <si>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</si>
  <si>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</si>
  <si>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</si>
  <si>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</si>
  <si>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</si>
  <si>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</si>
  <si>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</si>
  <si>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</si>
  <si>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</si>
  <si>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Telekadó</t>
  </si>
  <si>
    <t>Építményadó</t>
  </si>
  <si>
    <t>Késedelmi pótlék</t>
  </si>
  <si>
    <t>Bírság</t>
  </si>
  <si>
    <t>Szemétszállítási díj</t>
  </si>
  <si>
    <t>Helyi rendeletben meghatározott mentességek alapján</t>
  </si>
  <si>
    <t>Összesen:</t>
  </si>
  <si>
    <t>21. melléklet</t>
  </si>
  <si>
    <t>A helyi önkormányzat költségvetési mérlege közgazdasági tagolásban (E Ft)</t>
  </si>
  <si>
    <t>2013. évi    teljesítés</t>
  </si>
  <si>
    <t>2014. évi várható teljesítés</t>
  </si>
  <si>
    <t>2015. évi eredeti ei.</t>
  </si>
  <si>
    <t>Működési célú központosított előirányzatok</t>
  </si>
  <si>
    <t>Helyi önkormányzatok kiegészítő támogatásai</t>
  </si>
  <si>
    <t>22. melléklet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</si>
  <si>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</si>
  <si>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</si>
  <si>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</si>
  <si>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</si>
  <si>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</si>
  <si>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</si>
  <si>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</si>
  <si>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</si>
  <si>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</si>
  <si>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</si>
  <si>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</si>
  <si>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</si>
  <si>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</si>
  <si>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Központi, irányító szervi támogatások folyósítása működési és felhalm.célra</t>
  </si>
  <si>
    <t>23. melléklet</t>
  </si>
  <si>
    <t>A költségvetési évet követő három év tervezett előirányzatainak keretszámai főbb csoportokban (E Ft)</t>
  </si>
  <si>
    <t>2015. évi terv</t>
  </si>
  <si>
    <t>2016. évi terv</t>
  </si>
  <si>
    <t>2017. évi terv</t>
  </si>
  <si>
    <t>2018. évi terv</t>
  </si>
  <si>
    <t xml:space="preserve">Személyi juttatások </t>
  </si>
  <si>
    <t xml:space="preserve">Dologi kiadások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</si>
  <si>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</si>
  <si>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</si>
  <si>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</si>
  <si>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</si>
  <si>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>Felhalmozási célú támogatások az EU-nak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</si>
  <si>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</si>
  <si>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</si>
  <si>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</si>
  <si>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Hitel-, kölcsöntörlesztés államháztartáson kívülre </t>
  </si>
  <si>
    <t>Forgatási célú belföldi értékpapírok vásárlása</t>
  </si>
  <si>
    <t>Befektetési célú belföldi értékpapírok beváltása</t>
  </si>
  <si>
    <t xml:space="preserve">Belföldi értékpapírok kiadásai </t>
  </si>
  <si>
    <t xml:space="preserve">Finanszírozási kiadások </t>
  </si>
  <si>
    <t>Működési célú támogatások államháztartáson belülről</t>
  </si>
  <si>
    <t xml:space="preserve">Közhatalmi bevételek </t>
  </si>
  <si>
    <t xml:space="preserve">Működési bevételek </t>
  </si>
  <si>
    <t xml:space="preserve">Felhalmozási bevételek </t>
  </si>
  <si>
    <t xml:space="preserve">Felhalmozási célú átvett pénzeszközök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</si>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</sst>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#,##0"/>
    <numFmt numFmtId="167" formatCode="#,###"/>
    <numFmt numFmtId="168" formatCode="\ ##########"/>
    <numFmt numFmtId="169" formatCode="0__"/>
    <numFmt numFmtId="170" formatCode="#,##0.00"/>
    <numFmt numFmtId="171" formatCode="YYYY/\ MMMM;@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Bookman Old Style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1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7" borderId="1" applyNumberFormat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6" fillId="21" borderId="2" applyNumberFormat="0" applyAlignment="0" applyProtection="0"/>
    <xf numFmtId="164" fontId="1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4" fillId="7" borderId="1" applyNumberFormat="0" applyAlignment="0" applyProtection="0"/>
    <xf numFmtId="164" fontId="0" fillId="22" borderId="7" applyNumberFormat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13" fillId="4" borderId="0" applyNumberFormat="0" applyBorder="0" applyAlignment="0" applyProtection="0"/>
    <xf numFmtId="164" fontId="15" fillId="20" borderId="8" applyNumberFormat="0" applyAlignment="0" applyProtection="0"/>
    <xf numFmtId="164" fontId="14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6" fillId="23" borderId="0" applyNumberFormat="0" applyBorder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7" fillId="0" borderId="0">
      <alignment/>
      <protection/>
    </xf>
    <xf numFmtId="164" fontId="19" fillId="0" borderId="0">
      <alignment/>
      <protection/>
    </xf>
    <xf numFmtId="164" fontId="0" fillId="22" borderId="7" applyNumberFormat="0" applyAlignment="0" applyProtection="0"/>
    <xf numFmtId="164" fontId="15" fillId="20" borderId="8" applyNumberFormat="0" applyAlignment="0" applyProtection="0"/>
    <xf numFmtId="164" fontId="3" fillId="3" borderId="0" applyNumberFormat="0" applyBorder="0" applyAlignment="0" applyProtection="0"/>
    <xf numFmtId="164" fontId="16" fillId="23" borderId="0" applyNumberFormat="0" applyBorder="0" applyAlignment="0" applyProtection="0"/>
    <xf numFmtId="164" fontId="5" fillId="20" borderId="1" applyNumberFormat="0" applyAlignment="0" applyProtection="0"/>
    <xf numFmtId="164" fontId="7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12" fillId="0" borderId="0" applyNumberFormat="0" applyFill="0" applyBorder="0" applyAlignment="0" applyProtection="0"/>
    <xf numFmtId="164" fontId="20" fillId="0" borderId="9" applyNumberFormat="0" applyFill="0" applyAlignment="0" applyProtection="0"/>
  </cellStyleXfs>
  <cellXfs count="408">
    <xf numFmtId="164" fontId="0" fillId="0" borderId="0" xfId="0" applyAlignment="1">
      <alignment/>
    </xf>
    <xf numFmtId="164" fontId="21" fillId="0" borderId="0" xfId="98" applyFont="1">
      <alignment/>
      <protection/>
    </xf>
    <xf numFmtId="166" fontId="21" fillId="0" borderId="0" xfId="98" applyNumberFormat="1" applyFont="1">
      <alignment/>
      <protection/>
    </xf>
    <xf numFmtId="166" fontId="21" fillId="0" borderId="0" xfId="98" applyNumberFormat="1" applyFont="1" applyAlignment="1">
      <alignment horizontal="right"/>
      <protection/>
    </xf>
    <xf numFmtId="164" fontId="22" fillId="0" borderId="0" xfId="0" applyFont="1" applyBorder="1" applyAlignment="1">
      <alignment horizontal="center" wrapText="1"/>
    </xf>
    <xf numFmtId="167" fontId="23" fillId="0" borderId="0" xfId="101" applyNumberFormat="1" applyFont="1" applyFill="1" applyBorder="1" applyAlignment="1" applyProtection="1">
      <alignment horizontal="center" vertical="center"/>
      <protection/>
    </xf>
    <xf numFmtId="164" fontId="24" fillId="0" borderId="0" xfId="98" applyFont="1">
      <alignment/>
      <protection/>
    </xf>
    <xf numFmtId="164" fontId="21" fillId="0" borderId="0" xfId="97" applyFont="1" applyBorder="1" applyAlignment="1" applyProtection="1">
      <alignment/>
      <protection/>
    </xf>
    <xf numFmtId="164" fontId="23" fillId="0" borderId="0" xfId="98" applyFont="1" applyAlignment="1">
      <alignment horizontal="right"/>
      <protection/>
    </xf>
    <xf numFmtId="164" fontId="25" fillId="0" borderId="0" xfId="0" applyFont="1" applyAlignment="1">
      <alignment horizontal="justify" wrapText="1"/>
    </xf>
    <xf numFmtId="164" fontId="21" fillId="0" borderId="0" xfId="98" applyFont="1" applyAlignment="1">
      <alignment horizontal="right"/>
      <protection/>
    </xf>
    <xf numFmtId="164" fontId="21" fillId="0" borderId="0" xfId="98" applyFont="1" applyAlignment="1">
      <alignment horizontal="left"/>
      <protection/>
    </xf>
    <xf numFmtId="166" fontId="21" fillId="0" borderId="0" xfId="0" applyNumberFormat="1" applyFont="1" applyBorder="1" applyAlignment="1">
      <alignment horizontal="left" vertical="center"/>
    </xf>
    <xf numFmtId="164" fontId="26" fillId="0" borderId="0" xfId="0" applyFont="1" applyAlignment="1">
      <alignment/>
    </xf>
    <xf numFmtId="166" fontId="26" fillId="0" borderId="0" xfId="0" applyNumberFormat="1" applyFont="1" applyAlignment="1">
      <alignment/>
    </xf>
    <xf numFmtId="166" fontId="27" fillId="0" borderId="0" xfId="0" applyNumberFormat="1" applyFont="1" applyAlignment="1">
      <alignment horizontal="right"/>
    </xf>
    <xf numFmtId="164" fontId="29" fillId="0" borderId="0" xfId="0" applyFont="1" applyAlignment="1">
      <alignment horizontal="center" wrapText="1"/>
    </xf>
    <xf numFmtId="164" fontId="30" fillId="0" borderId="0" xfId="0" applyFont="1" applyAlignment="1">
      <alignment horizontal="center" wrapText="1"/>
    </xf>
    <xf numFmtId="166" fontId="27" fillId="0" borderId="10" xfId="0" applyNumberFormat="1" applyFont="1" applyBorder="1" applyAlignment="1">
      <alignment horizontal="center"/>
    </xf>
    <xf numFmtId="164" fontId="27" fillId="0" borderId="10" xfId="0" applyFont="1" applyFill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/>
    </xf>
    <xf numFmtId="164" fontId="26" fillId="0" borderId="10" xfId="0" applyFont="1" applyBorder="1" applyAlignment="1">
      <alignment/>
    </xf>
    <xf numFmtId="166" fontId="26" fillId="0" borderId="10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27" fillId="0" borderId="10" xfId="0" applyFont="1" applyBorder="1" applyAlignment="1">
      <alignment/>
    </xf>
    <xf numFmtId="164" fontId="27" fillId="0" borderId="0" xfId="0" applyFont="1" applyAlignment="1">
      <alignment/>
    </xf>
    <xf numFmtId="164" fontId="27" fillId="11" borderId="10" xfId="0" applyFont="1" applyFill="1" applyBorder="1" applyAlignment="1">
      <alignment/>
    </xf>
    <xf numFmtId="166" fontId="27" fillId="11" borderId="10" xfId="0" applyNumberFormat="1" applyFont="1" applyFill="1" applyBorder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27" fillId="0" borderId="0" xfId="0" applyFont="1" applyAlignment="1">
      <alignment horizontal="right"/>
    </xf>
    <xf numFmtId="164" fontId="33" fillId="0" borderId="0" xfId="0" applyFont="1" applyBorder="1" applyAlignment="1">
      <alignment horizontal="center" wrapText="1"/>
    </xf>
    <xf numFmtId="164" fontId="22" fillId="0" borderId="0" xfId="0" applyFont="1" applyAlignment="1">
      <alignment horizontal="center" wrapText="1"/>
    </xf>
    <xf numFmtId="164" fontId="22" fillId="0" borderId="0" xfId="0" applyFont="1" applyAlignment="1">
      <alignment wrapText="1"/>
    </xf>
    <xf numFmtId="164" fontId="26" fillId="0" borderId="0" xfId="0" applyFont="1" applyAlignment="1">
      <alignment wrapText="1"/>
    </xf>
    <xf numFmtId="164" fontId="27" fillId="0" borderId="0" xfId="0" applyFont="1" applyAlignment="1">
      <alignment wrapText="1"/>
    </xf>
    <xf numFmtId="164" fontId="34" fillId="0" borderId="0" xfId="0" applyFont="1" applyAlignment="1">
      <alignment horizontal="center" wrapText="1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35" fillId="0" borderId="0" xfId="0" applyFont="1" applyAlignment="1">
      <alignment/>
    </xf>
    <xf numFmtId="164" fontId="27" fillId="0" borderId="10" xfId="0" applyFont="1" applyFill="1" applyBorder="1" applyAlignment="1">
      <alignment horizontal="center" vertical="center" wrapText="1"/>
    </xf>
    <xf numFmtId="164" fontId="26" fillId="0" borderId="10" xfId="0" applyFont="1" applyBorder="1" applyAlignment="1">
      <alignment horizontal="center" wrapText="1"/>
    </xf>
    <xf numFmtId="164" fontId="27" fillId="0" borderId="10" xfId="0" applyFont="1" applyFill="1" applyBorder="1" applyAlignment="1">
      <alignment horizontal="center" wrapText="1"/>
    </xf>
    <xf numFmtId="164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vertical="center"/>
    </xf>
    <xf numFmtId="164" fontId="26" fillId="0" borderId="10" xfId="0" applyFont="1" applyFill="1" applyBorder="1" applyAlignment="1">
      <alignment horizontal="left" vertical="center" wrapText="1"/>
    </xf>
    <xf numFmtId="164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/>
    </xf>
    <xf numFmtId="164" fontId="27" fillId="0" borderId="10" xfId="0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horizontal="left" vertical="center" wrapText="1"/>
    </xf>
    <xf numFmtId="164" fontId="21" fillId="0" borderId="10" xfId="0" applyFont="1" applyFill="1" applyBorder="1" applyAlignment="1">
      <alignment vertical="center" wrapText="1"/>
    </xf>
    <xf numFmtId="164" fontId="21" fillId="0" borderId="10" xfId="0" applyFont="1" applyFill="1" applyBorder="1" applyAlignment="1">
      <alignment vertical="center"/>
    </xf>
    <xf numFmtId="164" fontId="36" fillId="24" borderId="10" xfId="0" applyFont="1" applyFill="1" applyBorder="1" applyAlignment="1">
      <alignment/>
    </xf>
    <xf numFmtId="168" fontId="27" fillId="24" borderId="10" xfId="0" applyNumberFormat="1" applyFont="1" applyFill="1" applyBorder="1" applyAlignment="1">
      <alignment vertical="center"/>
    </xf>
    <xf numFmtId="166" fontId="27" fillId="24" borderId="10" xfId="0" applyNumberFormat="1" applyFont="1" applyFill="1" applyBorder="1" applyAlignment="1">
      <alignment/>
    </xf>
    <xf numFmtId="169" fontId="26" fillId="0" borderId="10" xfId="0" applyNumberFormat="1" applyFont="1" applyFill="1" applyBorder="1" applyAlignment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27" fillId="0" borderId="10" xfId="0" applyFont="1" applyFill="1" applyBorder="1" applyAlignment="1">
      <alignment horizontal="left" vertical="center"/>
    </xf>
    <xf numFmtId="164" fontId="21" fillId="0" borderId="10" xfId="0" applyFont="1" applyFill="1" applyBorder="1" applyAlignment="1">
      <alignment horizontal="left" vertical="center" wrapText="1"/>
    </xf>
    <xf numFmtId="164" fontId="27" fillId="10" borderId="10" xfId="0" applyFont="1" applyFill="1" applyBorder="1" applyAlignment="1">
      <alignment horizontal="left" vertical="center"/>
    </xf>
    <xf numFmtId="168" fontId="27" fillId="10" borderId="10" xfId="0" applyNumberFormat="1" applyFont="1" applyFill="1" applyBorder="1" applyAlignment="1">
      <alignment vertical="center"/>
    </xf>
    <xf numFmtId="166" fontId="27" fillId="10" borderId="10" xfId="0" applyNumberFormat="1" applyFont="1" applyFill="1" applyBorder="1" applyAlignment="1">
      <alignment/>
    </xf>
    <xf numFmtId="164" fontId="37" fillId="0" borderId="0" xfId="0" applyFont="1" applyFill="1" applyBorder="1" applyAlignment="1">
      <alignment horizontal="left" vertical="center" wrapText="1"/>
    </xf>
    <xf numFmtId="164" fontId="31" fillId="0" borderId="0" xfId="0" applyFont="1" applyBorder="1" applyAlignment="1">
      <alignment/>
    </xf>
    <xf numFmtId="166" fontId="23" fillId="0" borderId="10" xfId="0" applyNumberFormat="1" applyFont="1" applyFill="1" applyBorder="1" applyAlignment="1">
      <alignment horizontal="right" vertical="center" wrapText="1"/>
    </xf>
    <xf numFmtId="164" fontId="38" fillId="0" borderId="0" xfId="0" applyFont="1" applyFill="1" applyBorder="1" applyAlignment="1">
      <alignment horizontal="left" vertical="center" wrapText="1"/>
    </xf>
    <xf numFmtId="164" fontId="21" fillId="0" borderId="10" xfId="0" applyFont="1" applyFill="1" applyBorder="1" applyAlignment="1">
      <alignment horizontal="left"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38" fillId="0" borderId="0" xfId="0" applyFont="1" applyFill="1" applyBorder="1" applyAlignment="1">
      <alignment horizontal="left" vertical="center"/>
    </xf>
    <xf numFmtId="164" fontId="37" fillId="0" borderId="0" xfId="0" applyFont="1" applyFill="1" applyBorder="1" applyAlignment="1">
      <alignment horizontal="left" vertical="center"/>
    </xf>
    <xf numFmtId="164" fontId="23" fillId="0" borderId="10" xfId="0" applyFont="1" applyFill="1" applyBorder="1" applyAlignment="1">
      <alignment horizontal="left" vertical="center"/>
    </xf>
    <xf numFmtId="164" fontId="23" fillId="10" borderId="10" xfId="0" applyFont="1" applyFill="1" applyBorder="1" applyAlignment="1">
      <alignment horizontal="left" vertical="center"/>
    </xf>
    <xf numFmtId="164" fontId="27" fillId="10" borderId="10" xfId="0" applyFont="1" applyFill="1" applyBorder="1" applyAlignment="1">
      <alignment horizontal="left" vertical="center" wrapText="1"/>
    </xf>
    <xf numFmtId="166" fontId="23" fillId="10" borderId="10" xfId="0" applyNumberFormat="1" applyFont="1" applyFill="1" applyBorder="1" applyAlignment="1">
      <alignment horizontal="right" vertical="center"/>
    </xf>
    <xf numFmtId="164" fontId="26" fillId="0" borderId="0" xfId="0" applyFont="1" applyBorder="1" applyAlignment="1">
      <alignment/>
    </xf>
    <xf numFmtId="166" fontId="26" fillId="0" borderId="0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6" fillId="0" borderId="10" xfId="0" applyNumberFormat="1" applyFont="1" applyBorder="1" applyAlignment="1">
      <alignment horizontal="center" wrapText="1"/>
    </xf>
    <xf numFmtId="166" fontId="27" fillId="0" borderId="10" xfId="0" applyNumberFormat="1" applyFont="1" applyFill="1" applyBorder="1" applyAlignment="1">
      <alignment horizontal="center" wrapText="1"/>
    </xf>
    <xf numFmtId="164" fontId="23" fillId="10" borderId="10" xfId="0" applyFont="1" applyFill="1" applyBorder="1" applyAlignment="1">
      <alignment horizontal="left" vertical="center" wrapText="1"/>
    </xf>
    <xf numFmtId="164" fontId="34" fillId="5" borderId="10" xfId="0" applyFont="1" applyFill="1" applyBorder="1" applyAlignment="1">
      <alignment horizontal="left" indent="2"/>
    </xf>
    <xf numFmtId="164" fontId="34" fillId="5" borderId="10" xfId="0" applyFont="1" applyFill="1" applyBorder="1" applyAlignment="1">
      <alignment horizontal="left" vertical="center"/>
    </xf>
    <xf numFmtId="166" fontId="34" fillId="5" borderId="10" xfId="0" applyNumberFormat="1" applyFont="1" applyFill="1" applyBorder="1" applyAlignment="1">
      <alignment/>
    </xf>
    <xf numFmtId="166" fontId="27" fillId="0" borderId="0" xfId="0" applyNumberFormat="1" applyFont="1" applyAlignment="1">
      <alignment/>
    </xf>
    <xf numFmtId="164" fontId="27" fillId="0" borderId="0" xfId="0" applyFont="1" applyBorder="1" applyAlignment="1">
      <alignment/>
    </xf>
    <xf numFmtId="164" fontId="26" fillId="0" borderId="0" xfId="0" applyFont="1" applyAlignment="1">
      <alignment horizontal="right"/>
    </xf>
    <xf numFmtId="164" fontId="26" fillId="0" borderId="0" xfId="0" applyFont="1" applyFill="1" applyAlignment="1">
      <alignment/>
    </xf>
    <xf numFmtId="164" fontId="41" fillId="0" borderId="0" xfId="0" applyFont="1" applyAlignment="1">
      <alignment wrapText="1"/>
    </xf>
    <xf numFmtId="164" fontId="41" fillId="0" borderId="0" xfId="0" applyFont="1" applyAlignment="1">
      <alignment horizontal="center" wrapText="1"/>
    </xf>
    <xf numFmtId="164" fontId="34" fillId="0" borderId="0" xfId="0" applyFont="1" applyAlignment="1">
      <alignment wrapText="1"/>
    </xf>
    <xf numFmtId="164" fontId="27" fillId="0" borderId="10" xfId="0" applyFont="1" applyBorder="1" applyAlignment="1">
      <alignment horizontal="center" wrapText="1"/>
    </xf>
    <xf numFmtId="164" fontId="26" fillId="0" borderId="10" xfId="0" applyFont="1" applyFill="1" applyBorder="1" applyAlignment="1">
      <alignment horizontal="left" vertical="center" wrapText="1" indent="1"/>
    </xf>
    <xf numFmtId="164" fontId="27" fillId="20" borderId="10" xfId="0" applyFont="1" applyFill="1" applyBorder="1" applyAlignment="1">
      <alignment horizontal="left" vertical="center" wrapText="1"/>
    </xf>
    <xf numFmtId="164" fontId="27" fillId="20" borderId="10" xfId="0" applyFont="1" applyFill="1" applyBorder="1" applyAlignment="1">
      <alignment horizontal="left" vertical="center"/>
    </xf>
    <xf numFmtId="166" fontId="27" fillId="20" borderId="10" xfId="0" applyNumberFormat="1" applyFont="1" applyFill="1" applyBorder="1" applyAlignment="1">
      <alignment/>
    </xf>
    <xf numFmtId="164" fontId="26" fillId="20" borderId="0" xfId="0" applyFont="1" applyFill="1" applyAlignment="1">
      <alignment/>
    </xf>
    <xf numFmtId="164" fontId="42" fillId="0" borderId="10" xfId="0" applyFont="1" applyFill="1" applyBorder="1" applyAlignment="1">
      <alignment horizontal="left" vertical="center" wrapText="1" indent="2"/>
    </xf>
    <xf numFmtId="164" fontId="42" fillId="0" borderId="10" xfId="0" applyFont="1" applyFill="1" applyBorder="1" applyAlignment="1">
      <alignment horizontal="left" vertical="center" wrapText="1"/>
    </xf>
    <xf numFmtId="166" fontId="43" fillId="0" borderId="10" xfId="0" applyNumberFormat="1" applyFont="1" applyBorder="1" applyAlignment="1">
      <alignment/>
    </xf>
    <xf numFmtId="164" fontId="21" fillId="0" borderId="10" xfId="0" applyFont="1" applyFill="1" applyBorder="1" applyAlignment="1">
      <alignment horizontal="left" vertical="center" wrapText="1" indent="1"/>
    </xf>
    <xf numFmtId="164" fontId="21" fillId="0" borderId="10" xfId="101" applyFont="1" applyFill="1" applyBorder="1" applyAlignment="1" applyProtection="1">
      <alignment horizontal="left" vertical="center" wrapText="1" indent="2"/>
      <protection/>
    </xf>
    <xf numFmtId="166" fontId="26" fillId="0" borderId="10" xfId="0" applyNumberFormat="1" applyFont="1" applyBorder="1" applyAlignment="1">
      <alignment horizontal="right"/>
    </xf>
    <xf numFmtId="164" fontId="26" fillId="25" borderId="10" xfId="0" applyFont="1" applyFill="1" applyBorder="1" applyAlignment="1">
      <alignment horizontal="left" vertical="top" wrapText="1" indent="3"/>
    </xf>
    <xf numFmtId="164" fontId="26" fillId="0" borderId="10" xfId="0" applyFont="1" applyBorder="1" applyAlignment="1">
      <alignment horizontal="left" indent="2"/>
    </xf>
    <xf numFmtId="164" fontId="27" fillId="20" borderId="10" xfId="0" applyFont="1" applyFill="1" applyBorder="1" applyAlignment="1">
      <alignment vertical="center" wrapText="1"/>
    </xf>
    <xf numFmtId="166" fontId="27" fillId="20" borderId="10" xfId="0" applyNumberFormat="1" applyFont="1" applyFill="1" applyBorder="1" applyAlignment="1">
      <alignment horizontal="right"/>
    </xf>
    <xf numFmtId="164" fontId="27" fillId="20" borderId="0" xfId="0" applyFont="1" applyFill="1" applyAlignment="1">
      <alignment/>
    </xf>
    <xf numFmtId="164" fontId="21" fillId="0" borderId="10" xfId="0" applyFont="1" applyBorder="1" applyAlignment="1">
      <alignment horizontal="left" indent="2"/>
    </xf>
    <xf numFmtId="164" fontId="26" fillId="0" borderId="10" xfId="0" applyFont="1" applyFill="1" applyBorder="1" applyAlignment="1">
      <alignment horizontal="left" vertical="center" wrapText="1" indent="2"/>
    </xf>
    <xf numFmtId="164" fontId="43" fillId="0" borderId="0" xfId="0" applyFont="1" applyFill="1" applyAlignment="1">
      <alignment/>
    </xf>
    <xf numFmtId="164" fontId="42" fillId="0" borderId="10" xfId="101" applyFont="1" applyFill="1" applyBorder="1" applyAlignment="1" applyProtection="1">
      <alignment horizontal="left" vertical="center" wrapText="1" indent="2"/>
      <protection/>
    </xf>
    <xf numFmtId="164" fontId="43" fillId="0" borderId="10" xfId="0" applyFont="1" applyFill="1" applyBorder="1" applyAlignment="1">
      <alignment horizontal="left" vertical="center"/>
    </xf>
    <xf numFmtId="166" fontId="43" fillId="0" borderId="10" xfId="0" applyNumberFormat="1" applyFont="1" applyBorder="1" applyAlignment="1">
      <alignment horizontal="right"/>
    </xf>
    <xf numFmtId="164" fontId="43" fillId="0" borderId="0" xfId="0" applyFont="1" applyAlignment="1">
      <alignment/>
    </xf>
    <xf numFmtId="164" fontId="27" fillId="20" borderId="10" xfId="0" applyFont="1" applyFill="1" applyBorder="1" applyAlignment="1">
      <alignment/>
    </xf>
    <xf numFmtId="166" fontId="26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 vertical="top" wrapText="1"/>
    </xf>
    <xf numFmtId="164" fontId="34" fillId="0" borderId="0" xfId="0" applyFont="1" applyBorder="1" applyAlignment="1">
      <alignment horizontal="center" wrapText="1"/>
    </xf>
    <xf numFmtId="166" fontId="26" fillId="0" borderId="0" xfId="0" applyNumberFormat="1" applyFont="1" applyAlignment="1">
      <alignment horizontal="center" wrapText="1"/>
    </xf>
    <xf numFmtId="164" fontId="43" fillId="0" borderId="10" xfId="0" applyFont="1" applyFill="1" applyBorder="1" applyAlignment="1">
      <alignment horizontal="left" vertical="center" wrapText="1" indent="1"/>
    </xf>
    <xf numFmtId="164" fontId="44" fillId="20" borderId="10" xfId="0" applyFont="1" applyFill="1" applyBorder="1" applyAlignment="1">
      <alignment/>
    </xf>
    <xf numFmtId="164" fontId="34" fillId="20" borderId="10" xfId="0" applyFont="1" applyFill="1" applyBorder="1" applyAlignment="1">
      <alignment horizontal="left" vertical="center"/>
    </xf>
    <xf numFmtId="166" fontId="34" fillId="20" borderId="10" xfId="0" applyNumberFormat="1" applyFont="1" applyFill="1" applyBorder="1" applyAlignment="1">
      <alignment/>
    </xf>
    <xf numFmtId="164" fontId="44" fillId="0" borderId="10" xfId="0" applyFont="1" applyBorder="1" applyAlignment="1">
      <alignment/>
    </xf>
    <xf numFmtId="166" fontId="34" fillId="0" borderId="10" xfId="0" applyNumberFormat="1" applyFont="1" applyBorder="1" applyAlignment="1">
      <alignment/>
    </xf>
    <xf numFmtId="164" fontId="42" fillId="0" borderId="10" xfId="101" applyFont="1" applyFill="1" applyBorder="1" applyAlignment="1" applyProtection="1">
      <alignment horizontal="left" vertical="center" wrapText="1" indent="1"/>
      <protection/>
    </xf>
    <xf numFmtId="164" fontId="42" fillId="0" borderId="10" xfId="0" applyFont="1" applyFill="1" applyBorder="1" applyAlignment="1">
      <alignment horizontal="left" vertical="center" wrapText="1" indent="1"/>
    </xf>
    <xf numFmtId="164" fontId="27" fillId="20" borderId="11" xfId="0" applyFont="1" applyFill="1" applyBorder="1" applyAlignment="1">
      <alignment horizontal="left" vertical="center" wrapText="1"/>
    </xf>
    <xf numFmtId="164" fontId="27" fillId="20" borderId="11" xfId="0" applyFont="1" applyFill="1" applyBorder="1" applyAlignment="1">
      <alignment horizontal="left" vertical="center"/>
    </xf>
    <xf numFmtId="166" fontId="27" fillId="20" borderId="11" xfId="0" applyNumberFormat="1" applyFont="1" applyFill="1" applyBorder="1" applyAlignment="1">
      <alignment/>
    </xf>
    <xf numFmtId="164" fontId="21" fillId="0" borderId="12" xfId="0" applyFont="1" applyFill="1" applyBorder="1" applyAlignment="1">
      <alignment horizontal="left" vertical="center" wrapText="1"/>
    </xf>
    <xf numFmtId="164" fontId="26" fillId="0" borderId="12" xfId="0" applyFont="1" applyFill="1" applyBorder="1" applyAlignment="1">
      <alignment horizontal="left" vertical="center"/>
    </xf>
    <xf numFmtId="166" fontId="26" fillId="0" borderId="12" xfId="0" applyNumberFormat="1" applyFont="1" applyBorder="1" applyAlignment="1">
      <alignment/>
    </xf>
    <xf numFmtId="164" fontId="43" fillId="0" borderId="10" xfId="0" applyFont="1" applyBorder="1" applyAlignment="1">
      <alignment horizontal="left" indent="1"/>
    </xf>
    <xf numFmtId="166" fontId="26" fillId="0" borderId="10" xfId="0" applyNumberFormat="1" applyFont="1" applyFill="1" applyBorder="1" applyAlignment="1">
      <alignment horizontal="right"/>
    </xf>
    <xf numFmtId="166" fontId="43" fillId="0" borderId="10" xfId="0" applyNumberFormat="1" applyFont="1" applyFill="1" applyBorder="1" applyAlignment="1">
      <alignment horizontal="left" vertical="center" wrapText="1" indent="1"/>
    </xf>
    <xf numFmtId="166" fontId="26" fillId="0" borderId="10" xfId="0" applyNumberFormat="1" applyFont="1" applyFill="1" applyBorder="1" applyAlignment="1">
      <alignment/>
    </xf>
    <xf numFmtId="164" fontId="26" fillId="0" borderId="12" xfId="0" applyFont="1" applyFill="1" applyBorder="1" applyAlignment="1">
      <alignment horizontal="left" vertical="center" wrapText="1"/>
    </xf>
    <xf numFmtId="164" fontId="43" fillId="0" borderId="10" xfId="0" applyFont="1" applyFill="1" applyBorder="1" applyAlignment="1">
      <alignment horizontal="left" vertical="center" wrapText="1"/>
    </xf>
    <xf numFmtId="164" fontId="27" fillId="20" borderId="13" xfId="0" applyFont="1" applyFill="1" applyBorder="1" applyAlignment="1">
      <alignment horizontal="left" vertical="center" wrapText="1"/>
    </xf>
    <xf numFmtId="166" fontId="27" fillId="20" borderId="13" xfId="0" applyNumberFormat="1" applyFont="1" applyFill="1" applyBorder="1" applyAlignment="1">
      <alignment/>
    </xf>
    <xf numFmtId="164" fontId="23" fillId="20" borderId="10" xfId="0" applyFont="1" applyFill="1" applyBorder="1" applyAlignment="1">
      <alignment horizontal="left" vertical="center" wrapText="1"/>
    </xf>
    <xf numFmtId="166" fontId="21" fillId="0" borderId="10" xfId="101" applyNumberFormat="1" applyFont="1" applyFill="1" applyBorder="1" applyAlignment="1" applyProtection="1">
      <alignment horizontal="right" vertical="center" wrapText="1"/>
      <protection locked="0"/>
    </xf>
    <xf numFmtId="164" fontId="21" fillId="0" borderId="10" xfId="101" applyFont="1" applyFill="1" applyBorder="1" applyAlignment="1" applyProtection="1">
      <alignment horizontal="left" vertical="center" wrapText="1" indent="1"/>
      <protection/>
    </xf>
    <xf numFmtId="164" fontId="27" fillId="0" borderId="0" xfId="0" applyFont="1" applyFill="1" applyAlignment="1">
      <alignment/>
    </xf>
    <xf numFmtId="170" fontId="26" fillId="0" borderId="0" xfId="0" applyNumberFormat="1" applyFont="1" applyAlignment="1">
      <alignment/>
    </xf>
    <xf numFmtId="164" fontId="26" fillId="0" borderId="0" xfId="0" applyFont="1" applyBorder="1" applyAlignment="1">
      <alignment wrapText="1"/>
    </xf>
    <xf numFmtId="170" fontId="27" fillId="20" borderId="0" xfId="0" applyNumberFormat="1" applyFont="1" applyFill="1" applyAlignment="1">
      <alignment/>
    </xf>
    <xf numFmtId="170" fontId="26" fillId="20" borderId="0" xfId="0" applyNumberFormat="1" applyFont="1" applyFill="1" applyAlignment="1">
      <alignment/>
    </xf>
    <xf numFmtId="170" fontId="26" fillId="0" borderId="0" xfId="0" applyNumberFormat="1" applyFont="1" applyFill="1" applyAlignment="1">
      <alignment/>
    </xf>
    <xf numFmtId="164" fontId="34" fillId="20" borderId="10" xfId="0" applyFont="1" applyFill="1" applyBorder="1" applyAlignment="1">
      <alignment/>
    </xf>
    <xf numFmtId="164" fontId="34" fillId="0" borderId="10" xfId="0" applyFont="1" applyBorder="1" applyAlignment="1">
      <alignment/>
    </xf>
    <xf numFmtId="164" fontId="45" fillId="0" borderId="0" xfId="0" applyFont="1" applyFill="1" applyAlignment="1">
      <alignment/>
    </xf>
    <xf numFmtId="164" fontId="45" fillId="0" borderId="0" xfId="0" applyFont="1" applyAlignment="1">
      <alignment/>
    </xf>
    <xf numFmtId="164" fontId="46" fillId="0" borderId="0" xfId="0" applyFont="1" applyAlignment="1">
      <alignment horizontal="right"/>
    </xf>
    <xf numFmtId="164" fontId="45" fillId="0" borderId="0" xfId="0" applyFont="1" applyAlignment="1">
      <alignment horizontal="center" wrapText="1"/>
    </xf>
    <xf numFmtId="164" fontId="45" fillId="0" borderId="0" xfId="0" applyFont="1" applyAlignment="1">
      <alignment wrapText="1"/>
    </xf>
    <xf numFmtId="164" fontId="30" fillId="0" borderId="0" xfId="0" applyFont="1" applyAlignment="1">
      <alignment/>
    </xf>
    <xf numFmtId="164" fontId="27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wrapText="1"/>
    </xf>
    <xf numFmtId="164" fontId="46" fillId="0" borderId="10" xfId="0" applyFont="1" applyFill="1" applyBorder="1" applyAlignment="1">
      <alignment horizontal="center" vertical="center"/>
    </xf>
    <xf numFmtId="164" fontId="46" fillId="0" borderId="10" xfId="0" applyFont="1" applyFill="1" applyBorder="1" applyAlignment="1">
      <alignment horizontal="center" vertical="center" wrapText="1"/>
    </xf>
    <xf numFmtId="164" fontId="47" fillId="0" borderId="10" xfId="0" applyFont="1" applyBorder="1" applyAlignment="1">
      <alignment horizontal="center" wrapText="1"/>
    </xf>
    <xf numFmtId="164" fontId="46" fillId="0" borderId="10" xfId="0" applyFont="1" applyBorder="1" applyAlignment="1">
      <alignment wrapText="1"/>
    </xf>
    <xf numFmtId="164" fontId="45" fillId="20" borderId="0" xfId="0" applyFont="1" applyFill="1" applyAlignment="1">
      <alignment/>
    </xf>
    <xf numFmtId="164" fontId="21" fillId="0" borderId="10" xfId="101" applyFont="1" applyFill="1" applyBorder="1" applyAlignment="1" applyProtection="1">
      <alignment horizontal="left" vertical="center" wrapText="1" indent="3"/>
      <protection/>
    </xf>
    <xf numFmtId="164" fontId="33" fillId="20" borderId="10" xfId="0" applyFont="1" applyFill="1" applyBorder="1" applyAlignment="1">
      <alignment horizontal="left" vertical="center" wrapText="1" indent="1"/>
    </xf>
    <xf numFmtId="164" fontId="48" fillId="20" borderId="10" xfId="0" applyFont="1" applyFill="1" applyBorder="1" applyAlignment="1">
      <alignment/>
    </xf>
    <xf numFmtId="166" fontId="48" fillId="20" borderId="10" xfId="0" applyNumberFormat="1" applyFont="1" applyFill="1" applyBorder="1" applyAlignment="1">
      <alignment/>
    </xf>
    <xf numFmtId="164" fontId="48" fillId="20" borderId="0" xfId="0" applyFont="1" applyFill="1" applyAlignment="1">
      <alignment/>
    </xf>
    <xf numFmtId="164" fontId="47" fillId="0" borderId="0" xfId="0" applyFont="1" applyAlignment="1">
      <alignment/>
    </xf>
    <xf numFmtId="164" fontId="49" fillId="0" borderId="0" xfId="0" applyFont="1" applyAlignment="1">
      <alignment/>
    </xf>
    <xf numFmtId="164" fontId="47" fillId="0" borderId="0" xfId="0" applyFont="1" applyBorder="1" applyAlignment="1">
      <alignment horizontal="center"/>
    </xf>
    <xf numFmtId="164" fontId="47" fillId="0" borderId="0" xfId="0" applyFont="1" applyAlignment="1">
      <alignment horizontal="center"/>
    </xf>
    <xf numFmtId="164" fontId="30" fillId="0" borderId="0" xfId="0" applyFont="1" applyAlignment="1">
      <alignment horizontal="center" vertical="top" wrapText="1"/>
    </xf>
    <xf numFmtId="164" fontId="47" fillId="0" borderId="14" xfId="0" applyFont="1" applyBorder="1" applyAlignment="1">
      <alignment horizontal="center"/>
    </xf>
    <xf numFmtId="164" fontId="47" fillId="0" borderId="15" xfId="0" applyFont="1" applyBorder="1" applyAlignment="1">
      <alignment horizontal="center"/>
    </xf>
    <xf numFmtId="164" fontId="47" fillId="0" borderId="10" xfId="0" applyFont="1" applyBorder="1" applyAlignment="1">
      <alignment horizontal="center"/>
    </xf>
    <xf numFmtId="164" fontId="46" fillId="0" borderId="10" xfId="0" applyFont="1" applyBorder="1" applyAlignment="1">
      <alignment horizontal="center" wrapText="1"/>
    </xf>
    <xf numFmtId="164" fontId="47" fillId="0" borderId="0" xfId="0" applyFont="1" applyAlignment="1">
      <alignment horizontal="center" vertical="center"/>
    </xf>
    <xf numFmtId="164" fontId="47" fillId="0" borderId="10" xfId="0" applyFont="1" applyBorder="1" applyAlignment="1">
      <alignment horizontal="center" vertical="center" wrapText="1"/>
    </xf>
    <xf numFmtId="164" fontId="47" fillId="0" borderId="10" xfId="0" applyFont="1" applyFill="1" applyBorder="1" applyAlignment="1">
      <alignment vertical="center" wrapText="1"/>
    </xf>
    <xf numFmtId="168" fontId="47" fillId="0" borderId="10" xfId="0" applyNumberFormat="1" applyFont="1" applyFill="1" applyBorder="1" applyAlignment="1">
      <alignment vertical="center"/>
    </xf>
    <xf numFmtId="166" fontId="47" fillId="0" borderId="10" xfId="0" applyNumberFormat="1" applyFont="1" applyBorder="1" applyAlignment="1">
      <alignment/>
    </xf>
    <xf numFmtId="166" fontId="47" fillId="0" borderId="12" xfId="0" applyNumberFormat="1" applyFont="1" applyBorder="1" applyAlignment="1">
      <alignment/>
    </xf>
    <xf numFmtId="166" fontId="46" fillId="0" borderId="10" xfId="0" applyNumberFormat="1" applyFont="1" applyBorder="1" applyAlignment="1">
      <alignment/>
    </xf>
    <xf numFmtId="164" fontId="47" fillId="0" borderId="10" xfId="0" applyFont="1" applyBorder="1" applyAlignment="1">
      <alignment/>
    </xf>
    <xf numFmtId="164" fontId="47" fillId="0" borderId="10" xfId="0" applyFont="1" applyFill="1" applyBorder="1" applyAlignment="1">
      <alignment horizontal="left" vertical="center" wrapText="1"/>
    </xf>
    <xf numFmtId="164" fontId="47" fillId="20" borderId="0" xfId="0" applyFont="1" applyFill="1" applyAlignment="1">
      <alignment/>
    </xf>
    <xf numFmtId="164" fontId="46" fillId="20" borderId="10" xfId="0" applyFont="1" applyFill="1" applyBorder="1" applyAlignment="1">
      <alignment vertical="center" wrapText="1"/>
    </xf>
    <xf numFmtId="168" fontId="46" fillId="20" borderId="10" xfId="0" applyNumberFormat="1" applyFont="1" applyFill="1" applyBorder="1" applyAlignment="1">
      <alignment vertical="center"/>
    </xf>
    <xf numFmtId="166" fontId="46" fillId="20" borderId="10" xfId="0" applyNumberFormat="1" applyFont="1" applyFill="1" applyBorder="1" applyAlignment="1">
      <alignment/>
    </xf>
    <xf numFmtId="164" fontId="46" fillId="20" borderId="10" xfId="0" applyFont="1" applyFill="1" applyBorder="1" applyAlignment="1">
      <alignment horizontal="left" vertical="center" wrapText="1"/>
    </xf>
    <xf numFmtId="166" fontId="47" fillId="20" borderId="10" xfId="0" applyNumberFormat="1" applyFont="1" applyFill="1" applyBorder="1" applyAlignment="1">
      <alignment/>
    </xf>
    <xf numFmtId="166" fontId="47" fillId="20" borderId="12" xfId="0" applyNumberFormat="1" applyFont="1" applyFill="1" applyBorder="1" applyAlignment="1">
      <alignment/>
    </xf>
    <xf numFmtId="166" fontId="47" fillId="26" borderId="10" xfId="0" applyNumberFormat="1" applyFont="1" applyFill="1" applyBorder="1" applyAlignment="1">
      <alignment/>
    </xf>
    <xf numFmtId="166" fontId="47" fillId="26" borderId="12" xfId="0" applyNumberFormat="1" applyFont="1" applyFill="1" applyBorder="1" applyAlignment="1">
      <alignment/>
    </xf>
    <xf numFmtId="164" fontId="50" fillId="20" borderId="10" xfId="0" applyFont="1" applyFill="1" applyBorder="1" applyAlignment="1">
      <alignment horizontal="left" vertical="center" wrapText="1"/>
    </xf>
    <xf numFmtId="164" fontId="51" fillId="0" borderId="10" xfId="0" applyFont="1" applyFill="1" applyBorder="1" applyAlignment="1">
      <alignment vertical="center" wrapText="1"/>
    </xf>
    <xf numFmtId="164" fontId="51" fillId="0" borderId="10" xfId="0" applyFont="1" applyFill="1" applyBorder="1" applyAlignment="1">
      <alignment vertical="center"/>
    </xf>
    <xf numFmtId="164" fontId="52" fillId="24" borderId="10" xfId="0" applyFont="1" applyFill="1" applyBorder="1" applyAlignment="1">
      <alignment/>
    </xf>
    <xf numFmtId="168" fontId="46" fillId="24" borderId="10" xfId="0" applyNumberFormat="1" applyFont="1" applyFill="1" applyBorder="1" applyAlignment="1">
      <alignment vertical="center"/>
    </xf>
    <xf numFmtId="166" fontId="46" fillId="24" borderId="10" xfId="0" applyNumberFormat="1" applyFont="1" applyFill="1" applyBorder="1" applyAlignment="1">
      <alignment/>
    </xf>
    <xf numFmtId="169" fontId="47" fillId="0" borderId="10" xfId="0" applyNumberFormat="1" applyFont="1" applyFill="1" applyBorder="1" applyAlignment="1">
      <alignment horizontal="left" vertical="center"/>
    </xf>
    <xf numFmtId="164" fontId="47" fillId="0" borderId="10" xfId="0" applyFont="1" applyFill="1" applyBorder="1" applyAlignment="1">
      <alignment horizontal="left" vertical="center"/>
    </xf>
    <xf numFmtId="164" fontId="46" fillId="20" borderId="10" xfId="0" applyFont="1" applyFill="1" applyBorder="1" applyAlignment="1">
      <alignment horizontal="left" vertical="center"/>
    </xf>
    <xf numFmtId="164" fontId="51" fillId="0" borderId="10" xfId="0" applyFont="1" applyFill="1" applyBorder="1" applyAlignment="1">
      <alignment horizontal="left" vertical="center" wrapText="1"/>
    </xf>
    <xf numFmtId="164" fontId="46" fillId="10" borderId="10" xfId="0" applyFont="1" applyFill="1" applyBorder="1" applyAlignment="1">
      <alignment horizontal="left" vertical="center"/>
    </xf>
    <xf numFmtId="168" fontId="46" fillId="10" borderId="10" xfId="0" applyNumberFormat="1" applyFont="1" applyFill="1" applyBorder="1" applyAlignment="1">
      <alignment vertical="center"/>
    </xf>
    <xf numFmtId="166" fontId="46" fillId="10" borderId="10" xfId="0" applyNumberFormat="1" applyFont="1" applyFill="1" applyBorder="1" applyAlignment="1">
      <alignment/>
    </xf>
    <xf numFmtId="164" fontId="51" fillId="0" borderId="10" xfId="0" applyFont="1" applyFill="1" applyBorder="1" applyAlignment="1">
      <alignment horizontal="left" vertical="center"/>
    </xf>
    <xf numFmtId="166" fontId="50" fillId="0" borderId="10" xfId="0" applyNumberFormat="1" applyFont="1" applyFill="1" applyBorder="1" applyAlignment="1">
      <alignment horizontal="right" vertical="center"/>
    </xf>
    <xf numFmtId="166" fontId="51" fillId="0" borderId="10" xfId="0" applyNumberFormat="1" applyFont="1" applyFill="1" applyBorder="1" applyAlignment="1">
      <alignment horizontal="right" vertical="center" wrapText="1"/>
    </xf>
    <xf numFmtId="164" fontId="50" fillId="10" borderId="10" xfId="0" applyFont="1" applyFill="1" applyBorder="1" applyAlignment="1">
      <alignment horizontal="left" vertical="center"/>
    </xf>
    <xf numFmtId="164" fontId="46" fillId="10" borderId="10" xfId="0" applyFont="1" applyFill="1" applyBorder="1" applyAlignment="1">
      <alignment horizontal="left" vertical="center" wrapText="1"/>
    </xf>
    <xf numFmtId="166" fontId="50" fillId="10" borderId="10" xfId="0" applyNumberFormat="1" applyFont="1" applyFill="1" applyBorder="1" applyAlignment="1">
      <alignment horizontal="right" vertical="center"/>
    </xf>
    <xf numFmtId="164" fontId="46" fillId="11" borderId="10" xfId="0" applyFont="1" applyFill="1" applyBorder="1" applyAlignment="1">
      <alignment/>
    </xf>
    <xf numFmtId="166" fontId="46" fillId="11" borderId="10" xfId="0" applyNumberFormat="1" applyFont="1" applyFill="1" applyBorder="1" applyAlignment="1">
      <alignment/>
    </xf>
    <xf numFmtId="164" fontId="47" fillId="0" borderId="0" xfId="0" applyFont="1" applyFill="1" applyBorder="1" applyAlignment="1">
      <alignment/>
    </xf>
    <xf numFmtId="164" fontId="46" fillId="0" borderId="0" xfId="0" applyFont="1" applyFill="1" applyBorder="1" applyAlignment="1">
      <alignment/>
    </xf>
    <xf numFmtId="166" fontId="46" fillId="0" borderId="0" xfId="0" applyNumberFormat="1" applyFont="1" applyFill="1" applyBorder="1" applyAlignment="1">
      <alignment/>
    </xf>
    <xf numFmtId="164" fontId="30" fillId="0" borderId="0" xfId="0" applyFont="1" applyBorder="1" applyAlignment="1">
      <alignment horizontal="center" vertical="top" wrapText="1"/>
    </xf>
    <xf numFmtId="164" fontId="47" fillId="0" borderId="0" xfId="0" applyFont="1" applyBorder="1" applyAlignment="1">
      <alignment/>
    </xf>
    <xf numFmtId="164" fontId="47" fillId="0" borderId="0" xfId="0" applyFont="1" applyBorder="1" applyAlignment="1">
      <alignment/>
    </xf>
    <xf numFmtId="164" fontId="47" fillId="0" borderId="0" xfId="0" applyFont="1" applyFill="1" applyAlignment="1">
      <alignment/>
    </xf>
    <xf numFmtId="166" fontId="47" fillId="0" borderId="10" xfId="0" applyNumberFormat="1" applyFont="1" applyFill="1" applyBorder="1" applyAlignment="1">
      <alignment/>
    </xf>
    <xf numFmtId="166" fontId="46" fillId="20" borderId="12" xfId="0" applyNumberFormat="1" applyFont="1" applyFill="1" applyBorder="1" applyAlignment="1">
      <alignment/>
    </xf>
    <xf numFmtId="166" fontId="46" fillId="26" borderId="10" xfId="0" applyNumberFormat="1" applyFont="1" applyFill="1" applyBorder="1" applyAlignment="1">
      <alignment/>
    </xf>
    <xf numFmtId="164" fontId="50" fillId="10" borderId="10" xfId="0" applyFont="1" applyFill="1" applyBorder="1" applyAlignment="1">
      <alignment horizontal="left" vertical="center" wrapText="1"/>
    </xf>
    <xf numFmtId="164" fontId="53" fillId="5" borderId="10" xfId="0" applyFont="1" applyFill="1" applyBorder="1" applyAlignment="1">
      <alignment horizontal="left" indent="2"/>
    </xf>
    <xf numFmtId="164" fontId="53" fillId="5" borderId="10" xfId="0" applyFont="1" applyFill="1" applyBorder="1" applyAlignment="1">
      <alignment horizontal="left" vertical="center"/>
    </xf>
    <xf numFmtId="166" fontId="53" fillId="5" borderId="10" xfId="0" applyNumberFormat="1" applyFont="1" applyFill="1" applyBorder="1" applyAlignment="1">
      <alignment/>
    </xf>
    <xf numFmtId="164" fontId="50" fillId="0" borderId="10" xfId="0" applyFont="1" applyFill="1" applyBorder="1" applyAlignment="1">
      <alignment horizontal="left" vertical="center" wrapText="1"/>
    </xf>
    <xf numFmtId="164" fontId="46" fillId="0" borderId="10" xfId="0" applyFont="1" applyFill="1" applyBorder="1" applyAlignment="1">
      <alignment horizontal="left" vertical="center" wrapText="1"/>
    </xf>
    <xf numFmtId="164" fontId="50" fillId="0" borderId="10" xfId="0" applyFont="1" applyFill="1" applyBorder="1" applyAlignment="1">
      <alignment horizontal="left" vertical="center"/>
    </xf>
    <xf numFmtId="164" fontId="54" fillId="0" borderId="10" xfId="0" applyFont="1" applyFill="1" applyBorder="1" applyAlignment="1">
      <alignment horizontal="left" vertical="center" indent="1"/>
    </xf>
    <xf numFmtId="164" fontId="54" fillId="0" borderId="10" xfId="0" applyFont="1" applyFill="1" applyBorder="1" applyAlignment="1">
      <alignment horizontal="left" vertical="center" indent="4"/>
    </xf>
    <xf numFmtId="164" fontId="55" fillId="0" borderId="0" xfId="0" applyFont="1" applyBorder="1" applyAlignment="1">
      <alignment horizont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4" fontId="56" fillId="0" borderId="0" xfId="0" applyFont="1" applyAlignment="1">
      <alignment/>
    </xf>
    <xf numFmtId="164" fontId="42" fillId="0" borderId="10" xfId="0" applyFont="1" applyFill="1" applyBorder="1" applyAlignment="1">
      <alignment horizontal="left" vertical="center" indent="1"/>
    </xf>
    <xf numFmtId="164" fontId="42" fillId="0" borderId="10" xfId="0" applyFont="1" applyFill="1" applyBorder="1" applyAlignment="1">
      <alignment horizontal="left" vertical="center" indent="4"/>
    </xf>
    <xf numFmtId="164" fontId="30" fillId="0" borderId="0" xfId="0" applyFont="1" applyBorder="1" applyAlignment="1">
      <alignment horizontal="center" wrapText="1"/>
    </xf>
    <xf numFmtId="164" fontId="30" fillId="0" borderId="0" xfId="0" applyFont="1" applyAlignment="1">
      <alignment wrapText="1"/>
    </xf>
    <xf numFmtId="164" fontId="57" fillId="0" borderId="0" xfId="0" applyFont="1" applyAlignment="1">
      <alignment wrapText="1"/>
    </xf>
    <xf numFmtId="164" fontId="48" fillId="0" borderId="0" xfId="0" applyFont="1" applyAlignment="1">
      <alignment/>
    </xf>
    <xf numFmtId="164" fontId="46" fillId="0" borderId="10" xfId="0" applyFont="1" applyBorder="1" applyAlignment="1">
      <alignment horizontal="center" vertical="center" wrapText="1"/>
    </xf>
    <xf numFmtId="164" fontId="50" fillId="0" borderId="10" xfId="94" applyFont="1" applyFill="1" applyBorder="1" applyAlignment="1">
      <alignment horizontal="center" vertical="center" wrapText="1"/>
      <protection/>
    </xf>
    <xf numFmtId="164" fontId="51" fillId="0" borderId="10" xfId="94" applyFont="1" applyFill="1" applyBorder="1" applyAlignment="1">
      <alignment horizontal="center" vertical="center" wrapText="1"/>
      <protection/>
    </xf>
    <xf numFmtId="164" fontId="51" fillId="0" borderId="10" xfId="94" applyFont="1" applyFill="1" applyBorder="1" applyAlignment="1">
      <alignment horizontal="left" vertical="center" wrapText="1"/>
      <protection/>
    </xf>
    <xf numFmtId="170" fontId="51" fillId="0" borderId="10" xfId="0" applyNumberFormat="1" applyFont="1" applyFill="1" applyBorder="1" applyAlignment="1">
      <alignment horizontal="right" vertical="center" wrapText="1"/>
    </xf>
    <xf numFmtId="170" fontId="46" fillId="0" borderId="10" xfId="0" applyNumberFormat="1" applyFont="1" applyBorder="1" applyAlignment="1">
      <alignment horizontal="right"/>
    </xf>
    <xf numFmtId="164" fontId="47" fillId="20" borderId="10" xfId="0" applyFont="1" applyFill="1" applyBorder="1" applyAlignment="1">
      <alignment horizontal="center"/>
    </xf>
    <xf numFmtId="164" fontId="50" fillId="20" borderId="10" xfId="94" applyFont="1" applyFill="1" applyBorder="1" applyAlignment="1">
      <alignment horizontal="left" vertical="center" wrapText="1"/>
      <protection/>
    </xf>
    <xf numFmtId="170" fontId="50" fillId="20" borderId="10" xfId="0" applyNumberFormat="1" applyFont="1" applyFill="1" applyBorder="1" applyAlignment="1">
      <alignment horizontal="right" vertical="center" wrapText="1"/>
    </xf>
    <xf numFmtId="170" fontId="46" fillId="20" borderId="10" xfId="0" applyNumberFormat="1" applyFont="1" applyFill="1" applyBorder="1" applyAlignment="1">
      <alignment horizontal="right" vertical="center" wrapText="1"/>
    </xf>
    <xf numFmtId="164" fontId="51" fillId="0" borderId="16" xfId="0" applyFont="1" applyFill="1" applyBorder="1" applyAlignment="1">
      <alignment horizontal="left" vertical="center" wrapText="1"/>
    </xf>
    <xf numFmtId="164" fontId="51" fillId="0" borderId="0" xfId="0" applyFont="1" applyFill="1" applyBorder="1" applyAlignment="1">
      <alignment horizontal="left" vertical="center" wrapText="1"/>
    </xf>
    <xf numFmtId="164" fontId="47" fillId="0" borderId="0" xfId="0" applyFont="1" applyAlignment="1">
      <alignment wrapText="1"/>
    </xf>
    <xf numFmtId="164" fontId="58" fillId="0" borderId="0" xfId="0" applyFont="1" applyAlignment="1">
      <alignment horizontal="center"/>
    </xf>
    <xf numFmtId="166" fontId="21" fillId="0" borderId="0" xfId="0" applyNumberFormat="1" applyFont="1" applyAlignment="1">
      <alignment/>
    </xf>
    <xf numFmtId="164" fontId="59" fillId="0" borderId="0" xfId="0" applyFont="1" applyFill="1" applyAlignment="1">
      <alignment/>
    </xf>
    <xf numFmtId="164" fontId="23" fillId="0" borderId="0" xfId="0" applyFont="1" applyAlignment="1">
      <alignment horizontal="right"/>
    </xf>
    <xf numFmtId="166" fontId="23" fillId="0" borderId="0" xfId="0" applyNumberFormat="1" applyFont="1" applyAlignment="1">
      <alignment horizontal="right"/>
    </xf>
    <xf numFmtId="164" fontId="21" fillId="0" borderId="0" xfId="0" applyFont="1" applyAlignment="1">
      <alignment wrapText="1"/>
    </xf>
    <xf numFmtId="164" fontId="34" fillId="0" borderId="0" xfId="0" applyFont="1" applyBorder="1" applyAlignment="1">
      <alignment wrapText="1"/>
    </xf>
    <xf numFmtId="164" fontId="33" fillId="0" borderId="0" xfId="0" applyFont="1" applyAlignment="1">
      <alignment wrapText="1"/>
    </xf>
    <xf numFmtId="164" fontId="33" fillId="0" borderId="0" xfId="0" applyFont="1" applyFill="1" applyBorder="1" applyAlignment="1">
      <alignment horizontal="center" vertical="center" wrapText="1"/>
    </xf>
    <xf numFmtId="164" fontId="43" fillId="0" borderId="0" xfId="0" applyFont="1" applyAlignment="1">
      <alignment horizontal="center" wrapText="1"/>
    </xf>
    <xf numFmtId="166" fontId="42" fillId="0" borderId="0" xfId="0" applyNumberFormat="1" applyFont="1" applyAlignment="1">
      <alignment horizontal="center" wrapText="1"/>
    </xf>
    <xf numFmtId="164" fontId="59" fillId="0" borderId="0" xfId="0" applyFont="1" applyFill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/>
    </xf>
    <xf numFmtId="164" fontId="21" fillId="0" borderId="17" xfId="0" applyFont="1" applyFill="1" applyBorder="1" applyAlignment="1">
      <alignment vertical="center" wrapText="1"/>
    </xf>
    <xf numFmtId="166" fontId="21" fillId="0" borderId="10" xfId="0" applyNumberFormat="1" applyFont="1" applyBorder="1" applyAlignment="1">
      <alignment horizontal="right"/>
    </xf>
    <xf numFmtId="164" fontId="27" fillId="0" borderId="18" xfId="0" applyFont="1" applyBorder="1" applyAlignment="1">
      <alignment/>
    </xf>
    <xf numFmtId="164" fontId="26" fillId="0" borderId="19" xfId="0" applyFont="1" applyBorder="1" applyAlignment="1">
      <alignment/>
    </xf>
    <xf numFmtId="164" fontId="34" fillId="0" borderId="10" xfId="0" applyFont="1" applyBorder="1" applyAlignment="1">
      <alignment horizontal="left" indent="1"/>
    </xf>
    <xf numFmtId="164" fontId="21" fillId="0" borderId="17" xfId="0" applyFont="1" applyFill="1" applyBorder="1" applyAlignment="1">
      <alignment horizontal="left" vertical="center" wrapText="1" indent="1"/>
    </xf>
    <xf numFmtId="164" fontId="23" fillId="20" borderId="10" xfId="0" applyFont="1" applyFill="1" applyBorder="1" applyAlignment="1">
      <alignment vertical="center" wrapText="1"/>
    </xf>
    <xf numFmtId="166" fontId="23" fillId="20" borderId="10" xfId="0" applyNumberFormat="1" applyFont="1" applyFill="1" applyBorder="1" applyAlignment="1">
      <alignment/>
    </xf>
    <xf numFmtId="164" fontId="26" fillId="0" borderId="0" xfId="0" applyFont="1" applyAlignment="1">
      <alignment horizontal="left"/>
    </xf>
    <xf numFmtId="166" fontId="23" fillId="0" borderId="0" xfId="0" applyNumberFormat="1" applyFont="1" applyAlignment="1">
      <alignment/>
    </xf>
    <xf numFmtId="164" fontId="0" fillId="0" borderId="0" xfId="0" applyAlignment="1">
      <alignment/>
    </xf>
    <xf numFmtId="166" fontId="27" fillId="0" borderId="10" xfId="0" applyNumberFormat="1" applyFont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42" fillId="0" borderId="10" xfId="97" applyFont="1" applyBorder="1" applyAlignment="1">
      <alignment horizontal="left" indent="3"/>
      <protection/>
    </xf>
    <xf numFmtId="164" fontId="43" fillId="0" borderId="10" xfId="0" applyFont="1" applyFill="1" applyBorder="1" applyAlignment="1">
      <alignment horizontal="left" vertical="center" wrapText="1" indent="3"/>
    </xf>
    <xf numFmtId="166" fontId="21" fillId="0" borderId="10" xfId="0" applyNumberFormat="1" applyFont="1" applyFill="1" applyBorder="1" applyAlignment="1">
      <alignment/>
    </xf>
    <xf numFmtId="164" fontId="42" fillId="0" borderId="10" xfId="0" applyFont="1" applyFill="1" applyBorder="1" applyAlignment="1">
      <alignment horizontal="left" vertical="center" wrapText="1" indent="3"/>
    </xf>
    <xf numFmtId="164" fontId="34" fillId="0" borderId="0" xfId="0" applyFont="1" applyFill="1" applyAlignment="1">
      <alignment/>
    </xf>
    <xf numFmtId="164" fontId="33" fillId="20" borderId="10" xfId="0" applyFont="1" applyFill="1" applyBorder="1" applyAlignment="1">
      <alignment vertical="center" wrapText="1"/>
    </xf>
    <xf numFmtId="164" fontId="34" fillId="20" borderId="10" xfId="0" applyFont="1" applyFill="1" applyBorder="1" applyAlignment="1">
      <alignment horizontal="left" vertical="center" wrapText="1"/>
    </xf>
    <xf numFmtId="164" fontId="34" fillId="20" borderId="0" xfId="0" applyFont="1" applyFill="1" applyAlignment="1">
      <alignment/>
    </xf>
    <xf numFmtId="164" fontId="34" fillId="0" borderId="0" xfId="0" applyFont="1" applyAlignment="1">
      <alignment/>
    </xf>
    <xf numFmtId="164" fontId="33" fillId="0" borderId="10" xfId="0" applyFont="1" applyFill="1" applyBorder="1" applyAlignment="1">
      <alignment vertical="center"/>
    </xf>
    <xf numFmtId="164" fontId="34" fillId="0" borderId="10" xfId="0" applyFont="1" applyFill="1" applyBorder="1" applyAlignment="1">
      <alignment horizontal="left" vertical="center" wrapText="1"/>
    </xf>
    <xf numFmtId="164" fontId="33" fillId="20" borderId="10" xfId="0" applyFont="1" applyFill="1" applyBorder="1" applyAlignment="1">
      <alignment vertical="center"/>
    </xf>
    <xf numFmtId="164" fontId="33" fillId="20" borderId="10" xfId="0" applyFont="1" applyFill="1" applyBorder="1" applyAlignment="1">
      <alignment horizontal="left" vertical="center" wrapText="1"/>
    </xf>
    <xf numFmtId="164" fontId="42" fillId="0" borderId="10" xfId="97" applyFont="1" applyBorder="1" applyAlignment="1">
      <alignment horizontal="left" indent="4"/>
      <protection/>
    </xf>
    <xf numFmtId="164" fontId="23" fillId="20" borderId="10" xfId="0" applyFont="1" applyFill="1" applyBorder="1" applyAlignment="1">
      <alignment vertical="center"/>
    </xf>
    <xf numFmtId="164" fontId="23" fillId="0" borderId="10" xfId="0" applyFont="1" applyFill="1" applyBorder="1" applyAlignment="1">
      <alignment vertical="center"/>
    </xf>
    <xf numFmtId="164" fontId="43" fillId="0" borderId="10" xfId="0" applyFont="1" applyFill="1" applyBorder="1" applyAlignment="1">
      <alignment horizontal="left" vertical="center" wrapText="1" indent="4"/>
    </xf>
    <xf numFmtId="164" fontId="42" fillId="0" borderId="10" xfId="0" applyFont="1" applyFill="1" applyBorder="1" applyAlignment="1">
      <alignment horizontal="left" vertical="center" wrapText="1" indent="4"/>
    </xf>
    <xf numFmtId="164" fontId="23" fillId="0" borderId="10" xfId="0" applyFont="1" applyFill="1" applyBorder="1" applyAlignment="1">
      <alignment vertical="center" wrapText="1"/>
    </xf>
    <xf numFmtId="164" fontId="33" fillId="0" borderId="10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/>
    </xf>
    <xf numFmtId="164" fontId="51" fillId="0" borderId="10" xfId="97" applyFont="1" applyBorder="1">
      <alignment/>
      <protection/>
    </xf>
    <xf numFmtId="164" fontId="33" fillId="20" borderId="10" xfId="0" applyFont="1" applyFill="1" applyBorder="1" applyAlignment="1">
      <alignment/>
    </xf>
    <xf numFmtId="166" fontId="33" fillId="20" borderId="10" xfId="0" applyNumberFormat="1" applyFont="1" applyFill="1" applyBorder="1" applyAlignment="1">
      <alignment/>
    </xf>
    <xf numFmtId="164" fontId="23" fillId="20" borderId="10" xfId="0" applyFont="1" applyFill="1" applyBorder="1" applyAlignment="1">
      <alignment/>
    </xf>
    <xf numFmtId="164" fontId="21" fillId="20" borderId="10" xfId="0" applyFont="1" applyFill="1" applyBorder="1" applyAlignment="1">
      <alignment/>
    </xf>
    <xf numFmtId="164" fontId="34" fillId="0" borderId="0" xfId="0" applyFont="1" applyAlignment="1">
      <alignment horizontal="center"/>
    </xf>
    <xf numFmtId="164" fontId="34" fillId="0" borderId="10" xfId="0" applyFont="1" applyFill="1" applyBorder="1" applyAlignment="1">
      <alignment horizontal="left" vertical="center" wrapText="1" indent="1"/>
    </xf>
    <xf numFmtId="164" fontId="27" fillId="0" borderId="10" xfId="0" applyFont="1" applyFill="1" applyBorder="1" applyAlignment="1">
      <alignment/>
    </xf>
    <xf numFmtId="164" fontId="26" fillId="0" borderId="10" xfId="0" applyFont="1" applyFill="1" applyBorder="1" applyAlignment="1">
      <alignment/>
    </xf>
    <xf numFmtId="164" fontId="26" fillId="0" borderId="10" xfId="0" applyFont="1" applyFill="1" applyBorder="1" applyAlignment="1">
      <alignment wrapText="1"/>
    </xf>
    <xf numFmtId="166" fontId="27" fillId="0" borderId="10" xfId="0" applyNumberFormat="1" applyFont="1" applyFill="1" applyBorder="1" applyAlignment="1">
      <alignment/>
    </xf>
    <xf numFmtId="166" fontId="27" fillId="0" borderId="10" xfId="0" applyNumberFormat="1" applyFont="1" applyFill="1" applyBorder="1" applyAlignment="1">
      <alignment horizontal="right" vertical="center" wrapText="1"/>
    </xf>
    <xf numFmtId="166" fontId="26" fillId="20" borderId="0" xfId="0" applyNumberFormat="1" applyFont="1" applyFill="1" applyAlignment="1">
      <alignment/>
    </xf>
    <xf numFmtId="164" fontId="33" fillId="0" borderId="10" xfId="0" applyFont="1" applyFill="1" applyBorder="1" applyAlignment="1">
      <alignment horizontal="left" vertical="center" wrapText="1" indent="1"/>
    </xf>
    <xf numFmtId="164" fontId="27" fillId="0" borderId="0" xfId="0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164" fontId="26" fillId="0" borderId="10" xfId="0" applyFont="1" applyFill="1" applyBorder="1" applyAlignment="1">
      <alignment horizontal="left"/>
    </xf>
    <xf numFmtId="164" fontId="51" fillId="0" borderId="0" xfId="99" applyFont="1">
      <alignment/>
      <protection/>
    </xf>
    <xf numFmtId="164" fontId="21" fillId="0" borderId="0" xfId="99" applyFont="1">
      <alignment/>
      <protection/>
    </xf>
    <xf numFmtId="164" fontId="51" fillId="0" borderId="0" xfId="100" applyFont="1" applyBorder="1" applyAlignment="1">
      <alignment horizontal="right"/>
      <protection/>
    </xf>
    <xf numFmtId="164" fontId="23" fillId="0" borderId="0" xfId="99" applyFont="1" applyBorder="1" applyAlignment="1">
      <alignment horizontal="center"/>
      <protection/>
    </xf>
    <xf numFmtId="164" fontId="51" fillId="0" borderId="20" xfId="100" applyFont="1" applyBorder="1" applyAlignment="1">
      <alignment horizontal="center" vertical="center" wrapText="1"/>
      <protection/>
    </xf>
    <xf numFmtId="164" fontId="51" fillId="0" borderId="21" xfId="100" applyFont="1" applyBorder="1" applyAlignment="1">
      <alignment horizontal="center" vertical="center"/>
      <protection/>
    </xf>
    <xf numFmtId="164" fontId="51" fillId="0" borderId="22" xfId="100" applyFont="1" applyBorder="1" applyAlignment="1">
      <alignment horizontal="center"/>
      <protection/>
    </xf>
    <xf numFmtId="164" fontId="51" fillId="0" borderId="11" xfId="100" applyFont="1" applyBorder="1" applyAlignment="1">
      <alignment horizontal="center" wrapText="1"/>
      <protection/>
    </xf>
    <xf numFmtId="164" fontId="51" fillId="0" borderId="23" xfId="100" applyFont="1" applyBorder="1" applyAlignment="1">
      <alignment horizontal="center" wrapText="1"/>
      <protection/>
    </xf>
    <xf numFmtId="164" fontId="51" fillId="0" borderId="20" xfId="100" applyFont="1" applyBorder="1" applyAlignment="1">
      <alignment horizontal="center"/>
      <protection/>
    </xf>
    <xf numFmtId="164" fontId="51" fillId="0" borderId="21" xfId="100" applyFont="1" applyBorder="1" applyAlignment="1">
      <alignment horizontal="center"/>
      <protection/>
    </xf>
    <xf numFmtId="164" fontId="51" fillId="0" borderId="24" xfId="100" applyFont="1" applyBorder="1" applyAlignment="1">
      <alignment horizontal="center"/>
      <protection/>
    </xf>
    <xf numFmtId="164" fontId="21" fillId="0" borderId="25" xfId="100" applyFont="1" applyBorder="1" applyAlignment="1">
      <alignment horizontal="center" vertical="center"/>
      <protection/>
    </xf>
    <xf numFmtId="164" fontId="21" fillId="0" borderId="12" xfId="100" applyFont="1" applyBorder="1" applyAlignment="1">
      <alignment horizontal="center" vertical="center" wrapText="1"/>
      <protection/>
    </xf>
    <xf numFmtId="164" fontId="21" fillId="0" borderId="12" xfId="100" applyFont="1" applyBorder="1" applyAlignment="1">
      <alignment horizontal="center" vertical="center"/>
      <protection/>
    </xf>
    <xf numFmtId="166" fontId="21" fillId="0" borderId="26" xfId="100" applyNumberFormat="1" applyFont="1" applyBorder="1" applyAlignment="1">
      <alignment horizontal="right" vertical="center" indent="1"/>
      <protection/>
    </xf>
    <xf numFmtId="164" fontId="51" fillId="0" borderId="0" xfId="99" applyFont="1" applyAlignment="1">
      <alignment horizontal="center" vertical="center"/>
      <protection/>
    </xf>
    <xf numFmtId="164" fontId="21" fillId="0" borderId="27" xfId="100" applyFont="1" applyBorder="1" applyAlignment="1">
      <alignment horizontal="center" vertical="center"/>
      <protection/>
    </xf>
    <xf numFmtId="164" fontId="21" fillId="0" borderId="10" xfId="100" applyFont="1" applyBorder="1" applyAlignment="1">
      <alignment horizontal="center" vertical="center" wrapText="1"/>
      <protection/>
    </xf>
    <xf numFmtId="164" fontId="21" fillId="0" borderId="10" xfId="100" applyFont="1" applyBorder="1" applyAlignment="1">
      <alignment horizontal="center" vertical="center"/>
      <protection/>
    </xf>
    <xf numFmtId="166" fontId="21" fillId="0" borderId="28" xfId="100" applyNumberFormat="1" applyFont="1" applyBorder="1" applyAlignment="1">
      <alignment horizontal="right" vertical="center" indent="1"/>
      <protection/>
    </xf>
    <xf numFmtId="164" fontId="51" fillId="0" borderId="27" xfId="100" applyFont="1" applyBorder="1" applyAlignment="1">
      <alignment horizontal="center" vertical="center"/>
      <protection/>
    </xf>
    <xf numFmtId="164" fontId="51" fillId="0" borderId="29" xfId="100" applyFont="1" applyBorder="1" applyAlignment="1">
      <alignment horizontal="center" vertical="center"/>
      <protection/>
    </xf>
    <xf numFmtId="164" fontId="21" fillId="0" borderId="13" xfId="100" applyFont="1" applyBorder="1" applyAlignment="1">
      <alignment horizontal="center" vertical="center" wrapText="1"/>
      <protection/>
    </xf>
    <xf numFmtId="164" fontId="21" fillId="0" borderId="13" xfId="100" applyFont="1" applyBorder="1" applyAlignment="1">
      <alignment horizontal="center" vertical="center"/>
      <protection/>
    </xf>
    <xf numFmtId="166" fontId="21" fillId="0" borderId="30" xfId="100" applyNumberFormat="1" applyFont="1" applyBorder="1" applyAlignment="1">
      <alignment horizontal="right" vertical="center" indent="1"/>
      <protection/>
    </xf>
    <xf numFmtId="164" fontId="60" fillId="20" borderId="20" xfId="100" applyFont="1" applyFill="1" applyBorder="1" applyAlignment="1">
      <alignment horizontal="center"/>
      <protection/>
    </xf>
    <xf numFmtId="166" fontId="60" fillId="20" borderId="24" xfId="100" applyNumberFormat="1" applyFont="1" applyFill="1" applyBorder="1" applyAlignment="1">
      <alignment horizontal="right" indent="1"/>
      <protection/>
    </xf>
    <xf numFmtId="164" fontId="41" fillId="0" borderId="0" xfId="0" applyFont="1" applyAlignment="1">
      <alignment horizontal="right" wrapText="1"/>
    </xf>
    <xf numFmtId="164" fontId="26" fillId="0" borderId="10" xfId="0" applyFont="1" applyBorder="1" applyAlignment="1">
      <alignment horizontal="right" wrapText="1"/>
    </xf>
    <xf numFmtId="168" fontId="27" fillId="20" borderId="10" xfId="0" applyNumberFormat="1" applyFont="1" applyFill="1" applyBorder="1" applyAlignment="1">
      <alignment vertical="center"/>
    </xf>
    <xf numFmtId="166" fontId="27" fillId="0" borderId="10" xfId="0" applyNumberFormat="1" applyFont="1" applyBorder="1" applyAlignment="1">
      <alignment horizontal="right"/>
    </xf>
    <xf numFmtId="164" fontId="36" fillId="20" borderId="10" xfId="0" applyFont="1" applyFill="1" applyBorder="1" applyAlignment="1">
      <alignment/>
    </xf>
    <xf numFmtId="166" fontId="23" fillId="20" borderId="10" xfId="0" applyNumberFormat="1" applyFont="1" applyFill="1" applyBorder="1" applyAlignment="1">
      <alignment horizontal="right" vertical="center" wrapText="1"/>
    </xf>
    <xf numFmtId="164" fontId="23" fillId="20" borderId="10" xfId="0" applyFont="1" applyFill="1" applyBorder="1" applyAlignment="1">
      <alignment horizontal="left" vertical="center"/>
    </xf>
    <xf numFmtId="166" fontId="23" fillId="20" borderId="10" xfId="0" applyNumberFormat="1" applyFont="1" applyFill="1" applyBorder="1" applyAlignment="1">
      <alignment horizontal="right" vertical="center"/>
    </xf>
    <xf numFmtId="166" fontId="26" fillId="0" borderId="0" xfId="0" applyNumberFormat="1" applyFont="1" applyBorder="1" applyAlignment="1">
      <alignment horizontal="right"/>
    </xf>
    <xf numFmtId="164" fontId="34" fillId="20" borderId="10" xfId="0" applyFont="1" applyFill="1" applyBorder="1" applyAlignment="1">
      <alignment horizontal="left" indent="2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164" fontId="61" fillId="0" borderId="0" xfId="0" applyFont="1" applyAlignment="1">
      <alignment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wrapText="1"/>
    </xf>
    <xf numFmtId="164" fontId="62" fillId="0" borderId="0" xfId="0" applyFont="1" applyAlignment="1">
      <alignment/>
    </xf>
    <xf numFmtId="166" fontId="63" fillId="0" borderId="10" xfId="0" applyNumberFormat="1" applyFont="1" applyBorder="1" applyAlignment="1">
      <alignment horizontal="center" vertical="center"/>
    </xf>
    <xf numFmtId="171" fontId="63" fillId="0" borderId="10" xfId="0" applyNumberFormat="1" applyFont="1" applyBorder="1" applyAlignment="1">
      <alignment horizontal="center" vertical="center"/>
    </xf>
    <xf numFmtId="164" fontId="63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6" fontId="27" fillId="0" borderId="10" xfId="0" applyNumberFormat="1" applyFont="1" applyFill="1" applyBorder="1" applyAlignment="1">
      <alignment vertical="center"/>
    </xf>
    <xf numFmtId="166" fontId="62" fillId="0" borderId="0" xfId="0" applyNumberFormat="1" applyFont="1" applyAlignment="1">
      <alignment/>
    </xf>
    <xf numFmtId="166" fontId="27" fillId="20" borderId="10" xfId="0" applyNumberFormat="1" applyFont="1" applyFill="1" applyBorder="1" applyAlignment="1">
      <alignment vertical="center"/>
    </xf>
    <xf numFmtId="166" fontId="62" fillId="20" borderId="0" xfId="0" applyNumberFormat="1" applyFont="1" applyFill="1" applyAlignment="1">
      <alignment/>
    </xf>
    <xf numFmtId="164" fontId="62" fillId="20" borderId="0" xfId="0" applyFont="1" applyFill="1" applyAlignment="1">
      <alignment/>
    </xf>
    <xf numFmtId="164" fontId="0" fillId="20" borderId="0" xfId="0" applyFill="1" applyAlignment="1">
      <alignment/>
    </xf>
    <xf numFmtId="166" fontId="62" fillId="0" borderId="0" xfId="0" applyNumberFormat="1" applyFont="1" applyFill="1" applyAlignment="1">
      <alignment/>
    </xf>
    <xf numFmtId="164" fontId="6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62" fillId="0" borderId="10" xfId="0" applyFont="1" applyBorder="1" applyAlignment="1">
      <alignment/>
    </xf>
    <xf numFmtId="166" fontId="62" fillId="0" borderId="10" xfId="0" applyNumberFormat="1" applyFont="1" applyBorder="1" applyAlignment="1">
      <alignment/>
    </xf>
    <xf numFmtId="164" fontId="27" fillId="11" borderId="0" xfId="0" applyFont="1" applyFill="1" applyBorder="1" applyAlignment="1">
      <alignment/>
    </xf>
    <xf numFmtId="166" fontId="27" fillId="11" borderId="0" xfId="0" applyNumberFormat="1" applyFont="1" applyFill="1" applyBorder="1" applyAlignment="1">
      <alignment/>
    </xf>
    <xf numFmtId="166" fontId="27" fillId="20" borderId="0" xfId="0" applyNumberFormat="1" applyFont="1" applyFill="1" applyBorder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Alignment="1">
      <alignment horizontal="center" wrapText="1"/>
    </xf>
    <xf numFmtId="164" fontId="64" fillId="0" borderId="0" xfId="0" applyFont="1" applyAlignment="1">
      <alignment/>
    </xf>
    <xf numFmtId="164" fontId="27" fillId="0" borderId="0" xfId="0" applyFont="1" applyAlignment="1">
      <alignment horizontal="justify" wrapText="1"/>
    </xf>
    <xf numFmtId="171" fontId="65" fillId="0" borderId="10" xfId="0" applyNumberFormat="1" applyFont="1" applyBorder="1" applyAlignment="1">
      <alignment horizontal="center" vertical="center" wrapText="1"/>
    </xf>
    <xf numFmtId="171" fontId="63" fillId="0" borderId="10" xfId="0" applyNumberFormat="1" applyFont="1" applyBorder="1" applyAlignment="1">
      <alignment horizontal="center" vertical="center" wrapText="1"/>
    </xf>
    <xf numFmtId="164" fontId="43" fillId="0" borderId="0" xfId="0" applyFont="1" applyAlignment="1">
      <alignment horizontal="justify" wrapText="1"/>
    </xf>
    <xf numFmtId="166" fontId="21" fillId="0" borderId="10" xfId="0" applyNumberFormat="1" applyFont="1" applyFill="1" applyBorder="1" applyAlignment="1">
      <alignment vertical="center"/>
    </xf>
    <xf numFmtId="164" fontId="26" fillId="0" borderId="0" xfId="0" applyFont="1" applyAlignment="1">
      <alignment horizontal="justify" wrapText="1"/>
    </xf>
    <xf numFmtId="166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>
      <alignment vertical="center"/>
    </xf>
    <xf numFmtId="166" fontId="23" fillId="20" borderId="10" xfId="0" applyNumberFormat="1" applyFont="1" applyFill="1" applyBorder="1" applyAlignment="1">
      <alignment vertical="center"/>
    </xf>
    <xf numFmtId="166" fontId="64" fillId="0" borderId="0" xfId="0" applyNumberFormat="1" applyFont="1" applyAlignment="1">
      <alignment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1. jelölőszín" xfId="32"/>
    <cellStyle name="40% - 2. jelölőszín" xfId="33"/>
    <cellStyle name="40% - 3. jelölőszín" xfId="34"/>
    <cellStyle name="40% - 4. jelölőszín" xfId="35"/>
    <cellStyle name="40% - 5. jelölőszín" xfId="36"/>
    <cellStyle name="40% - 6. jelölőszín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% - 1. jelölőszín" xfId="44"/>
    <cellStyle name="60% - 2. jelölőszín" xfId="45"/>
    <cellStyle name="60% - 3. jelölőszín" xfId="46"/>
    <cellStyle name="60% - 4. jelölőszín" xfId="47"/>
    <cellStyle name="60% - 5. jelölőszín" xfId="48"/>
    <cellStyle name="60% - 6. jelölőszín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evitel" xfId="63"/>
    <cellStyle name="Calculation" xfId="64"/>
    <cellStyle name="Check Cell" xfId="65"/>
    <cellStyle name="Cím" xfId="66"/>
    <cellStyle name="Címsor 1" xfId="67"/>
    <cellStyle name="Címsor 2" xfId="68"/>
    <cellStyle name="Címsor 3" xfId="69"/>
    <cellStyle name="Címsor 4" xfId="70"/>
    <cellStyle name="Ellenőrzőcella" xfId="71"/>
    <cellStyle name="Explanatory Text" xfId="72"/>
    <cellStyle name="Ezres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al_KTRSZJ" xfId="94"/>
    <cellStyle name="Normál 2" xfId="95"/>
    <cellStyle name="Normál 3" xfId="96"/>
    <cellStyle name="Normál_2010. ktgvetés JÓ LESZ ÚJ" xfId="97"/>
    <cellStyle name="Normál_2013 évi ktgvetés IV név mód 2013 12 05" xfId="98"/>
    <cellStyle name="Normál_2013 évi ktgvetés melléklete 2013 12 21 egységes" xfId="99"/>
    <cellStyle name="Normál_kovetetttam2009" xfId="100"/>
    <cellStyle name="Normál_KVRENMUNKA" xfId="101"/>
    <cellStyle name="Note" xfId="102"/>
    <cellStyle name="Output" xfId="103"/>
    <cellStyle name="Rossz" xfId="104"/>
    <cellStyle name="Semleges" xfId="105"/>
    <cellStyle name="Számítás" xfId="106"/>
    <cellStyle name="Title" xfId="107"/>
    <cellStyle name="Total" xfId="108"/>
    <cellStyle name="Warning Text" xfId="109"/>
    <cellStyle name="Összesen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AppData\Local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0.7109375" style="1" customWidth="1"/>
    <col min="2" max="2" width="81.00390625" style="1" customWidth="1"/>
    <col min="3" max="3" width="19.421875" style="2" customWidth="1"/>
    <col min="4" max="16384" width="9.140625" style="1" customWidth="1"/>
  </cols>
  <sheetData>
    <row r="1" ht="12.75">
      <c r="B1" s="3"/>
    </row>
    <row r="2" s="1" customFormat="1" ht="12.75"/>
    <row r="3" spans="1:3" ht="18.75" customHeight="1">
      <c r="A3" s="4" t="s">
        <v>0</v>
      </c>
      <c r="B3" s="4"/>
      <c r="C3" s="3"/>
    </row>
    <row r="4" ht="12.75">
      <c r="C4" s="3"/>
    </row>
    <row r="5" ht="12.75" customHeight="1"/>
    <row r="6" spans="1:2" ht="12.75" customHeight="1">
      <c r="A6" s="5"/>
      <c r="B6" s="5"/>
    </row>
    <row r="7" spans="1:2" ht="12.75">
      <c r="A7" s="5" t="s">
        <v>1</v>
      </c>
      <c r="B7" s="5"/>
    </row>
    <row r="9" ht="12.75">
      <c r="A9" s="6"/>
    </row>
    <row r="11" ht="12.75">
      <c r="B11" s="1" t="s">
        <v>2</v>
      </c>
    </row>
    <row r="12" ht="12.75">
      <c r="B12" s="1" t="s">
        <v>3</v>
      </c>
    </row>
    <row r="13" ht="12.75">
      <c r="B13" s="1" t="s">
        <v>4</v>
      </c>
    </row>
    <row r="14" ht="12.75">
      <c r="B14" s="1" t="s">
        <v>5</v>
      </c>
    </row>
    <row r="15" ht="12.75">
      <c r="B15" s="1" t="s">
        <v>6</v>
      </c>
    </row>
    <row r="16" ht="12.75">
      <c r="B16" s="1" t="s">
        <v>7</v>
      </c>
    </row>
    <row r="17" ht="12.75">
      <c r="B17" s="1" t="s">
        <v>8</v>
      </c>
    </row>
    <row r="18" ht="12.75">
      <c r="B18" s="7"/>
    </row>
    <row r="19" ht="12.75">
      <c r="B19" s="7"/>
    </row>
    <row r="20" ht="12.75">
      <c r="A20" s="6"/>
    </row>
    <row r="27" ht="12.75">
      <c r="B27" s="8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2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10"/>
    </row>
    <row r="50" ht="12.75">
      <c r="B50" s="10"/>
    </row>
    <row r="51" ht="12.75">
      <c r="B51" s="8"/>
    </row>
    <row r="52" spans="2:4" ht="12.75">
      <c r="B52" s="10"/>
      <c r="D52" s="11"/>
    </row>
    <row r="53" ht="12.75">
      <c r="D53" s="11"/>
    </row>
    <row r="54" spans="2:4" ht="12.75">
      <c r="B54" s="10"/>
      <c r="D54" s="11"/>
    </row>
    <row r="55" spans="2:4" ht="12.75">
      <c r="B55" s="10"/>
      <c r="D55" s="11"/>
    </row>
    <row r="56" ht="12.75">
      <c r="D56" s="10"/>
    </row>
    <row r="57" spans="2:4" ht="12.75">
      <c r="B57" s="10"/>
      <c r="D57" s="10"/>
    </row>
    <row r="58" spans="2:4" ht="12.75">
      <c r="B58" s="10"/>
      <c r="D58" s="10"/>
    </row>
    <row r="59" ht="12.75">
      <c r="B59" s="8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8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8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8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8"/>
    </row>
    <row r="85" ht="12.75">
      <c r="B85" s="10"/>
    </row>
    <row r="86" ht="12.75">
      <c r="B86" s="10"/>
    </row>
    <row r="87" ht="12.75">
      <c r="B87" s="10"/>
    </row>
    <row r="88" ht="12.75">
      <c r="B88" s="8"/>
    </row>
    <row r="89" ht="12.75">
      <c r="B89" s="10"/>
    </row>
    <row r="90" spans="2:3" ht="12.75">
      <c r="B90" s="10"/>
      <c r="C90" s="12"/>
    </row>
    <row r="91" ht="12.75">
      <c r="C91" s="12"/>
    </row>
  </sheetData>
  <sheetProtection selectLockedCells="1" selectUnlockedCells="1"/>
  <mergeCells count="2">
    <mergeCell ref="A3:B3"/>
    <mergeCell ref="A7:B7"/>
  </mergeCells>
  <printOptions horizontalCentered="1"/>
  <pageMargins left="0.7875" right="0.7875" top="0.9840277777777777" bottom="0.8270833333333333" header="0.5118055555555555" footer="0.5118055555555555"/>
  <pageSetup horizontalDpi="300" verticalDpi="300" orientation="portrait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B1">
      <selection activeCell="I1" sqref="I1"/>
    </sheetView>
  </sheetViews>
  <sheetFormatPr defaultColWidth="9.140625" defaultRowHeight="15"/>
  <cols>
    <col min="1" max="1" width="10.7109375" style="30" customWidth="1"/>
    <col min="2" max="2" width="72.28125" style="30" customWidth="1"/>
    <col min="3" max="3" width="10.140625" style="30" customWidth="1"/>
    <col min="4" max="4" width="11.140625" style="30" customWidth="1"/>
    <col min="5" max="5" width="11.00390625" style="30" customWidth="1"/>
    <col min="6" max="6" width="10.8515625" style="31" customWidth="1"/>
    <col min="7" max="7" width="11.140625" style="30" customWidth="1"/>
    <col min="8" max="8" width="11.00390625" style="30" customWidth="1"/>
    <col min="9" max="9" width="10.8515625" style="31" customWidth="1"/>
    <col min="10" max="16384" width="9.140625" style="30" customWidth="1"/>
  </cols>
  <sheetData>
    <row r="1" spans="6:9" s="13" customFormat="1" ht="12.75">
      <c r="F1" s="32"/>
      <c r="I1" s="32" t="s">
        <v>601</v>
      </c>
    </row>
    <row r="2" spans="2:9" s="13" customFormat="1" ht="12.75">
      <c r="B2" s="240" t="s">
        <v>602</v>
      </c>
      <c r="F2" s="15"/>
      <c r="I2" s="15" t="s">
        <v>10</v>
      </c>
    </row>
    <row r="3" spans="2:9" s="13" customFormat="1" ht="12.75">
      <c r="B3" s="40" t="s">
        <v>593</v>
      </c>
      <c r="C3" s="36"/>
      <c r="D3" s="36"/>
      <c r="E3" s="36"/>
      <c r="F3" s="37"/>
      <c r="G3" s="36"/>
      <c r="H3" s="36"/>
      <c r="I3" s="37"/>
    </row>
    <row r="4" spans="2:9" s="13" customFormat="1" ht="12.75">
      <c r="B4" s="38" t="s">
        <v>41</v>
      </c>
      <c r="C4" s="39"/>
      <c r="D4" s="39"/>
      <c r="E4" s="39"/>
      <c r="F4" s="40"/>
      <c r="G4" s="39"/>
      <c r="H4" s="39"/>
      <c r="I4" s="40"/>
    </row>
    <row r="5" spans="2:9" ht="15.75" customHeight="1">
      <c r="B5" s="41"/>
      <c r="D5" s="92" t="s">
        <v>13</v>
      </c>
      <c r="E5" s="92"/>
      <c r="F5" s="92"/>
      <c r="G5" s="92" t="s">
        <v>14</v>
      </c>
      <c r="H5" s="92"/>
      <c r="I5" s="92"/>
    </row>
    <row r="6" spans="2:9" ht="12.75">
      <c r="B6" s="19" t="s">
        <v>15</v>
      </c>
      <c r="C6" s="42" t="s">
        <v>42</v>
      </c>
      <c r="D6" s="43" t="s">
        <v>16</v>
      </c>
      <c r="E6" s="43" t="s">
        <v>17</v>
      </c>
      <c r="F6" s="162" t="s">
        <v>528</v>
      </c>
      <c r="G6" s="43" t="s">
        <v>16</v>
      </c>
      <c r="H6" s="43" t="s">
        <v>17</v>
      </c>
      <c r="I6" s="162" t="s">
        <v>528</v>
      </c>
    </row>
    <row r="7" spans="2:9" ht="12.75">
      <c r="B7" s="45" t="s">
        <v>43</v>
      </c>
      <c r="C7" s="46" t="s">
        <v>44</v>
      </c>
      <c r="D7" s="24">
        <v>178142</v>
      </c>
      <c r="E7" s="24">
        <v>122804</v>
      </c>
      <c r="F7" s="25">
        <f>+D7+E7</f>
        <v>300946</v>
      </c>
      <c r="G7" s="24">
        <f>+301267-H7</f>
        <v>178463</v>
      </c>
      <c r="H7" s="24">
        <v>122804</v>
      </c>
      <c r="I7" s="25">
        <f>+G7+H7</f>
        <v>301267</v>
      </c>
    </row>
    <row r="8" spans="2:9" ht="12.75">
      <c r="B8" s="47" t="s">
        <v>45</v>
      </c>
      <c r="C8" s="46" t="s">
        <v>46</v>
      </c>
      <c r="D8" s="24">
        <v>8503</v>
      </c>
      <c r="E8" s="24"/>
      <c r="F8" s="25">
        <f>+D8+E8</f>
        <v>8503</v>
      </c>
      <c r="G8" s="24">
        <v>8594</v>
      </c>
      <c r="H8" s="24"/>
      <c r="I8" s="25">
        <f>+G8+H8</f>
        <v>8594</v>
      </c>
    </row>
    <row r="9" spans="2:9" ht="12.75">
      <c r="B9" s="48" t="s">
        <v>47</v>
      </c>
      <c r="C9" s="49" t="s">
        <v>48</v>
      </c>
      <c r="D9" s="25">
        <f>SUM(D7:D8)</f>
        <v>186645</v>
      </c>
      <c r="E9" s="25">
        <f>SUM(E7:E8)</f>
        <v>122804</v>
      </c>
      <c r="F9" s="25">
        <f>SUM(F7:F8)</f>
        <v>309449</v>
      </c>
      <c r="G9" s="25">
        <f>SUM(G7:G8)</f>
        <v>187057</v>
      </c>
      <c r="H9" s="25">
        <f>SUM(H7:H8)</f>
        <v>122804</v>
      </c>
      <c r="I9" s="25">
        <f>SUM(I7:I8)</f>
        <v>309861</v>
      </c>
    </row>
    <row r="10" spans="2:9" ht="12.75">
      <c r="B10" s="50" t="s">
        <v>603</v>
      </c>
      <c r="C10" s="49" t="s">
        <v>50</v>
      </c>
      <c r="D10" s="24">
        <v>35534</v>
      </c>
      <c r="E10" s="24">
        <v>22351</v>
      </c>
      <c r="F10" s="25">
        <f>+D10+E10</f>
        <v>57885</v>
      </c>
      <c r="G10" s="24">
        <f>+57977-H10</f>
        <v>35626</v>
      </c>
      <c r="H10" s="24">
        <v>22351</v>
      </c>
      <c r="I10" s="25">
        <f>+G10+H10</f>
        <v>57977</v>
      </c>
    </row>
    <row r="11" spans="2:9" ht="12.75">
      <c r="B11" s="47" t="s">
        <v>51</v>
      </c>
      <c r="C11" s="46" t="s">
        <v>52</v>
      </c>
      <c r="D11" s="24">
        <v>28746</v>
      </c>
      <c r="E11" s="24">
        <v>14887</v>
      </c>
      <c r="F11" s="25">
        <f>+D11+E11</f>
        <v>43633</v>
      </c>
      <c r="G11" s="24">
        <v>28746</v>
      </c>
      <c r="H11" s="24">
        <v>14887</v>
      </c>
      <c r="I11" s="25">
        <f>+G11+H11</f>
        <v>43633</v>
      </c>
    </row>
    <row r="12" spans="2:9" ht="12.75">
      <c r="B12" s="47" t="s">
        <v>53</v>
      </c>
      <c r="C12" s="46" t="s">
        <v>54</v>
      </c>
      <c r="D12" s="24">
        <v>865</v>
      </c>
      <c r="E12" s="24">
        <v>835</v>
      </c>
      <c r="F12" s="25">
        <f>+D12+E12</f>
        <v>1700</v>
      </c>
      <c r="G12" s="24">
        <v>865</v>
      </c>
      <c r="H12" s="24">
        <v>835</v>
      </c>
      <c r="I12" s="25">
        <f>+G12+H12</f>
        <v>1700</v>
      </c>
    </row>
    <row r="13" spans="2:9" ht="12.75">
      <c r="B13" s="47" t="s">
        <v>55</v>
      </c>
      <c r="C13" s="46" t="s">
        <v>56</v>
      </c>
      <c r="D13" s="24">
        <v>12547</v>
      </c>
      <c r="E13" s="24">
        <v>14748</v>
      </c>
      <c r="F13" s="25">
        <f>+D13+E13</f>
        <v>27295</v>
      </c>
      <c r="G13" s="24">
        <f>+50665-H13</f>
        <v>35917</v>
      </c>
      <c r="H13" s="24">
        <v>14748</v>
      </c>
      <c r="I13" s="25">
        <f>+G13+H13</f>
        <v>50665</v>
      </c>
    </row>
    <row r="14" spans="2:9" ht="12.75">
      <c r="B14" s="47" t="s">
        <v>57</v>
      </c>
      <c r="C14" s="46" t="s">
        <v>58</v>
      </c>
      <c r="D14" s="24">
        <v>200</v>
      </c>
      <c r="E14" s="24">
        <v>1900</v>
      </c>
      <c r="F14" s="25">
        <f>+D14+E14</f>
        <v>2100</v>
      </c>
      <c r="G14" s="24">
        <v>200</v>
      </c>
      <c r="H14" s="24">
        <v>1900</v>
      </c>
      <c r="I14" s="25">
        <f>+G14+H14</f>
        <v>2100</v>
      </c>
    </row>
    <row r="15" spans="2:9" ht="12.75">
      <c r="B15" s="47" t="s">
        <v>59</v>
      </c>
      <c r="C15" s="46" t="s">
        <v>60</v>
      </c>
      <c r="D15" s="24">
        <v>37314</v>
      </c>
      <c r="E15" s="24">
        <v>61279</v>
      </c>
      <c r="F15" s="25">
        <f>+D15+E15</f>
        <v>98593</v>
      </c>
      <c r="G15" s="24">
        <f>+84161-H15</f>
        <v>22882</v>
      </c>
      <c r="H15" s="24">
        <v>61279</v>
      </c>
      <c r="I15" s="25">
        <f>+G15+H15</f>
        <v>84161</v>
      </c>
    </row>
    <row r="16" spans="2:9" ht="12.75">
      <c r="B16" s="50" t="s">
        <v>61</v>
      </c>
      <c r="C16" s="49" t="s">
        <v>62</v>
      </c>
      <c r="D16" s="25">
        <f>SUM(D11:D15)</f>
        <v>79672</v>
      </c>
      <c r="E16" s="25">
        <f>SUM(E11:E15)</f>
        <v>93649</v>
      </c>
      <c r="F16" s="25">
        <f>SUM(F11:F15)</f>
        <v>173321</v>
      </c>
      <c r="G16" s="25">
        <f>SUM(G11:G15)</f>
        <v>88610</v>
      </c>
      <c r="H16" s="25">
        <f>SUM(H11:H15)</f>
        <v>93649</v>
      </c>
      <c r="I16" s="25">
        <f>SUM(I11:I15)</f>
        <v>182259</v>
      </c>
    </row>
    <row r="17" spans="2:9" ht="12.75">
      <c r="B17" s="51" t="s">
        <v>63</v>
      </c>
      <c r="C17" s="49" t="s">
        <v>64</v>
      </c>
      <c r="D17" s="24"/>
      <c r="E17" s="24"/>
      <c r="F17" s="25">
        <f>+D17+E17</f>
        <v>0</v>
      </c>
      <c r="G17" s="24"/>
      <c r="H17" s="24"/>
      <c r="I17" s="25">
        <f>+G17+H17</f>
        <v>0</v>
      </c>
    </row>
    <row r="18" spans="2:9" ht="12.75">
      <c r="B18" s="52" t="s">
        <v>65</v>
      </c>
      <c r="C18" s="46" t="s">
        <v>66</v>
      </c>
      <c r="D18" s="24"/>
      <c r="E18" s="24"/>
      <c r="F18" s="25">
        <f>+D18+E18</f>
        <v>0</v>
      </c>
      <c r="G18" s="24"/>
      <c r="H18" s="24"/>
      <c r="I18" s="25">
        <f>+G18+H18</f>
        <v>0</v>
      </c>
    </row>
    <row r="19" spans="2:9" ht="12.75">
      <c r="B19" s="52" t="s">
        <v>67</v>
      </c>
      <c r="C19" s="46" t="s">
        <v>68</v>
      </c>
      <c r="D19" s="24">
        <v>0</v>
      </c>
      <c r="E19" s="24">
        <v>0</v>
      </c>
      <c r="F19" s="25">
        <f>+D19+E19</f>
        <v>0</v>
      </c>
      <c r="G19" s="24">
        <v>0</v>
      </c>
      <c r="H19" s="24">
        <v>0</v>
      </c>
      <c r="I19" s="25">
        <f>+G19+H19</f>
        <v>0</v>
      </c>
    </row>
    <row r="20" spans="2:9" ht="12.75">
      <c r="B20" s="52" t="s">
        <v>69</v>
      </c>
      <c r="C20" s="46" t="s">
        <v>70</v>
      </c>
      <c r="D20" s="24"/>
      <c r="E20" s="24"/>
      <c r="F20" s="25">
        <f>+D20+E20</f>
        <v>0</v>
      </c>
      <c r="G20" s="24"/>
      <c r="H20" s="24"/>
      <c r="I20" s="25">
        <f>+G20+H20</f>
        <v>0</v>
      </c>
    </row>
    <row r="21" spans="2:9" ht="12.75">
      <c r="B21" s="52" t="s">
        <v>71</v>
      </c>
      <c r="C21" s="46" t="s">
        <v>72</v>
      </c>
      <c r="D21" s="24"/>
      <c r="E21" s="24"/>
      <c r="F21" s="25">
        <f>+D21+E21</f>
        <v>0</v>
      </c>
      <c r="G21" s="24"/>
      <c r="H21" s="24"/>
      <c r="I21" s="25">
        <f>+G21+H21</f>
        <v>0</v>
      </c>
    </row>
    <row r="22" spans="2:9" ht="12.75">
      <c r="B22" s="52" t="s">
        <v>73</v>
      </c>
      <c r="C22" s="46" t="s">
        <v>74</v>
      </c>
      <c r="D22" s="24"/>
      <c r="E22" s="24"/>
      <c r="F22" s="25">
        <f>+D22+E22</f>
        <v>0</v>
      </c>
      <c r="G22" s="24"/>
      <c r="H22" s="24"/>
      <c r="I22" s="25">
        <f>+G22+H22</f>
        <v>0</v>
      </c>
    </row>
    <row r="23" spans="2:9" ht="12.75">
      <c r="B23" s="52" t="s">
        <v>75</v>
      </c>
      <c r="C23" s="46" t="s">
        <v>76</v>
      </c>
      <c r="D23" s="24">
        <v>0</v>
      </c>
      <c r="E23" s="24"/>
      <c r="F23" s="25">
        <f>+D23+E23</f>
        <v>0</v>
      </c>
      <c r="G23" s="24">
        <v>0</v>
      </c>
      <c r="H23" s="24"/>
      <c r="I23" s="25">
        <f>+G23+H23</f>
        <v>0</v>
      </c>
    </row>
    <row r="24" spans="2:9" ht="12.75">
      <c r="B24" s="52" t="s">
        <v>77</v>
      </c>
      <c r="C24" s="46" t="s">
        <v>78</v>
      </c>
      <c r="D24" s="24"/>
      <c r="E24" s="24"/>
      <c r="F24" s="25">
        <f>+D24+E24</f>
        <v>0</v>
      </c>
      <c r="G24" s="24"/>
      <c r="H24" s="24"/>
      <c r="I24" s="25">
        <f>+G24+H24</f>
        <v>0</v>
      </c>
    </row>
    <row r="25" spans="2:9" ht="12.75">
      <c r="B25" s="52" t="s">
        <v>79</v>
      </c>
      <c r="C25" s="46" t="s">
        <v>80</v>
      </c>
      <c r="D25" s="24"/>
      <c r="E25" s="24"/>
      <c r="F25" s="25">
        <f>+D25+E25</f>
        <v>0</v>
      </c>
      <c r="G25" s="24"/>
      <c r="H25" s="24"/>
      <c r="I25" s="25">
        <f>+G25+H25</f>
        <v>0</v>
      </c>
    </row>
    <row r="26" spans="2:9" ht="12.75">
      <c r="B26" s="52" t="s">
        <v>81</v>
      </c>
      <c r="C26" s="46" t="s">
        <v>82</v>
      </c>
      <c r="D26" s="24"/>
      <c r="E26" s="24"/>
      <c r="F26" s="25">
        <f>+D26+E26</f>
        <v>0</v>
      </c>
      <c r="G26" s="24"/>
      <c r="H26" s="24"/>
      <c r="I26" s="25">
        <f>+G26+H26</f>
        <v>0</v>
      </c>
    </row>
    <row r="27" spans="2:9" ht="12.75">
      <c r="B27" s="53" t="s">
        <v>83</v>
      </c>
      <c r="C27" s="46" t="s">
        <v>84</v>
      </c>
      <c r="D27" s="24"/>
      <c r="E27" s="24"/>
      <c r="F27" s="25">
        <f>+D27+E27</f>
        <v>0</v>
      </c>
      <c r="G27" s="24"/>
      <c r="H27" s="24"/>
      <c r="I27" s="25">
        <f>+G27+H27</f>
        <v>0</v>
      </c>
    </row>
    <row r="28" spans="2:9" ht="12.75">
      <c r="B28" s="53" t="s">
        <v>595</v>
      </c>
      <c r="C28" s="46" t="s">
        <v>86</v>
      </c>
      <c r="D28" s="24"/>
      <c r="E28" s="24"/>
      <c r="F28" s="25">
        <f>+D28+E28</f>
        <v>0</v>
      </c>
      <c r="G28" s="24"/>
      <c r="H28" s="24"/>
      <c r="I28" s="25">
        <f>+G28+H28</f>
        <v>0</v>
      </c>
    </row>
    <row r="29" spans="2:9" ht="12.75">
      <c r="B29" s="52" t="s">
        <v>87</v>
      </c>
      <c r="C29" s="46" t="s">
        <v>88</v>
      </c>
      <c r="D29" s="24">
        <v>1100</v>
      </c>
      <c r="E29" s="24"/>
      <c r="F29" s="25">
        <f>+D29+E29</f>
        <v>1100</v>
      </c>
      <c r="G29" s="24">
        <v>1100</v>
      </c>
      <c r="H29" s="24"/>
      <c r="I29" s="25">
        <f>+G29+H29</f>
        <v>1100</v>
      </c>
    </row>
    <row r="30" spans="2:9" ht="12.75">
      <c r="B30" s="53" t="s">
        <v>89</v>
      </c>
      <c r="C30" s="46" t="s">
        <v>90</v>
      </c>
      <c r="D30" s="24"/>
      <c r="E30" s="24"/>
      <c r="F30" s="25">
        <f>+D30+E30</f>
        <v>0</v>
      </c>
      <c r="G30" s="24"/>
      <c r="H30" s="24"/>
      <c r="I30" s="25">
        <f>+G30+H30</f>
        <v>0</v>
      </c>
    </row>
    <row r="31" spans="2:9" ht="12.75">
      <c r="B31" s="53" t="s">
        <v>91</v>
      </c>
      <c r="C31" s="46" t="s">
        <v>90</v>
      </c>
      <c r="D31" s="24"/>
      <c r="E31" s="24"/>
      <c r="F31" s="25">
        <f>+D31+E31</f>
        <v>0</v>
      </c>
      <c r="G31" s="24"/>
      <c r="H31" s="24"/>
      <c r="I31" s="25">
        <f>+G31+H31</f>
        <v>0</v>
      </c>
    </row>
    <row r="32" spans="2:9" s="31" customFormat="1" ht="12.75">
      <c r="B32" s="51" t="s">
        <v>92</v>
      </c>
      <c r="C32" s="49" t="s">
        <v>93</v>
      </c>
      <c r="D32" s="25">
        <f>SUM(D18:D31)</f>
        <v>1100</v>
      </c>
      <c r="E32" s="25">
        <f>SUM(E18:E31)</f>
        <v>0</v>
      </c>
      <c r="F32" s="25">
        <f>SUM(F18:F31)</f>
        <v>1100</v>
      </c>
      <c r="G32" s="25">
        <f>SUM(G18:G31)</f>
        <v>1100</v>
      </c>
      <c r="H32" s="25">
        <f>SUM(H18:H31)</f>
        <v>0</v>
      </c>
      <c r="I32" s="25">
        <f>SUM(I18:I31)</f>
        <v>1100</v>
      </c>
    </row>
    <row r="33" spans="2:9" ht="12.75">
      <c r="B33" s="54" t="s">
        <v>94</v>
      </c>
      <c r="C33" s="55" t="s">
        <v>95</v>
      </c>
      <c r="D33" s="56">
        <f>+D32+D17+D16+D10+D9</f>
        <v>302951</v>
      </c>
      <c r="E33" s="56">
        <f>+E32+E17+E16+E10+E9</f>
        <v>238804</v>
      </c>
      <c r="F33" s="56">
        <f>+F32+F17+F16+F10+F9</f>
        <v>541755</v>
      </c>
      <c r="G33" s="56">
        <f>+G32+G17+G16+G10+G9</f>
        <v>312393</v>
      </c>
      <c r="H33" s="56">
        <f>+H32+H17+H16+H10+H9</f>
        <v>238804</v>
      </c>
      <c r="I33" s="56">
        <f>+I32+I17+I16+I10+I9</f>
        <v>551197</v>
      </c>
    </row>
    <row r="34" spans="2:9" ht="12.75">
      <c r="B34" s="57" t="s">
        <v>96</v>
      </c>
      <c r="C34" s="46" t="s">
        <v>97</v>
      </c>
      <c r="D34" s="24"/>
      <c r="E34" s="24"/>
      <c r="F34" s="25">
        <f>+D34+E34</f>
        <v>0</v>
      </c>
      <c r="G34" s="24"/>
      <c r="H34" s="24"/>
      <c r="I34" s="25">
        <f>+G34+H34</f>
        <v>0</v>
      </c>
    </row>
    <row r="35" spans="2:9" ht="12.75">
      <c r="B35" s="57" t="s">
        <v>98</v>
      </c>
      <c r="C35" s="46" t="s">
        <v>99</v>
      </c>
      <c r="D35" s="24"/>
      <c r="E35" s="24"/>
      <c r="F35" s="25">
        <f>+D35+E35</f>
        <v>0</v>
      </c>
      <c r="G35" s="24"/>
      <c r="H35" s="24"/>
      <c r="I35" s="25">
        <f>+G35+H35</f>
        <v>0</v>
      </c>
    </row>
    <row r="36" spans="2:9" ht="12.75">
      <c r="B36" s="57" t="s">
        <v>100</v>
      </c>
      <c r="C36" s="46" t="s">
        <v>101</v>
      </c>
      <c r="D36" s="24"/>
      <c r="E36" s="24"/>
      <c r="F36" s="25">
        <f>+D36+E36</f>
        <v>0</v>
      </c>
      <c r="G36" s="24">
        <v>7</v>
      </c>
      <c r="H36" s="24"/>
      <c r="I36" s="25">
        <f>+G36+H36</f>
        <v>7</v>
      </c>
    </row>
    <row r="37" spans="2:9" ht="12.75">
      <c r="B37" s="57" t="s">
        <v>102</v>
      </c>
      <c r="C37" s="46" t="s">
        <v>103</v>
      </c>
      <c r="D37" s="24">
        <v>2362</v>
      </c>
      <c r="E37" s="24">
        <v>1915</v>
      </c>
      <c r="F37" s="25">
        <f>+D37+E37</f>
        <v>4277</v>
      </c>
      <c r="G37" s="24">
        <f>+4455-H37</f>
        <v>2540</v>
      </c>
      <c r="H37" s="24">
        <v>1915</v>
      </c>
      <c r="I37" s="25">
        <f>+G37+H37</f>
        <v>4455</v>
      </c>
    </row>
    <row r="38" spans="2:9" ht="12.75">
      <c r="B38" s="58" t="s">
        <v>104</v>
      </c>
      <c r="C38" s="46" t="s">
        <v>105</v>
      </c>
      <c r="D38" s="24"/>
      <c r="E38" s="24"/>
      <c r="F38" s="25">
        <f>+D38+E38</f>
        <v>0</v>
      </c>
      <c r="G38" s="24"/>
      <c r="H38" s="24"/>
      <c r="I38" s="25">
        <f>+G38+H38</f>
        <v>0</v>
      </c>
    </row>
    <row r="39" spans="2:9" ht="12.75">
      <c r="B39" s="58" t="s">
        <v>106</v>
      </c>
      <c r="C39" s="46" t="s">
        <v>107</v>
      </c>
      <c r="D39" s="24"/>
      <c r="E39" s="24"/>
      <c r="F39" s="25">
        <f>+D39+E39</f>
        <v>0</v>
      </c>
      <c r="G39" s="24"/>
      <c r="H39" s="24"/>
      <c r="I39" s="25">
        <f>+G39+H39</f>
        <v>0</v>
      </c>
    </row>
    <row r="40" spans="2:9" ht="12.75">
      <c r="B40" s="58" t="s">
        <v>108</v>
      </c>
      <c r="C40" s="46" t="s">
        <v>109</v>
      </c>
      <c r="D40" s="24">
        <v>638</v>
      </c>
      <c r="E40" s="24">
        <v>517</v>
      </c>
      <c r="F40" s="25">
        <f>+D40+E40</f>
        <v>1155</v>
      </c>
      <c r="G40" s="24">
        <f>+1016-H40</f>
        <v>499</v>
      </c>
      <c r="H40" s="24">
        <v>517</v>
      </c>
      <c r="I40" s="25">
        <f>+G40+H40</f>
        <v>1016</v>
      </c>
    </row>
    <row r="41" spans="2:9" s="31" customFormat="1" ht="12.75">
      <c r="B41" s="59" t="s">
        <v>110</v>
      </c>
      <c r="C41" s="49" t="s">
        <v>111</v>
      </c>
      <c r="D41" s="25">
        <f>SUM(D34:D40)</f>
        <v>3000</v>
      </c>
      <c r="E41" s="25">
        <f>SUM(E34:E40)</f>
        <v>2432</v>
      </c>
      <c r="F41" s="25">
        <f>SUM(F34:F40)</f>
        <v>5432</v>
      </c>
      <c r="G41" s="25">
        <f>SUM(G34:G40)</f>
        <v>3046</v>
      </c>
      <c r="H41" s="25">
        <f>SUM(H34:H40)</f>
        <v>2432</v>
      </c>
      <c r="I41" s="25">
        <f>SUM(I34:I40)</f>
        <v>5478</v>
      </c>
    </row>
    <row r="42" spans="2:9" ht="12.75">
      <c r="B42" s="60" t="s">
        <v>112</v>
      </c>
      <c r="C42" s="46" t="s">
        <v>113</v>
      </c>
      <c r="D42" s="24">
        <v>197</v>
      </c>
      <c r="E42" s="24">
        <v>0</v>
      </c>
      <c r="F42" s="25">
        <f>+D42+E42</f>
        <v>197</v>
      </c>
      <c r="G42" s="24">
        <v>197</v>
      </c>
      <c r="H42" s="24">
        <v>0</v>
      </c>
      <c r="I42" s="25">
        <f>+G42+H42</f>
        <v>197</v>
      </c>
    </row>
    <row r="43" spans="2:9" ht="12.75">
      <c r="B43" s="60" t="s">
        <v>114</v>
      </c>
      <c r="C43" s="46" t="s">
        <v>115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ht="12.75">
      <c r="B44" s="60" t="s">
        <v>116</v>
      </c>
      <c r="C44" s="46" t="s">
        <v>117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ht="12.75">
      <c r="B45" s="60" t="s">
        <v>118</v>
      </c>
      <c r="C45" s="46" t="s">
        <v>119</v>
      </c>
      <c r="D45" s="24">
        <v>53</v>
      </c>
      <c r="E45" s="24"/>
      <c r="F45" s="25">
        <f>+D45+E45</f>
        <v>53</v>
      </c>
      <c r="G45" s="24">
        <v>53</v>
      </c>
      <c r="H45" s="24"/>
      <c r="I45" s="25">
        <f>+G45+H45</f>
        <v>53</v>
      </c>
    </row>
    <row r="46" spans="2:9" s="31" customFormat="1" ht="12.75">
      <c r="B46" s="50" t="s">
        <v>120</v>
      </c>
      <c r="C46" s="49" t="s">
        <v>121</v>
      </c>
      <c r="D46" s="25">
        <f>SUM(D42:D45)</f>
        <v>250</v>
      </c>
      <c r="E46" s="25">
        <f>SUM(E42:E45)</f>
        <v>0</v>
      </c>
      <c r="F46" s="25">
        <f>SUM(F42:F45)</f>
        <v>250</v>
      </c>
      <c r="G46" s="25">
        <f>SUM(G42:G45)</f>
        <v>250</v>
      </c>
      <c r="H46" s="25">
        <f>SUM(H42:H45)</f>
        <v>0</v>
      </c>
      <c r="I46" s="25">
        <f>SUM(I42:I45)</f>
        <v>250</v>
      </c>
    </row>
    <row r="47" spans="2:9" ht="12.75">
      <c r="B47" s="60" t="s">
        <v>122</v>
      </c>
      <c r="C47" s="46" t="s">
        <v>123</v>
      </c>
      <c r="D47" s="24"/>
      <c r="E47" s="24"/>
      <c r="F47" s="25">
        <f>+D47+E47</f>
        <v>0</v>
      </c>
      <c r="G47" s="24"/>
      <c r="H47" s="24"/>
      <c r="I47" s="25">
        <f>+G47+H47</f>
        <v>0</v>
      </c>
    </row>
    <row r="48" spans="2:9" ht="12.75">
      <c r="B48" s="60" t="s">
        <v>124</v>
      </c>
      <c r="C48" s="46" t="s">
        <v>125</v>
      </c>
      <c r="D48" s="24"/>
      <c r="E48" s="24"/>
      <c r="F48" s="25">
        <f>+D48+E48</f>
        <v>0</v>
      </c>
      <c r="G48" s="24"/>
      <c r="H48" s="24"/>
      <c r="I48" s="25">
        <f>+G48+H48</f>
        <v>0</v>
      </c>
    </row>
    <row r="49" spans="2:9" ht="12.75">
      <c r="B49" s="60" t="s">
        <v>126</v>
      </c>
      <c r="C49" s="46" t="s">
        <v>127</v>
      </c>
      <c r="D49" s="24"/>
      <c r="E49" s="24"/>
      <c r="F49" s="25">
        <f>+D49+E49</f>
        <v>0</v>
      </c>
      <c r="G49" s="24"/>
      <c r="H49" s="24"/>
      <c r="I49" s="25">
        <f>+G49+H49</f>
        <v>0</v>
      </c>
    </row>
    <row r="50" spans="2:9" ht="12.75">
      <c r="B50" s="60" t="s">
        <v>128</v>
      </c>
      <c r="C50" s="46" t="s">
        <v>129</v>
      </c>
      <c r="D50" s="24"/>
      <c r="E50" s="24"/>
      <c r="F50" s="25">
        <f>+D50+E50</f>
        <v>0</v>
      </c>
      <c r="G50" s="24"/>
      <c r="H50" s="24"/>
      <c r="I50" s="25">
        <f>+G50+H50</f>
        <v>0</v>
      </c>
    </row>
    <row r="51" spans="2:9" ht="12.75">
      <c r="B51" s="60" t="s">
        <v>130</v>
      </c>
      <c r="C51" s="46" t="s">
        <v>131</v>
      </c>
      <c r="D51" s="24"/>
      <c r="E51" s="24"/>
      <c r="F51" s="25">
        <f>+D51+E51</f>
        <v>0</v>
      </c>
      <c r="G51" s="24"/>
      <c r="H51" s="24"/>
      <c r="I51" s="25">
        <f>+G51+H51</f>
        <v>0</v>
      </c>
    </row>
    <row r="52" spans="2:9" ht="12.75">
      <c r="B52" s="60" t="s">
        <v>132</v>
      </c>
      <c r="C52" s="46" t="s">
        <v>133</v>
      </c>
      <c r="D52" s="24"/>
      <c r="E52" s="24"/>
      <c r="F52" s="25">
        <f>+D52+E52</f>
        <v>0</v>
      </c>
      <c r="G52" s="24"/>
      <c r="H52" s="24"/>
      <c r="I52" s="25">
        <f>+G52+H52</f>
        <v>0</v>
      </c>
    </row>
    <row r="53" spans="2:9" ht="12.75">
      <c r="B53" s="60" t="s">
        <v>134</v>
      </c>
      <c r="C53" s="46" t="s">
        <v>135</v>
      </c>
      <c r="D53" s="24"/>
      <c r="E53" s="24"/>
      <c r="F53" s="25">
        <f>+D53+E53</f>
        <v>0</v>
      </c>
      <c r="G53" s="24"/>
      <c r="H53" s="24"/>
      <c r="I53" s="25">
        <f>+G53+H53</f>
        <v>0</v>
      </c>
    </row>
    <row r="54" spans="2:9" ht="12.75">
      <c r="B54" s="53" t="s">
        <v>596</v>
      </c>
      <c r="C54" s="46" t="s">
        <v>137</v>
      </c>
      <c r="D54" s="24"/>
      <c r="E54" s="24"/>
      <c r="F54" s="25">
        <f>+D54+E54</f>
        <v>0</v>
      </c>
      <c r="G54" s="24"/>
      <c r="H54" s="24"/>
      <c r="I54" s="25">
        <f>+G54+H54</f>
        <v>0</v>
      </c>
    </row>
    <row r="55" spans="2:9" ht="12.75">
      <c r="B55" s="60" t="s">
        <v>138</v>
      </c>
      <c r="C55" s="46" t="s">
        <v>139</v>
      </c>
      <c r="D55" s="24"/>
      <c r="E55" s="24"/>
      <c r="F55" s="25">
        <f>+D55+E55</f>
        <v>0</v>
      </c>
      <c r="G55" s="24"/>
      <c r="H55" s="24"/>
      <c r="I55" s="25">
        <f>+G55+H55</f>
        <v>0</v>
      </c>
    </row>
    <row r="56" spans="2:9" s="31" customFormat="1" ht="12.75">
      <c r="B56" s="51" t="s">
        <v>140</v>
      </c>
      <c r="C56" s="49" t="s">
        <v>141</v>
      </c>
      <c r="D56" s="25">
        <f>SUM(D47:D55)</f>
        <v>0</v>
      </c>
      <c r="E56" s="25">
        <f>SUM(E47:E55)</f>
        <v>0</v>
      </c>
      <c r="F56" s="25">
        <f>SUM(F47:F55)</f>
        <v>0</v>
      </c>
      <c r="G56" s="25">
        <f>SUM(G47:G55)</f>
        <v>0</v>
      </c>
      <c r="H56" s="25">
        <f>SUM(H47:H55)</f>
        <v>0</v>
      </c>
      <c r="I56" s="25">
        <f>SUM(I47:I55)</f>
        <v>0</v>
      </c>
    </row>
    <row r="57" spans="2:9" ht="12.75">
      <c r="B57" s="54" t="s">
        <v>142</v>
      </c>
      <c r="C57" s="55" t="s">
        <v>143</v>
      </c>
      <c r="D57" s="56">
        <f>+D56+D46+D41</f>
        <v>3250</v>
      </c>
      <c r="E57" s="56">
        <f>+E56+E46+E41</f>
        <v>2432</v>
      </c>
      <c r="F57" s="56">
        <f>+F56+F46+F41</f>
        <v>5682</v>
      </c>
      <c r="G57" s="56">
        <f>+G56+G46+G41</f>
        <v>3296</v>
      </c>
      <c r="H57" s="56">
        <f>+H56+H46+H41</f>
        <v>2432</v>
      </c>
      <c r="I57" s="56">
        <f>+I56+I46+I41</f>
        <v>5728</v>
      </c>
    </row>
    <row r="58" spans="2:9" ht="12.75">
      <c r="B58" s="61" t="s">
        <v>144</v>
      </c>
      <c r="C58" s="62" t="s">
        <v>145</v>
      </c>
      <c r="D58" s="63">
        <f>+D56+D46+D41+D32+D17+D16+D10+D9</f>
        <v>306201</v>
      </c>
      <c r="E58" s="63">
        <f>+E56+E46+E41+E32+E17+E16+E10+E9</f>
        <v>241236</v>
      </c>
      <c r="F58" s="63">
        <f>+F56+F46+F41+F32+F17+F16+F10+F9</f>
        <v>547437</v>
      </c>
      <c r="G58" s="63">
        <f>+G56+G46+G41+G32+G17+G16+G10+G9</f>
        <v>315689</v>
      </c>
      <c r="H58" s="63">
        <f>+H56+H46+H41+H32+H17+H16+H10+H9</f>
        <v>241236</v>
      </c>
      <c r="I58" s="63">
        <f>+I56+I46+I41+I32+I17+I16+I10+I9</f>
        <v>556925</v>
      </c>
    </row>
    <row r="59" spans="2:22" ht="12.75">
      <c r="B59" s="68" t="s">
        <v>582</v>
      </c>
      <c r="C59" s="47" t="s">
        <v>171</v>
      </c>
      <c r="D59" s="241"/>
      <c r="E59" s="241"/>
      <c r="F59" s="24">
        <f>+D59+E59</f>
        <v>0</v>
      </c>
      <c r="G59" s="241"/>
      <c r="H59" s="241"/>
      <c r="I59" s="24">
        <f>+G59+H59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/>
      <c r="V59" s="65"/>
    </row>
    <row r="60" spans="2:22" ht="12.75">
      <c r="B60" s="68" t="s">
        <v>172</v>
      </c>
      <c r="C60" s="47" t="s">
        <v>173</v>
      </c>
      <c r="D60" s="241"/>
      <c r="E60" s="241"/>
      <c r="F60" s="24">
        <f>+D60+E60</f>
        <v>0</v>
      </c>
      <c r="G60" s="241"/>
      <c r="H60" s="241"/>
      <c r="I60" s="24">
        <f>+G60+H60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/>
      <c r="V60" s="65"/>
    </row>
    <row r="61" spans="2:22" ht="12.75">
      <c r="B61" s="60" t="s">
        <v>174</v>
      </c>
      <c r="C61" s="47" t="s">
        <v>175</v>
      </c>
      <c r="D61" s="241"/>
      <c r="E61" s="241"/>
      <c r="F61" s="24">
        <f>+D61+E61</f>
        <v>0</v>
      </c>
      <c r="G61" s="241"/>
      <c r="H61" s="241"/>
      <c r="I61" s="24">
        <f>+G61+H61</f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5"/>
    </row>
    <row r="62" spans="2:22" ht="12.75">
      <c r="B62" s="60" t="s">
        <v>176</v>
      </c>
      <c r="C62" s="47" t="s">
        <v>177</v>
      </c>
      <c r="D62" s="241"/>
      <c r="E62" s="241"/>
      <c r="F62" s="24">
        <f>+D62+E62</f>
        <v>0</v>
      </c>
      <c r="G62" s="241"/>
      <c r="H62" s="241"/>
      <c r="I62" s="24">
        <f>+G62+H62</f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5"/>
    </row>
    <row r="63" spans="2:22" ht="12.75">
      <c r="B63" s="73" t="s">
        <v>178</v>
      </c>
      <c r="C63" s="74" t="s">
        <v>179</v>
      </c>
      <c r="D63" s="75">
        <f>+D61+D60+D59+D62</f>
        <v>0</v>
      </c>
      <c r="E63" s="75">
        <f>+E61+E60+E59+E62</f>
        <v>0</v>
      </c>
      <c r="F63" s="75">
        <f>+F61+F60+F59+F62</f>
        <v>0</v>
      </c>
      <c r="G63" s="75">
        <f>+G61+G60+G59+G62</f>
        <v>0</v>
      </c>
      <c r="H63" s="75">
        <f>+H61+H60+H59+H62</f>
        <v>0</v>
      </c>
      <c r="I63" s="75">
        <f>+I61+I60+I59+I62</f>
        <v>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5"/>
      <c r="V63" s="65"/>
    </row>
    <row r="64" spans="2:22" ht="12.75">
      <c r="B64" s="28" t="s">
        <v>180</v>
      </c>
      <c r="C64" s="28" t="s">
        <v>181</v>
      </c>
      <c r="D64" s="29">
        <f>+D58+D63</f>
        <v>306201</v>
      </c>
      <c r="E64" s="29">
        <f>+E58+E63</f>
        <v>241236</v>
      </c>
      <c r="F64" s="29">
        <f>+F58+F63</f>
        <v>547437</v>
      </c>
      <c r="G64" s="29">
        <f>+G58+G63</f>
        <v>315689</v>
      </c>
      <c r="H64" s="29">
        <f>+H58+H63</f>
        <v>241236</v>
      </c>
      <c r="I64" s="29">
        <f>+I58+I63</f>
        <v>556925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13"/>
      <c r="C65" s="76"/>
      <c r="D65" s="77"/>
      <c r="E65" s="77"/>
      <c r="F65" s="78"/>
      <c r="G65" s="77"/>
      <c r="H65" s="77"/>
      <c r="I65" s="7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2:22" ht="15.75" customHeight="1" hidden="1">
      <c r="B66" s="13"/>
      <c r="C66" s="76"/>
      <c r="D66" s="92" t="s">
        <v>14</v>
      </c>
      <c r="E66" s="92"/>
      <c r="F66" s="92"/>
      <c r="G66" s="92" t="s">
        <v>14</v>
      </c>
      <c r="H66" s="92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2:22" ht="12.75">
      <c r="B67" s="19" t="s">
        <v>15</v>
      </c>
      <c r="C67" s="42" t="s">
        <v>182</v>
      </c>
      <c r="D67" s="43" t="s">
        <v>16</v>
      </c>
      <c r="E67" s="43" t="s">
        <v>17</v>
      </c>
      <c r="F67" s="162" t="s">
        <v>528</v>
      </c>
      <c r="G67" s="43" t="s">
        <v>16</v>
      </c>
      <c r="H67" s="43" t="s">
        <v>17</v>
      </c>
      <c r="I67" s="162" t="s">
        <v>528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2:22" ht="12.75">
      <c r="B68" s="50" t="s">
        <v>584</v>
      </c>
      <c r="C68" s="59" t="s">
        <v>196</v>
      </c>
      <c r="D68" s="25"/>
      <c r="E68" s="25"/>
      <c r="F68" s="25">
        <f>+E68+D68</f>
        <v>0</v>
      </c>
      <c r="G68" s="25"/>
      <c r="H68" s="25"/>
      <c r="I68" s="25">
        <f>+H68+G68</f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2:22" ht="12.75">
      <c r="B69" s="47" t="s">
        <v>197</v>
      </c>
      <c r="C69" s="58" t="s">
        <v>198</v>
      </c>
      <c r="D69" s="25"/>
      <c r="E69" s="25"/>
      <c r="F69" s="25">
        <f>+E69+D69</f>
        <v>0</v>
      </c>
      <c r="G69" s="25"/>
      <c r="H69" s="25"/>
      <c r="I69" s="25">
        <f>+H69+G69</f>
        <v>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2:22" ht="12.75">
      <c r="B70" s="47" t="s">
        <v>199</v>
      </c>
      <c r="C70" s="58" t="s">
        <v>200</v>
      </c>
      <c r="D70" s="25"/>
      <c r="E70" s="25"/>
      <c r="F70" s="25">
        <f>+E70+D70</f>
        <v>0</v>
      </c>
      <c r="G70" s="25"/>
      <c r="H70" s="25"/>
      <c r="I70" s="25">
        <f>+H70+G70</f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2:22" ht="12.75">
      <c r="B71" s="47" t="s">
        <v>201</v>
      </c>
      <c r="C71" s="58" t="s">
        <v>202</v>
      </c>
      <c r="D71" s="25"/>
      <c r="E71" s="25"/>
      <c r="F71" s="25">
        <f>+E71+D71</f>
        <v>0</v>
      </c>
      <c r="G71" s="25"/>
      <c r="H71" s="25"/>
      <c r="I71" s="25">
        <f>+H71+G71</f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2:22" ht="12.75">
      <c r="B72" s="47" t="s">
        <v>203</v>
      </c>
      <c r="C72" s="58" t="s">
        <v>204</v>
      </c>
      <c r="D72" s="25"/>
      <c r="E72" s="25"/>
      <c r="F72" s="25">
        <f>+E72+D72</f>
        <v>0</v>
      </c>
      <c r="G72" s="25"/>
      <c r="H72" s="25"/>
      <c r="I72" s="25">
        <f>+H72+G72</f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2:22" ht="12.75">
      <c r="B73" s="47" t="s">
        <v>205</v>
      </c>
      <c r="C73" s="58" t="s">
        <v>206</v>
      </c>
      <c r="D73" s="24">
        <v>109200</v>
      </c>
      <c r="E73" s="24">
        <v>109193</v>
      </c>
      <c r="F73" s="25">
        <f>+E73+D73</f>
        <v>218393</v>
      </c>
      <c r="G73" s="24">
        <v>109200</v>
      </c>
      <c r="H73" s="24">
        <v>109193</v>
      </c>
      <c r="I73" s="25">
        <f>+H73+G73</f>
        <v>218393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2.75">
      <c r="B74" s="50" t="s">
        <v>207</v>
      </c>
      <c r="C74" s="59" t="s">
        <v>208</v>
      </c>
      <c r="D74" s="25">
        <f>+D73+D72+D71+D70+D69+D68</f>
        <v>109200</v>
      </c>
      <c r="E74" s="25">
        <f>+E73+E72+E71+E70+E69+E68</f>
        <v>109193</v>
      </c>
      <c r="F74" s="25">
        <f>+F73+F72+F71+F70+F69+F68</f>
        <v>218393</v>
      </c>
      <c r="G74" s="25">
        <f>+G73+G72+G71+G70+G69+G68</f>
        <v>109200</v>
      </c>
      <c r="H74" s="25">
        <f>+H73+H72+H71+H70+H69+H68</f>
        <v>109193</v>
      </c>
      <c r="I74" s="25">
        <f>+I73+I72+I71+I70+I69+I68</f>
        <v>218393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2.75">
      <c r="B75" s="50" t="s">
        <v>209</v>
      </c>
      <c r="C75" s="59" t="s">
        <v>210</v>
      </c>
      <c r="D75" s="24"/>
      <c r="E75" s="24"/>
      <c r="F75" s="25">
        <f>+E75+D75</f>
        <v>0</v>
      </c>
      <c r="G75" s="24"/>
      <c r="H75" s="24"/>
      <c r="I75" s="25">
        <f>+H75+G75</f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2:22" ht="12.75" hidden="1">
      <c r="B76" s="47" t="s">
        <v>211</v>
      </c>
      <c r="C76" s="58" t="s">
        <v>212</v>
      </c>
      <c r="D76" s="24"/>
      <c r="E76" s="24"/>
      <c r="F76" s="25">
        <f>+E76+D76</f>
        <v>0</v>
      </c>
      <c r="G76" s="24"/>
      <c r="H76" s="24"/>
      <c r="I76" s="25">
        <f>+H76+G76</f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2.75" hidden="1">
      <c r="B77" s="47" t="s">
        <v>213</v>
      </c>
      <c r="C77" s="58" t="s">
        <v>214</v>
      </c>
      <c r="D77" s="24"/>
      <c r="E77" s="24"/>
      <c r="F77" s="25">
        <f>+E77+D77</f>
        <v>0</v>
      </c>
      <c r="G77" s="24"/>
      <c r="H77" s="24"/>
      <c r="I77" s="25">
        <f>+H77+G77</f>
        <v>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2:22" ht="12.75" hidden="1">
      <c r="B78" s="47" t="s">
        <v>215</v>
      </c>
      <c r="C78" s="58" t="s">
        <v>216</v>
      </c>
      <c r="D78" s="24"/>
      <c r="E78" s="24"/>
      <c r="F78" s="25">
        <f>+E78+D78</f>
        <v>0</v>
      </c>
      <c r="G78" s="24"/>
      <c r="H78" s="24"/>
      <c r="I78" s="25">
        <f>+H78+G78</f>
        <v>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2:22" ht="12.75" hidden="1">
      <c r="B79" s="47" t="s">
        <v>217</v>
      </c>
      <c r="C79" s="58" t="s">
        <v>218</v>
      </c>
      <c r="D79" s="24"/>
      <c r="E79" s="24"/>
      <c r="F79" s="25">
        <f>+E79+D79</f>
        <v>0</v>
      </c>
      <c r="G79" s="24"/>
      <c r="H79" s="24"/>
      <c r="I79" s="25">
        <f>+H79+G79</f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2:22" ht="12.75" hidden="1">
      <c r="B80" s="47" t="s">
        <v>219</v>
      </c>
      <c r="C80" s="58" t="s">
        <v>220</v>
      </c>
      <c r="D80" s="24"/>
      <c r="E80" s="24"/>
      <c r="F80" s="25">
        <f>+E80+D80</f>
        <v>0</v>
      </c>
      <c r="G80" s="24"/>
      <c r="H80" s="24"/>
      <c r="I80" s="25">
        <f>+H80+G80</f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2:22" ht="12.75" hidden="1">
      <c r="B81" s="47" t="s">
        <v>221</v>
      </c>
      <c r="C81" s="58" t="s">
        <v>222</v>
      </c>
      <c r="D81" s="24"/>
      <c r="E81" s="24"/>
      <c r="F81" s="25">
        <f>+E81+D81</f>
        <v>0</v>
      </c>
      <c r="G81" s="24"/>
      <c r="H81" s="24"/>
      <c r="I81" s="25">
        <f>+H81+G81</f>
        <v>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2:22" ht="12.75">
      <c r="B82" s="50" t="s">
        <v>223</v>
      </c>
      <c r="C82" s="59" t="s">
        <v>224</v>
      </c>
      <c r="D82" s="25">
        <f>SUM(D76:D81)</f>
        <v>0</v>
      </c>
      <c r="E82" s="25">
        <f>SUM(E76:E81)</f>
        <v>0</v>
      </c>
      <c r="F82" s="25">
        <f>SUM(F76:F81)</f>
        <v>0</v>
      </c>
      <c r="G82" s="25">
        <f>SUM(G76:G81)</f>
        <v>0</v>
      </c>
      <c r="H82" s="25">
        <f>SUM(H76:H81)</f>
        <v>0</v>
      </c>
      <c r="I82" s="25">
        <f>SUM(I76:I81)</f>
        <v>0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2:22" ht="12.75">
      <c r="B83" s="60" t="s">
        <v>585</v>
      </c>
      <c r="C83" s="58" t="s">
        <v>226</v>
      </c>
      <c r="D83" s="24">
        <v>650</v>
      </c>
      <c r="E83" s="24"/>
      <c r="F83" s="25">
        <f>+E83+D83</f>
        <v>650</v>
      </c>
      <c r="G83" s="24">
        <v>650</v>
      </c>
      <c r="H83" s="24"/>
      <c r="I83" s="25">
        <f>+H83+G83</f>
        <v>650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2:22" ht="12.75">
      <c r="B84" s="60" t="s">
        <v>227</v>
      </c>
      <c r="C84" s="58" t="s">
        <v>228</v>
      </c>
      <c r="D84" s="24">
        <v>27331</v>
      </c>
      <c r="E84" s="24">
        <v>121572</v>
      </c>
      <c r="F84" s="25">
        <f>+E84+D84</f>
        <v>148903</v>
      </c>
      <c r="G84" s="24">
        <v>27331</v>
      </c>
      <c r="H84" s="24">
        <v>121572</v>
      </c>
      <c r="I84" s="25">
        <f>+H84+G84</f>
        <v>148903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2:22" ht="12.75">
      <c r="B85" s="60" t="s">
        <v>229</v>
      </c>
      <c r="C85" s="58" t="s">
        <v>230</v>
      </c>
      <c r="D85" s="24"/>
      <c r="E85" s="24"/>
      <c r="F85" s="25">
        <f>+E85+D85</f>
        <v>0</v>
      </c>
      <c r="G85" s="24"/>
      <c r="H85" s="24"/>
      <c r="I85" s="25">
        <f>+H85+G85</f>
        <v>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2:22" ht="12.75">
      <c r="B86" s="60" t="s">
        <v>231</v>
      </c>
      <c r="C86" s="58" t="s">
        <v>232</v>
      </c>
      <c r="D86" s="24"/>
      <c r="E86" s="24"/>
      <c r="F86" s="25">
        <f>+E86+D86</f>
        <v>0</v>
      </c>
      <c r="G86" s="24"/>
      <c r="H86" s="24"/>
      <c r="I86" s="25">
        <f>+H86+G86</f>
        <v>0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2:22" ht="12.75">
      <c r="B87" s="60" t="s">
        <v>233</v>
      </c>
      <c r="C87" s="58" t="s">
        <v>234</v>
      </c>
      <c r="D87" s="24"/>
      <c r="E87" s="24"/>
      <c r="F87" s="25">
        <f>+E87+D87</f>
        <v>0</v>
      </c>
      <c r="G87" s="24"/>
      <c r="H87" s="24"/>
      <c r="I87" s="25">
        <f>+H87+G87</f>
        <v>0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2:22" ht="12.75">
      <c r="B88" s="60" t="s">
        <v>235</v>
      </c>
      <c r="C88" s="58" t="s">
        <v>236</v>
      </c>
      <c r="D88" s="24"/>
      <c r="E88" s="24"/>
      <c r="F88" s="25">
        <f>+E88+D88</f>
        <v>0</v>
      </c>
      <c r="G88" s="24"/>
      <c r="H88" s="24"/>
      <c r="I88" s="25">
        <f>+H88+G88</f>
        <v>0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2:22" ht="12.75">
      <c r="B89" s="60" t="s">
        <v>237</v>
      </c>
      <c r="C89" s="58" t="s">
        <v>238</v>
      </c>
      <c r="D89" s="24"/>
      <c r="E89" s="24"/>
      <c r="F89" s="25">
        <f>+E89+D89</f>
        <v>0</v>
      </c>
      <c r="G89" s="24"/>
      <c r="H89" s="24"/>
      <c r="I89" s="25">
        <f>+H89+G89</f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2:22" ht="12.75">
      <c r="B90" s="60" t="s">
        <v>239</v>
      </c>
      <c r="C90" s="58" t="s">
        <v>240</v>
      </c>
      <c r="D90" s="24"/>
      <c r="E90" s="24"/>
      <c r="F90" s="25">
        <f>+E90+D90</f>
        <v>0</v>
      </c>
      <c r="G90" s="24"/>
      <c r="H90" s="24"/>
      <c r="I90" s="25">
        <f>+H90+G90</f>
        <v>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2:22" ht="12.75">
      <c r="B91" s="60" t="s">
        <v>241</v>
      </c>
      <c r="C91" s="58" t="s">
        <v>242</v>
      </c>
      <c r="D91" s="24"/>
      <c r="E91" s="24"/>
      <c r="F91" s="25">
        <f>+E91+D91</f>
        <v>0</v>
      </c>
      <c r="G91" s="24"/>
      <c r="H91" s="24"/>
      <c r="I91" s="25">
        <f>+H91+G91</f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2:22" ht="12.75">
      <c r="B92" s="60" t="s">
        <v>243</v>
      </c>
      <c r="C92" s="58" t="s">
        <v>244</v>
      </c>
      <c r="D92" s="24"/>
      <c r="E92" s="24"/>
      <c r="F92" s="25">
        <f>+E92+D92</f>
        <v>0</v>
      </c>
      <c r="G92" s="24"/>
      <c r="H92" s="24"/>
      <c r="I92" s="25">
        <f>+H92+G92</f>
        <v>0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2:22" ht="12.75">
      <c r="B93" s="60" t="s">
        <v>245</v>
      </c>
      <c r="C93" s="58" t="s">
        <v>246</v>
      </c>
      <c r="D93" s="24"/>
      <c r="E93" s="24"/>
      <c r="F93" s="25">
        <f>+E93+D93</f>
        <v>0</v>
      </c>
      <c r="G93" s="24"/>
      <c r="H93" s="24"/>
      <c r="I93" s="25">
        <f>+H93+G93</f>
        <v>0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2:22" ht="12.75">
      <c r="B94" s="51" t="s">
        <v>247</v>
      </c>
      <c r="C94" s="59" t="s">
        <v>248</v>
      </c>
      <c r="D94" s="25">
        <f>SUM(D83:D93)</f>
        <v>27981</v>
      </c>
      <c r="E94" s="25">
        <f>SUM(E83:E93)</f>
        <v>121572</v>
      </c>
      <c r="F94" s="25">
        <f>SUM(F83:F93)</f>
        <v>149553</v>
      </c>
      <c r="G94" s="25">
        <f>SUM(G83:G93)</f>
        <v>27981</v>
      </c>
      <c r="H94" s="25">
        <f>SUM(H83:H93)</f>
        <v>121572</v>
      </c>
      <c r="I94" s="25">
        <f>SUM(I83:I93)</f>
        <v>149553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2:22" ht="12.75">
      <c r="B95" s="60" t="s">
        <v>249</v>
      </c>
      <c r="C95" s="58" t="s">
        <v>250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2:22" ht="12.75">
      <c r="B96" s="60" t="s">
        <v>251</v>
      </c>
      <c r="C96" s="58" t="s">
        <v>252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2:22" ht="12.75">
      <c r="B97" s="60" t="s">
        <v>253</v>
      </c>
      <c r="C97" s="58" t="s">
        <v>254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2:22" ht="12.75">
      <c r="B98" s="60" t="s">
        <v>255</v>
      </c>
      <c r="C98" s="58" t="s">
        <v>256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2:22" ht="12.75">
      <c r="B99" s="60" t="s">
        <v>257</v>
      </c>
      <c r="C99" s="58" t="s">
        <v>258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2:22" ht="12.75">
      <c r="B100" s="50" t="s">
        <v>259</v>
      </c>
      <c r="C100" s="59" t="s">
        <v>260</v>
      </c>
      <c r="D100" s="25">
        <f>SUM(D95:D99)</f>
        <v>0</v>
      </c>
      <c r="E100" s="25">
        <f>SUM(E95:E99)</f>
        <v>0</v>
      </c>
      <c r="F100" s="25">
        <f>SUM(F95:F99)</f>
        <v>0</v>
      </c>
      <c r="G100" s="25">
        <f>SUM(G95:G99)</f>
        <v>0</v>
      </c>
      <c r="H100" s="25">
        <f>SUM(H95:H99)</f>
        <v>0</v>
      </c>
      <c r="I100" s="25">
        <f>SUM(I95:I99)</f>
        <v>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2:22" ht="12.75">
      <c r="B101" s="50" t="s">
        <v>261</v>
      </c>
      <c r="C101" s="59" t="s">
        <v>262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2:22" ht="12.75">
      <c r="B102" s="60" t="s">
        <v>263</v>
      </c>
      <c r="C102" s="58" t="s">
        <v>264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2:22" ht="12.75">
      <c r="B103" s="47" t="s">
        <v>265</v>
      </c>
      <c r="C103" s="58" t="s">
        <v>266</v>
      </c>
      <c r="D103" s="24"/>
      <c r="E103" s="24"/>
      <c r="F103" s="25"/>
      <c r="G103" s="24"/>
      <c r="H103" s="24"/>
      <c r="I103" s="2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2:22" ht="12.75">
      <c r="B104" s="60" t="s">
        <v>267</v>
      </c>
      <c r="C104" s="58" t="s">
        <v>268</v>
      </c>
      <c r="D104" s="24"/>
      <c r="E104" s="24"/>
      <c r="F104" s="25"/>
      <c r="G104" s="24"/>
      <c r="H104" s="24"/>
      <c r="I104" s="2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2:22" ht="12.75">
      <c r="B105" s="60" t="s">
        <v>269</v>
      </c>
      <c r="C105" s="58" t="s">
        <v>270</v>
      </c>
      <c r="D105" s="24"/>
      <c r="E105" s="24"/>
      <c r="F105" s="25">
        <f>+E105+D105</f>
        <v>0</v>
      </c>
      <c r="G105" s="24">
        <v>3862</v>
      </c>
      <c r="H105" s="24"/>
      <c r="I105" s="25">
        <f>+H105+G105</f>
        <v>3862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22" ht="12.75">
      <c r="B106" s="60" t="s">
        <v>271</v>
      </c>
      <c r="C106" s="58" t="s">
        <v>272</v>
      </c>
      <c r="D106" s="24">
        <v>3862</v>
      </c>
      <c r="E106" s="24"/>
      <c r="F106" s="25">
        <f>+E106+D106</f>
        <v>3862</v>
      </c>
      <c r="G106" s="24"/>
      <c r="H106" s="24"/>
      <c r="I106" s="25">
        <f>+H106+G106</f>
        <v>0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22" ht="12.75">
      <c r="B107" s="50" t="s">
        <v>273</v>
      </c>
      <c r="C107" s="59" t="s">
        <v>274</v>
      </c>
      <c r="D107" s="25">
        <f>SUM(D102:D106)</f>
        <v>3862</v>
      </c>
      <c r="E107" s="25">
        <f>SUM(E102:E106)</f>
        <v>0</v>
      </c>
      <c r="F107" s="25">
        <f>SUM(F102:F106)</f>
        <v>3862</v>
      </c>
      <c r="G107" s="25">
        <f>SUM(G102:G106)</f>
        <v>3862</v>
      </c>
      <c r="H107" s="25">
        <f>SUM(H102:H106)</f>
        <v>0</v>
      </c>
      <c r="I107" s="25">
        <f>SUM(I102:I106)</f>
        <v>3862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22" ht="12.75">
      <c r="B108" s="81" t="s">
        <v>275</v>
      </c>
      <c r="C108" s="61" t="s">
        <v>276</v>
      </c>
      <c r="D108" s="63">
        <f>+D107+D101+D100+D94+D82+D75+D74</f>
        <v>141043</v>
      </c>
      <c r="E108" s="63">
        <f>+E107+E101+E100+E94+E82+E75+E74</f>
        <v>230765</v>
      </c>
      <c r="F108" s="63">
        <f>+F107+F101+F100+F94+F82+F75+F74</f>
        <v>371808</v>
      </c>
      <c r="G108" s="63">
        <f>+G107+G101+G100+G94+G82+G75+G74</f>
        <v>141043</v>
      </c>
      <c r="H108" s="63">
        <f>+H107+H101+H100+H94+H82+H75+H74</f>
        <v>230765</v>
      </c>
      <c r="I108" s="63">
        <f>+I107+I101+I100+I94+I82+I75+I74</f>
        <v>371808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22" ht="12.75">
      <c r="B109" s="82" t="s">
        <v>277</v>
      </c>
      <c r="C109" s="83"/>
      <c r="D109" s="84">
        <f>+D101+D94+D82+D74-D33</f>
        <v>-165770</v>
      </c>
      <c r="E109" s="84">
        <f>+E101+E94+E82+E74-E33</f>
        <v>-8039</v>
      </c>
      <c r="F109" s="84">
        <f>+E109+D109</f>
        <v>-173809</v>
      </c>
      <c r="G109" s="84">
        <f>+G101+G94+G82+G74-G33</f>
        <v>-175212</v>
      </c>
      <c r="H109" s="84">
        <f>+H101+H94+H82+H74-H33</f>
        <v>-8039</v>
      </c>
      <c r="I109" s="84">
        <f>+H109+G109</f>
        <v>-183251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22" ht="12.75">
      <c r="B110" s="82" t="s">
        <v>278</v>
      </c>
      <c r="C110" s="83"/>
      <c r="D110" s="84">
        <f>+D107+D100+D75-D57</f>
        <v>612</v>
      </c>
      <c r="E110" s="84">
        <f>+E107+E100+E75-E57</f>
        <v>-2432</v>
      </c>
      <c r="F110" s="84">
        <f>+E110+D110</f>
        <v>-1820</v>
      </c>
      <c r="G110" s="84">
        <f>+G107+G100+G75-G57</f>
        <v>566</v>
      </c>
      <c r="H110" s="84">
        <f>+H107+H100+H75-H57</f>
        <v>-2432</v>
      </c>
      <c r="I110" s="84">
        <f>+H110+G110</f>
        <v>-1866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2:9" ht="12.75">
      <c r="B111" s="51" t="s">
        <v>586</v>
      </c>
      <c r="C111" s="50" t="s">
        <v>286</v>
      </c>
      <c r="D111" s="24"/>
      <c r="E111" s="24"/>
      <c r="F111" s="25">
        <f>+E111+D111</f>
        <v>0</v>
      </c>
      <c r="G111" s="24"/>
      <c r="H111" s="24"/>
      <c r="I111" s="25">
        <f>+H111+G111</f>
        <v>0</v>
      </c>
    </row>
    <row r="112" spans="2:9" ht="12.75">
      <c r="B112" s="72" t="s">
        <v>587</v>
      </c>
      <c r="C112" s="50" t="s">
        <v>296</v>
      </c>
      <c r="D112" s="24"/>
      <c r="E112" s="24"/>
      <c r="F112" s="25">
        <f>+E112+D112</f>
        <v>0</v>
      </c>
      <c r="G112" s="24"/>
      <c r="H112" s="24"/>
      <c r="I112" s="25">
        <f>+H112+G112</f>
        <v>0</v>
      </c>
    </row>
    <row r="113" spans="2:9" ht="12.75">
      <c r="B113" s="47" t="s">
        <v>297</v>
      </c>
      <c r="C113" s="47" t="s">
        <v>298</v>
      </c>
      <c r="D113" s="24">
        <v>48316</v>
      </c>
      <c r="E113" s="24">
        <v>2980</v>
      </c>
      <c r="F113" s="25">
        <f>+E113+D113</f>
        <v>51296</v>
      </c>
      <c r="G113" s="24">
        <f>+60372-H113</f>
        <v>57392</v>
      </c>
      <c r="H113" s="24">
        <v>2980</v>
      </c>
      <c r="I113" s="25">
        <f>+H113+G113</f>
        <v>60372</v>
      </c>
    </row>
    <row r="114" spans="2:9" ht="12.75">
      <c r="B114" s="47" t="s">
        <v>299</v>
      </c>
      <c r="C114" s="47" t="s">
        <v>298</v>
      </c>
      <c r="D114" s="24"/>
      <c r="E114" s="24"/>
      <c r="F114" s="25">
        <f>+E114+D114</f>
        <v>0</v>
      </c>
      <c r="G114" s="24"/>
      <c r="H114" s="24"/>
      <c r="I114" s="25">
        <f>+H114+G114</f>
        <v>0</v>
      </c>
    </row>
    <row r="115" spans="2:9" ht="12.75">
      <c r="B115" s="47" t="s">
        <v>300</v>
      </c>
      <c r="C115" s="47" t="s">
        <v>301</v>
      </c>
      <c r="D115" s="24"/>
      <c r="E115" s="24"/>
      <c r="F115" s="25">
        <f>+E115+D115</f>
        <v>0</v>
      </c>
      <c r="G115" s="24"/>
      <c r="H115" s="24"/>
      <c r="I115" s="25">
        <f>+H115+G115</f>
        <v>0</v>
      </c>
    </row>
    <row r="116" spans="2:9" ht="12.75">
      <c r="B116" s="47" t="s">
        <v>302</v>
      </c>
      <c r="C116" s="47" t="s">
        <v>301</v>
      </c>
      <c r="D116" s="24"/>
      <c r="E116" s="24"/>
      <c r="F116" s="25">
        <f>+E116+D116</f>
        <v>0</v>
      </c>
      <c r="G116" s="24"/>
      <c r="H116" s="24"/>
      <c r="I116" s="25">
        <f>+H116+G116</f>
        <v>0</v>
      </c>
    </row>
    <row r="117" spans="1:9" ht="12.75">
      <c r="A117" s="88" t="s">
        <v>597</v>
      </c>
      <c r="B117" s="50" t="s">
        <v>303</v>
      </c>
      <c r="C117" s="50" t="s">
        <v>304</v>
      </c>
      <c r="D117" s="25">
        <f>SUM(D113:D116)</f>
        <v>48316</v>
      </c>
      <c r="E117" s="25">
        <f>SUM(E113:E116)</f>
        <v>2980</v>
      </c>
      <c r="F117" s="25">
        <f>SUM(F113:F116)</f>
        <v>51296</v>
      </c>
      <c r="G117" s="25">
        <f>SUM(G113:G116)</f>
        <v>57392</v>
      </c>
      <c r="H117" s="25">
        <f>SUM(H113:H116)</f>
        <v>2980</v>
      </c>
      <c r="I117" s="25">
        <f>SUM(I113:I116)</f>
        <v>60372</v>
      </c>
    </row>
    <row r="118" spans="1:9" ht="12.75">
      <c r="A118" s="88" t="s">
        <v>598</v>
      </c>
      <c r="B118" s="68" t="s">
        <v>305</v>
      </c>
      <c r="C118" s="47" t="s">
        <v>306</v>
      </c>
      <c r="D118" s="24"/>
      <c r="E118" s="24"/>
      <c r="F118" s="25">
        <f>+E118+D118</f>
        <v>0</v>
      </c>
      <c r="G118" s="24"/>
      <c r="H118" s="24"/>
      <c r="I118" s="25">
        <f>+H118+G118</f>
        <v>0</v>
      </c>
    </row>
    <row r="119" spans="2:9" ht="12.75">
      <c r="B119" s="68" t="s">
        <v>307</v>
      </c>
      <c r="C119" s="47" t="s">
        <v>308</v>
      </c>
      <c r="D119" s="24"/>
      <c r="E119" s="24"/>
      <c r="F119" s="25">
        <f>+E119+D119</f>
        <v>0</v>
      </c>
      <c r="G119" s="24"/>
      <c r="H119" s="24"/>
      <c r="I119" s="25">
        <f>+H119+G119</f>
        <v>0</v>
      </c>
    </row>
    <row r="120" spans="1:9" ht="12.75">
      <c r="A120" s="30" t="s">
        <v>604</v>
      </c>
      <c r="B120" s="68" t="s">
        <v>309</v>
      </c>
      <c r="C120" s="47" t="s">
        <v>310</v>
      </c>
      <c r="D120" s="24">
        <v>116842</v>
      </c>
      <c r="E120" s="24">
        <v>7491</v>
      </c>
      <c r="F120" s="25">
        <f>+E120+D120</f>
        <v>124333</v>
      </c>
      <c r="G120" s="24">
        <f>+116842+412</f>
        <v>117254</v>
      </c>
      <c r="H120" s="24">
        <v>7491</v>
      </c>
      <c r="I120" s="25">
        <f>+H120+G120</f>
        <v>124745</v>
      </c>
    </row>
    <row r="121" spans="2:9" s="242" customFormat="1" ht="12.75">
      <c r="B121" s="243" t="s">
        <v>600</v>
      </c>
      <c r="C121" s="140"/>
      <c r="D121" s="100">
        <v>19074</v>
      </c>
      <c r="E121" s="100">
        <v>7491</v>
      </c>
      <c r="F121" s="126">
        <f>+E121+D121</f>
        <v>26565</v>
      </c>
      <c r="G121" s="100">
        <f>+G120-G122</f>
        <v>19486</v>
      </c>
      <c r="H121" s="100">
        <v>7491</v>
      </c>
      <c r="I121" s="126">
        <f>+H121+G121</f>
        <v>26977</v>
      </c>
    </row>
    <row r="122" spans="2:9" s="242" customFormat="1" ht="12.75">
      <c r="B122" s="244" t="s">
        <v>591</v>
      </c>
      <c r="C122" s="140"/>
      <c r="D122" s="100">
        <f>+D120-D121</f>
        <v>97768</v>
      </c>
      <c r="E122" s="100">
        <f>+E120-E121</f>
        <v>0</v>
      </c>
      <c r="F122" s="126">
        <f>+E122+D122</f>
        <v>97768</v>
      </c>
      <c r="G122" s="100">
        <v>97768</v>
      </c>
      <c r="H122" s="100">
        <f>+H120-H121</f>
        <v>0</v>
      </c>
      <c r="I122" s="126">
        <f>+H122+G122</f>
        <v>97768</v>
      </c>
    </row>
    <row r="123" spans="2:9" ht="12.75">
      <c r="B123" s="68" t="s">
        <v>311</v>
      </c>
      <c r="C123" s="47" t="s">
        <v>312</v>
      </c>
      <c r="D123" s="24"/>
      <c r="E123" s="24"/>
      <c r="F123" s="25">
        <f>+E123+D123</f>
        <v>0</v>
      </c>
      <c r="G123" s="24"/>
      <c r="H123" s="24"/>
      <c r="I123" s="25">
        <f>+H123+G123</f>
        <v>0</v>
      </c>
    </row>
    <row r="124" spans="2:9" ht="12.75">
      <c r="B124" s="60" t="s">
        <v>313</v>
      </c>
      <c r="C124" s="47" t="s">
        <v>314</v>
      </c>
      <c r="D124" s="24"/>
      <c r="E124" s="24"/>
      <c r="F124" s="25">
        <f>+E124+D124</f>
        <v>0</v>
      </c>
      <c r="G124" s="24"/>
      <c r="H124" s="24"/>
      <c r="I124" s="25">
        <f>+H124+G124</f>
        <v>0</v>
      </c>
    </row>
    <row r="125" spans="2:9" ht="12.75">
      <c r="B125" s="60" t="s">
        <v>315</v>
      </c>
      <c r="C125" s="47" t="s">
        <v>316</v>
      </c>
      <c r="D125" s="24"/>
      <c r="E125" s="24"/>
      <c r="F125" s="25">
        <f>+E125+D125</f>
        <v>0</v>
      </c>
      <c r="G125" s="24"/>
      <c r="H125" s="24"/>
      <c r="I125" s="25">
        <f>+H125+G125</f>
        <v>0</v>
      </c>
    </row>
    <row r="126" spans="2:9" ht="12.75">
      <c r="B126" s="51" t="s">
        <v>317</v>
      </c>
      <c r="C126" s="50" t="s">
        <v>318</v>
      </c>
      <c r="D126" s="25">
        <f>SUM(D118:D125)+D117+D112+D111-D121-D122</f>
        <v>165158</v>
      </c>
      <c r="E126" s="25">
        <f>SUM(E118:E125)+E117+E112+E111-E121-E122</f>
        <v>10471</v>
      </c>
      <c r="F126" s="25">
        <f>SUM(F118:F124)+F117+F112+F111-F121-F122</f>
        <v>175629</v>
      </c>
      <c r="G126" s="25">
        <f>SUM(G118:G125)+G117+G112+G111-G121-G122</f>
        <v>174646</v>
      </c>
      <c r="H126" s="25">
        <f>SUM(H118:H125)+H117+H112+H111-H121-H122</f>
        <v>10471</v>
      </c>
      <c r="I126" s="25">
        <f>SUM(I118:I124)+I117+I112+I111-I121-I122</f>
        <v>185117</v>
      </c>
    </row>
    <row r="127" spans="2:9" ht="12.75" hidden="1">
      <c r="B127" s="68" t="s">
        <v>319</v>
      </c>
      <c r="C127" s="47" t="s">
        <v>320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2:9" ht="12.75" hidden="1">
      <c r="B128" s="60" t="s">
        <v>321</v>
      </c>
      <c r="C128" s="47" t="s">
        <v>322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t="12.75" hidden="1">
      <c r="B129" s="60" t="s">
        <v>323</v>
      </c>
      <c r="C129" s="47" t="s">
        <v>324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ht="12.75">
      <c r="B130" s="73" t="s">
        <v>325</v>
      </c>
      <c r="C130" s="74" t="s">
        <v>326</v>
      </c>
      <c r="D130" s="63">
        <f>+D128+D127+D126+D129</f>
        <v>165158</v>
      </c>
      <c r="E130" s="63">
        <f>+E128+E127+E126+E129</f>
        <v>10471</v>
      </c>
      <c r="F130" s="63">
        <f>+F129+F127+F126</f>
        <v>175629</v>
      </c>
      <c r="G130" s="63">
        <f>+G128+G127+G126+G129</f>
        <v>174646</v>
      </c>
      <c r="H130" s="63">
        <f>+H128+H127+H126+H129</f>
        <v>10471</v>
      </c>
      <c r="I130" s="63">
        <f>+I129+I127+I126</f>
        <v>185117</v>
      </c>
    </row>
    <row r="131" spans="2:9" ht="12.75">
      <c r="B131" s="28" t="s">
        <v>327</v>
      </c>
      <c r="C131" s="28" t="s">
        <v>328</v>
      </c>
      <c r="D131" s="29">
        <f>+D108+D130</f>
        <v>306201</v>
      </c>
      <c r="E131" s="29">
        <f>+E108+E130</f>
        <v>241236</v>
      </c>
      <c r="F131" s="29">
        <f>+F108+F130</f>
        <v>547437</v>
      </c>
      <c r="G131" s="29">
        <f>+G108+G130</f>
        <v>315689</v>
      </c>
      <c r="H131" s="29">
        <f>+H108+H130</f>
        <v>241236</v>
      </c>
      <c r="I131" s="29">
        <f>+I108+I130</f>
        <v>556925</v>
      </c>
    </row>
    <row r="132" spans="2:9" ht="12.75">
      <c r="B132" s="13"/>
      <c r="C132" s="13"/>
      <c r="D132" s="14"/>
      <c r="E132" s="14"/>
      <c r="F132" s="85"/>
      <c r="G132" s="14"/>
      <c r="H132" s="14"/>
      <c r="I132" s="85"/>
    </row>
    <row r="133" spans="2:9" ht="12.75">
      <c r="B133" s="26" t="s">
        <v>329</v>
      </c>
      <c r="C133" s="26"/>
      <c r="D133" s="25">
        <f>+D108-D58</f>
        <v>-165158</v>
      </c>
      <c r="E133" s="25">
        <f>+E108-E58</f>
        <v>-10471</v>
      </c>
      <c r="F133" s="25">
        <f>+F108-F58</f>
        <v>-175629</v>
      </c>
      <c r="G133" s="25">
        <f>+G108-G58</f>
        <v>-174646</v>
      </c>
      <c r="H133" s="25">
        <f>+H108-H58</f>
        <v>-10471</v>
      </c>
      <c r="I133" s="25">
        <f>+I108-I58</f>
        <v>-185117</v>
      </c>
    </row>
    <row r="134" spans="2:9" ht="12.75">
      <c r="B134" s="26" t="s">
        <v>330</v>
      </c>
      <c r="C134" s="26"/>
      <c r="D134" s="25">
        <f>+D130-D63</f>
        <v>165158</v>
      </c>
      <c r="E134" s="25">
        <f>+E130-E63</f>
        <v>10471</v>
      </c>
      <c r="F134" s="25">
        <f>+F130-F63</f>
        <v>175629</v>
      </c>
      <c r="G134" s="25">
        <f>+G130-G63</f>
        <v>174646</v>
      </c>
      <c r="H134" s="25">
        <f>+H130-H63</f>
        <v>10471</v>
      </c>
      <c r="I134" s="25">
        <f>+I130-I63</f>
        <v>185117</v>
      </c>
    </row>
    <row r="135" spans="2:9" ht="12.75">
      <c r="B135" s="13"/>
      <c r="C135" s="13"/>
      <c r="D135" s="14"/>
      <c r="E135" s="14"/>
      <c r="F135" s="85"/>
      <c r="G135" s="14"/>
      <c r="H135" s="14"/>
      <c r="I135" s="85"/>
    </row>
    <row r="136" spans="2:9" ht="12.75">
      <c r="B136" s="87" t="s">
        <v>333</v>
      </c>
      <c r="C136" s="13"/>
      <c r="D136" s="14">
        <f>+D131-D64</f>
        <v>0</v>
      </c>
      <c r="E136" s="14">
        <f>+E131-E64</f>
        <v>0</v>
      </c>
      <c r="F136" s="14">
        <f>+F131-F64</f>
        <v>0</v>
      </c>
      <c r="G136" s="14">
        <f>+G131-G64</f>
        <v>0</v>
      </c>
      <c r="H136" s="14">
        <f>+H131-H64</f>
        <v>0</v>
      </c>
      <c r="I136" s="14">
        <f>+I131-I64</f>
        <v>0</v>
      </c>
    </row>
    <row r="137" spans="2:9" ht="12.75">
      <c r="B137" s="13"/>
      <c r="C137" s="13"/>
      <c r="D137" s="14"/>
      <c r="E137" s="14"/>
      <c r="F137" s="85"/>
      <c r="G137" s="14"/>
      <c r="H137" s="14"/>
      <c r="I137" s="85"/>
    </row>
    <row r="138" spans="2:9" ht="12.75">
      <c r="B138" s="13"/>
      <c r="C138" s="13"/>
      <c r="D138" s="14"/>
      <c r="E138" s="14"/>
      <c r="F138" s="85"/>
      <c r="G138" s="14"/>
      <c r="H138" s="14"/>
      <c r="I138" s="85"/>
    </row>
    <row r="139" spans="2:9" ht="12.75">
      <c r="B139" s="13"/>
      <c r="C139" s="13"/>
      <c r="D139" s="14"/>
      <c r="E139" s="14"/>
      <c r="F139" s="85"/>
      <c r="G139" s="14"/>
      <c r="H139" s="14"/>
      <c r="I139" s="85"/>
    </row>
    <row r="140" spans="2:9" ht="12.75">
      <c r="B140" s="13"/>
      <c r="C140" s="13"/>
      <c r="D140" s="14"/>
      <c r="E140" s="14"/>
      <c r="F140" s="85"/>
      <c r="G140" s="14"/>
      <c r="H140" s="14"/>
      <c r="I140" s="85"/>
    </row>
    <row r="141" spans="2:9" ht="12.75">
      <c r="B141" s="13"/>
      <c r="C141" s="13"/>
      <c r="D141" s="14"/>
      <c r="E141" s="14"/>
      <c r="F141" s="85"/>
      <c r="G141" s="14"/>
      <c r="H141" s="14"/>
      <c r="I141" s="85"/>
    </row>
    <row r="142" spans="2:9" ht="12.75">
      <c r="B142" s="13"/>
      <c r="C142" s="13"/>
      <c r="D142" s="14"/>
      <c r="E142" s="14"/>
      <c r="F142" s="85"/>
      <c r="G142" s="14"/>
      <c r="H142" s="14"/>
      <c r="I142" s="85"/>
    </row>
    <row r="143" spans="2:9" ht="12.75">
      <c r="B143" s="13"/>
      <c r="C143" s="13"/>
      <c r="D143" s="14"/>
      <c r="E143" s="14"/>
      <c r="F143" s="85"/>
      <c r="G143" s="14"/>
      <c r="H143" s="14"/>
      <c r="I143" s="85"/>
    </row>
    <row r="144" spans="2:9" ht="12.75">
      <c r="B144" s="13"/>
      <c r="C144" s="13"/>
      <c r="D144" s="14"/>
      <c r="E144" s="14"/>
      <c r="F144" s="85"/>
      <c r="G144" s="14"/>
      <c r="H144" s="14"/>
      <c r="I144" s="85"/>
    </row>
    <row r="145" spans="2:9" ht="12.75">
      <c r="B145" s="13"/>
      <c r="C145" s="13"/>
      <c r="D145" s="14"/>
      <c r="E145" s="14"/>
      <c r="F145" s="85"/>
      <c r="G145" s="14"/>
      <c r="H145" s="14"/>
      <c r="I145" s="85"/>
    </row>
    <row r="146" spans="2:9" ht="12.75">
      <c r="B146" s="13"/>
      <c r="C146" s="13"/>
      <c r="D146" s="14"/>
      <c r="E146" s="14"/>
      <c r="F146" s="85"/>
      <c r="G146" s="14"/>
      <c r="H146" s="14"/>
      <c r="I146" s="85"/>
    </row>
    <row r="147" spans="2:9" ht="12.75">
      <c r="B147" s="13"/>
      <c r="C147" s="13"/>
      <c r="D147" s="14"/>
      <c r="E147" s="14"/>
      <c r="F147" s="85"/>
      <c r="G147" s="14"/>
      <c r="H147" s="14"/>
      <c r="I147" s="85"/>
    </row>
    <row r="148" spans="2:9" ht="12.75">
      <c r="B148" s="13"/>
      <c r="C148" s="13"/>
      <c r="D148" s="14"/>
      <c r="E148" s="14"/>
      <c r="F148" s="85"/>
      <c r="G148" s="14"/>
      <c r="H148" s="14"/>
      <c r="I148" s="85"/>
    </row>
    <row r="149" spans="2:9" ht="12.75">
      <c r="B149" s="13"/>
      <c r="C149" s="13"/>
      <c r="D149" s="14"/>
      <c r="E149" s="14"/>
      <c r="F149" s="85"/>
      <c r="G149" s="14"/>
      <c r="H149" s="14"/>
      <c r="I149" s="85"/>
    </row>
    <row r="150" spans="2:9" ht="12.75">
      <c r="B150" s="13"/>
      <c r="C150" s="13"/>
      <c r="D150" s="14"/>
      <c r="E150" s="14"/>
      <c r="F150" s="85"/>
      <c r="G150" s="14"/>
      <c r="H150" s="14"/>
      <c r="I150" s="85"/>
    </row>
    <row r="151" spans="2:9" ht="12.75">
      <c r="B151" s="13"/>
      <c r="C151" s="13"/>
      <c r="D151" s="14"/>
      <c r="E151" s="14"/>
      <c r="F151" s="85"/>
      <c r="G151" s="14"/>
      <c r="H151" s="14"/>
      <c r="I151" s="85"/>
    </row>
    <row r="152" spans="2:9" ht="12.75">
      <c r="B152" s="13"/>
      <c r="C152" s="13"/>
      <c r="D152" s="14"/>
      <c r="E152" s="14"/>
      <c r="F152" s="85"/>
      <c r="G152" s="14"/>
      <c r="H152" s="14"/>
      <c r="I152" s="85"/>
    </row>
    <row r="153" spans="2:9" ht="12.75">
      <c r="B153" s="13"/>
      <c r="C153" s="13"/>
      <c r="D153" s="14"/>
      <c r="E153" s="14"/>
      <c r="F153" s="85"/>
      <c r="G153" s="14"/>
      <c r="H153" s="14"/>
      <c r="I153" s="85"/>
    </row>
    <row r="154" spans="2:9" ht="12.75">
      <c r="B154" s="13"/>
      <c r="C154" s="13"/>
      <c r="D154" s="14"/>
      <c r="E154" s="14"/>
      <c r="F154" s="85"/>
      <c r="G154" s="14"/>
      <c r="H154" s="14"/>
      <c r="I154" s="85"/>
    </row>
    <row r="155" spans="2:9" ht="12.75">
      <c r="B155" s="13"/>
      <c r="C155" s="13"/>
      <c r="D155" s="14"/>
      <c r="E155" s="14"/>
      <c r="F155" s="85"/>
      <c r="G155" s="14"/>
      <c r="H155" s="14"/>
      <c r="I155" s="85"/>
    </row>
    <row r="156" spans="2:9" ht="12.75">
      <c r="B156" s="13"/>
      <c r="C156" s="13"/>
      <c r="D156" s="14"/>
      <c r="E156" s="14"/>
      <c r="F156" s="85"/>
      <c r="G156" s="14"/>
      <c r="H156" s="14"/>
      <c r="I156" s="85"/>
    </row>
    <row r="157" spans="2:9" ht="12.75">
      <c r="B157" s="13"/>
      <c r="C157" s="13"/>
      <c r="D157" s="14"/>
      <c r="E157" s="14"/>
      <c r="F157" s="85"/>
      <c r="G157" s="14"/>
      <c r="H157" s="14"/>
      <c r="I157" s="85"/>
    </row>
    <row r="158" spans="2:9" ht="12.75">
      <c r="B158" s="13"/>
      <c r="C158" s="13"/>
      <c r="D158" s="14"/>
      <c r="E158" s="14"/>
      <c r="F158" s="85"/>
      <c r="G158" s="14"/>
      <c r="H158" s="14"/>
      <c r="I158" s="85"/>
    </row>
    <row r="159" spans="2:9" ht="12.75">
      <c r="B159" s="13"/>
      <c r="C159" s="13"/>
      <c r="D159" s="14"/>
      <c r="E159" s="14"/>
      <c r="F159" s="85"/>
      <c r="G159" s="14"/>
      <c r="H159" s="14"/>
      <c r="I159" s="85"/>
    </row>
    <row r="160" spans="2:9" ht="12.75">
      <c r="B160" s="13"/>
      <c r="C160" s="13"/>
      <c r="D160" s="14"/>
      <c r="E160" s="14"/>
      <c r="F160" s="85"/>
      <c r="G160" s="14"/>
      <c r="H160" s="14"/>
      <c r="I160" s="85"/>
    </row>
    <row r="161" spans="2:9" ht="12.75">
      <c r="B161" s="13"/>
      <c r="C161" s="13"/>
      <c r="D161" s="14"/>
      <c r="E161" s="14"/>
      <c r="F161" s="85"/>
      <c r="G161" s="14"/>
      <c r="H161" s="14"/>
      <c r="I161" s="85"/>
    </row>
    <row r="162" spans="2:9" ht="12.75">
      <c r="B162" s="13"/>
      <c r="C162" s="13"/>
      <c r="D162" s="14"/>
      <c r="E162" s="14"/>
      <c r="F162" s="85"/>
      <c r="G162" s="14"/>
      <c r="H162" s="14"/>
      <c r="I162" s="85"/>
    </row>
    <row r="163" spans="2:9" ht="12.75">
      <c r="B163" s="13"/>
      <c r="C163" s="13"/>
      <c r="D163" s="14"/>
      <c r="E163" s="14"/>
      <c r="F163" s="85"/>
      <c r="G163" s="14"/>
      <c r="H163" s="14"/>
      <c r="I163" s="85"/>
    </row>
    <row r="164" spans="2:9" ht="12.75">
      <c r="B164" s="13"/>
      <c r="C164" s="13"/>
      <c r="D164" s="14"/>
      <c r="E164" s="14"/>
      <c r="F164" s="85"/>
      <c r="G164" s="14"/>
      <c r="H164" s="14"/>
      <c r="I164" s="85"/>
    </row>
    <row r="165" spans="2:9" ht="12.75">
      <c r="B165" s="13"/>
      <c r="C165" s="13"/>
      <c r="D165" s="14"/>
      <c r="E165" s="14"/>
      <c r="F165" s="85"/>
      <c r="G165" s="14"/>
      <c r="H165" s="14"/>
      <c r="I165" s="85"/>
    </row>
    <row r="166" spans="2:9" ht="12.75">
      <c r="B166" s="13"/>
      <c r="C166" s="13"/>
      <c r="D166" s="14"/>
      <c r="E166" s="14"/>
      <c r="F166" s="85"/>
      <c r="G166" s="14"/>
      <c r="H166" s="14"/>
      <c r="I166" s="85"/>
    </row>
    <row r="167" spans="2:9" ht="12.75">
      <c r="B167" s="13"/>
      <c r="C167" s="13"/>
      <c r="D167" s="14"/>
      <c r="E167" s="14"/>
      <c r="F167" s="85"/>
      <c r="G167" s="14"/>
      <c r="H167" s="14"/>
      <c r="I167" s="85"/>
    </row>
    <row r="168" spans="2:9" ht="12.75">
      <c r="B168" s="13"/>
      <c r="C168" s="13"/>
      <c r="D168" s="14"/>
      <c r="E168" s="14"/>
      <c r="F168" s="85"/>
      <c r="G168" s="14"/>
      <c r="H168" s="14"/>
      <c r="I168" s="85"/>
    </row>
    <row r="169" spans="2:9" ht="12.75">
      <c r="B169" s="13"/>
      <c r="C169" s="13"/>
      <c r="D169" s="14"/>
      <c r="E169" s="14"/>
      <c r="F169" s="85"/>
      <c r="G169" s="14"/>
      <c r="H169" s="14"/>
      <c r="I169" s="85"/>
    </row>
    <row r="170" spans="2:9" ht="12.75">
      <c r="B170" s="13"/>
      <c r="C170" s="13"/>
      <c r="D170" s="14"/>
      <c r="E170" s="14"/>
      <c r="F170" s="85"/>
      <c r="G170" s="14"/>
      <c r="H170" s="14"/>
      <c r="I170" s="85"/>
    </row>
    <row r="171" spans="2:9" ht="12.75">
      <c r="B171" s="13"/>
      <c r="C171" s="13"/>
      <c r="D171" s="14"/>
      <c r="E171" s="14"/>
      <c r="F171" s="85"/>
      <c r="G171" s="14"/>
      <c r="H171" s="14"/>
      <c r="I171" s="85"/>
    </row>
    <row r="172" spans="2:9" ht="12.75">
      <c r="B172" s="13"/>
      <c r="C172" s="13"/>
      <c r="D172" s="14"/>
      <c r="E172" s="14"/>
      <c r="F172" s="85"/>
      <c r="G172" s="14"/>
      <c r="H172" s="14"/>
      <c r="I172" s="85"/>
    </row>
    <row r="173" spans="2:9" ht="12.75">
      <c r="B173" s="13"/>
      <c r="C173" s="13"/>
      <c r="D173" s="14"/>
      <c r="E173" s="14"/>
      <c r="F173" s="85"/>
      <c r="G173" s="14"/>
      <c r="H173" s="14"/>
      <c r="I173" s="85"/>
    </row>
    <row r="174" spans="2:9" ht="12.75">
      <c r="B174" s="13"/>
      <c r="C174" s="13"/>
      <c r="D174" s="14"/>
      <c r="E174" s="14"/>
      <c r="F174" s="85"/>
      <c r="G174" s="14"/>
      <c r="H174" s="14"/>
      <c r="I174" s="85"/>
    </row>
    <row r="175" spans="2:9" ht="12.75">
      <c r="B175" s="13"/>
      <c r="C175" s="13"/>
      <c r="D175" s="14"/>
      <c r="E175" s="14"/>
      <c r="F175" s="85"/>
      <c r="G175" s="14"/>
      <c r="H175" s="14"/>
      <c r="I175" s="85"/>
    </row>
    <row r="176" spans="2:9" ht="12.75">
      <c r="B176" s="13"/>
      <c r="C176" s="13"/>
      <c r="D176" s="14"/>
      <c r="E176" s="14"/>
      <c r="F176" s="85"/>
      <c r="G176" s="14"/>
      <c r="H176" s="14"/>
      <c r="I176" s="85"/>
    </row>
    <row r="177" spans="2:9" ht="12.75">
      <c r="B177" s="13"/>
      <c r="C177" s="13"/>
      <c r="D177" s="14"/>
      <c r="E177" s="14"/>
      <c r="F177" s="85"/>
      <c r="G177" s="14"/>
      <c r="H177" s="14"/>
      <c r="I177" s="85"/>
    </row>
    <row r="178" spans="2:9" ht="12.75">
      <c r="B178" s="13"/>
      <c r="C178" s="13"/>
      <c r="D178" s="14"/>
      <c r="E178" s="14"/>
      <c r="F178" s="85"/>
      <c r="G178" s="14"/>
      <c r="H178" s="14"/>
      <c r="I178" s="85"/>
    </row>
    <row r="179" spans="2:9" ht="12.75">
      <c r="B179" s="13"/>
      <c r="C179" s="13"/>
      <c r="D179" s="14"/>
      <c r="E179" s="14"/>
      <c r="F179" s="85"/>
      <c r="G179" s="14"/>
      <c r="H179" s="14"/>
      <c r="I179" s="85"/>
    </row>
    <row r="180" spans="2:9" ht="12.75">
      <c r="B180" s="13"/>
      <c r="C180" s="13"/>
      <c r="D180" s="14"/>
      <c r="E180" s="14"/>
      <c r="F180" s="85"/>
      <c r="G180" s="14"/>
      <c r="H180" s="14"/>
      <c r="I180" s="85"/>
    </row>
    <row r="181" spans="2:9" ht="12.75">
      <c r="B181" s="13"/>
      <c r="C181" s="13"/>
      <c r="D181" s="14"/>
      <c r="E181" s="14"/>
      <c r="F181" s="85"/>
      <c r="G181" s="14"/>
      <c r="H181" s="14"/>
      <c r="I181" s="85"/>
    </row>
    <row r="182" spans="2:9" ht="12.75">
      <c r="B182" s="13"/>
      <c r="C182" s="13"/>
      <c r="D182" s="14"/>
      <c r="E182" s="14"/>
      <c r="F182" s="85"/>
      <c r="G182" s="14"/>
      <c r="H182" s="14"/>
      <c r="I182" s="85"/>
    </row>
    <row r="183" spans="2:9" ht="12.75">
      <c r="B183" s="13"/>
      <c r="C183" s="13"/>
      <c r="D183" s="14"/>
      <c r="E183" s="14"/>
      <c r="F183" s="85"/>
      <c r="G183" s="14"/>
      <c r="H183" s="14"/>
      <c r="I183" s="85"/>
    </row>
    <row r="184" spans="2:9" ht="12.75">
      <c r="B184" s="13"/>
      <c r="C184" s="13"/>
      <c r="D184" s="14"/>
      <c r="E184" s="14"/>
      <c r="F184" s="85"/>
      <c r="G184" s="14"/>
      <c r="H184" s="14"/>
      <c r="I184" s="85"/>
    </row>
    <row r="185" spans="2:9" ht="12.75">
      <c r="B185" s="13"/>
      <c r="C185" s="13"/>
      <c r="D185" s="14"/>
      <c r="E185" s="14"/>
      <c r="F185" s="85"/>
      <c r="G185" s="14"/>
      <c r="H185" s="14"/>
      <c r="I185" s="85"/>
    </row>
    <row r="186" spans="2:9" ht="12.75">
      <c r="B186" s="13"/>
      <c r="C186" s="13"/>
      <c r="D186" s="14"/>
      <c r="E186" s="14"/>
      <c r="F186" s="85"/>
      <c r="G186" s="14"/>
      <c r="H186" s="14"/>
      <c r="I186" s="85"/>
    </row>
    <row r="187" spans="2:9" ht="12.75">
      <c r="B187" s="13"/>
      <c r="C187" s="13"/>
      <c r="D187" s="14"/>
      <c r="E187" s="14"/>
      <c r="F187" s="85"/>
      <c r="G187" s="14"/>
      <c r="H187" s="14"/>
      <c r="I187" s="85"/>
    </row>
    <row r="188" spans="2:9" ht="12.75">
      <c r="B188" s="13"/>
      <c r="C188" s="13"/>
      <c r="D188" s="14"/>
      <c r="E188" s="14"/>
      <c r="F188" s="85"/>
      <c r="G188" s="14"/>
      <c r="H188" s="14"/>
      <c r="I188" s="85"/>
    </row>
    <row r="189" spans="2:9" ht="12.75">
      <c r="B189" s="13"/>
      <c r="C189" s="13"/>
      <c r="D189" s="14"/>
      <c r="E189" s="14"/>
      <c r="F189" s="85"/>
      <c r="G189" s="14"/>
      <c r="H189" s="14"/>
      <c r="I189" s="85"/>
    </row>
    <row r="190" spans="2:9" ht="12.75">
      <c r="B190" s="13"/>
      <c r="C190" s="13"/>
      <c r="D190" s="14"/>
      <c r="E190" s="14"/>
      <c r="F190" s="85"/>
      <c r="G190" s="14"/>
      <c r="H190" s="14"/>
      <c r="I190" s="85"/>
    </row>
    <row r="191" spans="2:9" ht="12.75">
      <c r="B191" s="13"/>
      <c r="C191" s="13"/>
      <c r="D191" s="14"/>
      <c r="E191" s="14"/>
      <c r="F191" s="85"/>
      <c r="G191" s="14"/>
      <c r="H191" s="14"/>
      <c r="I191" s="85"/>
    </row>
    <row r="192" spans="2:9" ht="12.75">
      <c r="B192" s="13"/>
      <c r="C192" s="13"/>
      <c r="D192" s="14"/>
      <c r="E192" s="14"/>
      <c r="F192" s="85"/>
      <c r="G192" s="14"/>
      <c r="H192" s="14"/>
      <c r="I192" s="85"/>
    </row>
    <row r="193" spans="2:9" ht="12.75">
      <c r="B193" s="13"/>
      <c r="C193" s="13"/>
      <c r="D193" s="14"/>
      <c r="E193" s="14"/>
      <c r="F193" s="85"/>
      <c r="G193" s="14"/>
      <c r="H193" s="14"/>
      <c r="I193" s="85"/>
    </row>
    <row r="194" spans="2:9" ht="12.75">
      <c r="B194" s="13"/>
      <c r="C194" s="13"/>
      <c r="D194" s="14"/>
      <c r="E194" s="14"/>
      <c r="F194" s="85"/>
      <c r="G194" s="14"/>
      <c r="H194" s="14"/>
      <c r="I194" s="85"/>
    </row>
    <row r="195" spans="2:9" ht="12.75">
      <c r="B195" s="13"/>
      <c r="C195" s="13"/>
      <c r="D195" s="13"/>
      <c r="E195" s="13"/>
      <c r="F195" s="27"/>
      <c r="G195" s="13"/>
      <c r="H195" s="13"/>
      <c r="I195" s="27"/>
    </row>
    <row r="196" spans="2:9" ht="12.75">
      <c r="B196" s="13"/>
      <c r="C196" s="13"/>
      <c r="D196" s="13"/>
      <c r="E196" s="13"/>
      <c r="F196" s="27"/>
      <c r="G196" s="13"/>
      <c r="H196" s="13"/>
      <c r="I196" s="27"/>
    </row>
    <row r="197" spans="2:9" ht="12.75">
      <c r="B197" s="13"/>
      <c r="C197" s="13"/>
      <c r="D197" s="13"/>
      <c r="E197" s="13"/>
      <c r="F197" s="27"/>
      <c r="G197" s="13"/>
      <c r="H197" s="13"/>
      <c r="I197" s="27"/>
    </row>
    <row r="198" spans="2:9" ht="12.75">
      <c r="B198" s="13"/>
      <c r="C198" s="13"/>
      <c r="D198" s="13"/>
      <c r="E198" s="13"/>
      <c r="F198" s="27"/>
      <c r="G198" s="13"/>
      <c r="H198" s="13"/>
      <c r="I198" s="27"/>
    </row>
    <row r="199" spans="2:9" ht="12.75">
      <c r="B199" s="13"/>
      <c r="C199" s="13"/>
      <c r="D199" s="13"/>
      <c r="E199" s="13"/>
      <c r="F199" s="27"/>
      <c r="G199" s="13"/>
      <c r="H199" s="13"/>
      <c r="I199" s="27"/>
    </row>
    <row r="200" spans="2:9" ht="12.75">
      <c r="B200" s="13"/>
      <c r="C200" s="13"/>
      <c r="D200" s="13"/>
      <c r="E200" s="13"/>
      <c r="F200" s="27"/>
      <c r="G200" s="13"/>
      <c r="H200" s="13"/>
      <c r="I200" s="27"/>
    </row>
    <row r="201" spans="2:9" ht="12.75">
      <c r="B201" s="13"/>
      <c r="C201" s="13"/>
      <c r="D201" s="13"/>
      <c r="E201" s="13"/>
      <c r="F201" s="27"/>
      <c r="G201" s="13"/>
      <c r="H201" s="13"/>
      <c r="I201" s="27"/>
    </row>
    <row r="202" spans="2:9" ht="12.75">
      <c r="B202" s="13"/>
      <c r="C202" s="13"/>
      <c r="D202" s="13"/>
      <c r="E202" s="13"/>
      <c r="F202" s="27"/>
      <c r="G202" s="13"/>
      <c r="H202" s="13"/>
      <c r="I202" s="27"/>
    </row>
    <row r="203" spans="2:9" ht="12.75">
      <c r="B203" s="13"/>
      <c r="C203" s="13"/>
      <c r="D203" s="13"/>
      <c r="E203" s="13"/>
      <c r="F203" s="27"/>
      <c r="G203" s="13"/>
      <c r="H203" s="13"/>
      <c r="I203" s="27"/>
    </row>
    <row r="204" spans="2:9" ht="12.75">
      <c r="B204" s="13"/>
      <c r="C204" s="13"/>
      <c r="D204" s="13"/>
      <c r="E204" s="13"/>
      <c r="F204" s="27"/>
      <c r="G204" s="13"/>
      <c r="H204" s="13"/>
      <c r="I204" s="27"/>
    </row>
    <row r="205" spans="2:9" ht="12.75">
      <c r="B205" s="13"/>
      <c r="C205" s="13"/>
      <c r="D205" s="13"/>
      <c r="E205" s="13"/>
      <c r="F205" s="27"/>
      <c r="G205" s="13"/>
      <c r="H205" s="13"/>
      <c r="I205" s="27"/>
    </row>
    <row r="206" spans="2:9" ht="12.75">
      <c r="B206" s="13"/>
      <c r="C206" s="13"/>
      <c r="D206" s="13"/>
      <c r="E206" s="13"/>
      <c r="F206" s="27"/>
      <c r="G206" s="13"/>
      <c r="H206" s="13"/>
      <c r="I206" s="27"/>
    </row>
    <row r="207" spans="2:9" ht="12.75">
      <c r="B207" s="13"/>
      <c r="C207" s="13"/>
      <c r="D207" s="13"/>
      <c r="E207" s="13"/>
      <c r="F207" s="27"/>
      <c r="G207" s="13"/>
      <c r="H207" s="13"/>
      <c r="I207" s="27"/>
    </row>
    <row r="208" spans="2:9" ht="12.75">
      <c r="B208" s="13"/>
      <c r="C208" s="13"/>
      <c r="D208" s="13"/>
      <c r="E208" s="13"/>
      <c r="F208" s="27"/>
      <c r="G208" s="13"/>
      <c r="H208" s="13"/>
      <c r="I208" s="27"/>
    </row>
    <row r="209" spans="2:9" ht="12.75">
      <c r="B209" s="13"/>
      <c r="C209" s="13"/>
      <c r="D209" s="13"/>
      <c r="E209" s="13"/>
      <c r="F209" s="27"/>
      <c r="G209" s="13"/>
      <c r="H209" s="13"/>
      <c r="I209" s="27"/>
    </row>
    <row r="210" spans="2:9" ht="12.75">
      <c r="B210" s="13"/>
      <c r="C210" s="13"/>
      <c r="D210" s="13"/>
      <c r="E210" s="13"/>
      <c r="F210" s="27"/>
      <c r="G210" s="13"/>
      <c r="H210" s="13"/>
      <c r="I210" s="27"/>
    </row>
    <row r="211" spans="2:9" ht="12.75">
      <c r="B211" s="13"/>
      <c r="C211" s="13"/>
      <c r="D211" s="13"/>
      <c r="E211" s="13"/>
      <c r="F211" s="27"/>
      <c r="G211" s="13"/>
      <c r="H211" s="13"/>
      <c r="I211" s="27"/>
    </row>
    <row r="212" spans="2:9" ht="12.75">
      <c r="B212" s="13"/>
      <c r="C212" s="13"/>
      <c r="D212" s="13"/>
      <c r="E212" s="13"/>
      <c r="F212" s="27"/>
      <c r="G212" s="13"/>
      <c r="H212" s="13"/>
      <c r="I212" s="27"/>
    </row>
    <row r="213" spans="2:9" ht="12.75">
      <c r="B213" s="13"/>
      <c r="C213" s="13"/>
      <c r="D213" s="13"/>
      <c r="E213" s="13"/>
      <c r="F213" s="27"/>
      <c r="G213" s="13"/>
      <c r="H213" s="13"/>
      <c r="I213" s="27"/>
    </row>
    <row r="214" spans="2:9" ht="12.75">
      <c r="B214" s="13"/>
      <c r="C214" s="13"/>
      <c r="D214" s="13"/>
      <c r="E214" s="13"/>
      <c r="F214" s="27"/>
      <c r="G214" s="13"/>
      <c r="H214" s="13"/>
      <c r="I214" s="27"/>
    </row>
    <row r="215" spans="2:9" ht="12.75">
      <c r="B215" s="13"/>
      <c r="C215" s="13"/>
      <c r="D215" s="13"/>
      <c r="E215" s="13"/>
      <c r="F215" s="27"/>
      <c r="G215" s="13"/>
      <c r="H215" s="13"/>
      <c r="I215" s="27"/>
    </row>
    <row r="216" spans="2:9" ht="12.75">
      <c r="B216" s="13"/>
      <c r="C216" s="13"/>
      <c r="D216" s="13"/>
      <c r="E216" s="13"/>
      <c r="F216" s="27"/>
      <c r="G216" s="13"/>
      <c r="H216" s="13"/>
      <c r="I216" s="27"/>
    </row>
    <row r="217" spans="2:9" ht="12.75">
      <c r="B217" s="13"/>
      <c r="C217" s="13"/>
      <c r="D217" s="13"/>
      <c r="E217" s="13"/>
      <c r="F217" s="27"/>
      <c r="G217" s="13"/>
      <c r="H217" s="13"/>
      <c r="I217" s="27"/>
    </row>
    <row r="218" spans="2:9" ht="12.75">
      <c r="B218" s="13"/>
      <c r="C218" s="13"/>
      <c r="D218" s="13"/>
      <c r="E218" s="13"/>
      <c r="F218" s="27"/>
      <c r="G218" s="13"/>
      <c r="H218" s="13"/>
      <c r="I218" s="27"/>
    </row>
    <row r="219" spans="2:9" ht="12.75">
      <c r="B219" s="13"/>
      <c r="C219" s="13"/>
      <c r="D219" s="13"/>
      <c r="E219" s="13"/>
      <c r="F219" s="27"/>
      <c r="G219" s="13"/>
      <c r="H219" s="13"/>
      <c r="I219" s="27"/>
    </row>
    <row r="220" spans="2:9" ht="12.75">
      <c r="B220" s="13"/>
      <c r="C220" s="13"/>
      <c r="D220" s="13"/>
      <c r="E220" s="13"/>
      <c r="F220" s="27"/>
      <c r="G220" s="13"/>
      <c r="H220" s="13"/>
      <c r="I220" s="27"/>
    </row>
    <row r="221" spans="2:9" ht="12.75">
      <c r="B221" s="13"/>
      <c r="C221" s="13"/>
      <c r="D221" s="13"/>
      <c r="E221" s="13"/>
      <c r="F221" s="27"/>
      <c r="G221" s="13"/>
      <c r="H221" s="13"/>
      <c r="I221" s="27"/>
    </row>
    <row r="222" spans="2:9" ht="12.75">
      <c r="B222" s="13"/>
      <c r="C222" s="13"/>
      <c r="D222" s="13"/>
      <c r="E222" s="13"/>
      <c r="F222" s="27"/>
      <c r="G222" s="13"/>
      <c r="H222" s="13"/>
      <c r="I222" s="27"/>
    </row>
    <row r="223" spans="2:9" ht="12.75">
      <c r="B223" s="13"/>
      <c r="C223" s="13"/>
      <c r="D223" s="13"/>
      <c r="E223" s="13"/>
      <c r="F223" s="27"/>
      <c r="G223" s="13"/>
      <c r="H223" s="13"/>
      <c r="I223" s="27"/>
    </row>
    <row r="224" spans="2:9" ht="12.75">
      <c r="B224" s="13"/>
      <c r="C224" s="13"/>
      <c r="D224" s="13"/>
      <c r="E224" s="13"/>
      <c r="F224" s="27"/>
      <c r="G224" s="13"/>
      <c r="H224" s="13"/>
      <c r="I224" s="27"/>
    </row>
    <row r="225" spans="2:9" ht="12.75">
      <c r="B225" s="13"/>
      <c r="C225" s="13"/>
      <c r="D225" s="13"/>
      <c r="E225" s="13"/>
      <c r="F225" s="27"/>
      <c r="G225" s="13"/>
      <c r="H225" s="13"/>
      <c r="I225" s="27"/>
    </row>
    <row r="226" spans="2:9" ht="12.75">
      <c r="B226" s="13"/>
      <c r="C226" s="13"/>
      <c r="D226" s="13"/>
      <c r="E226" s="13"/>
      <c r="F226" s="27"/>
      <c r="G226" s="13"/>
      <c r="H226" s="13"/>
      <c r="I226" s="27"/>
    </row>
    <row r="227" spans="2:9" ht="12.75">
      <c r="B227" s="13"/>
      <c r="C227" s="13"/>
      <c r="D227" s="13"/>
      <c r="E227" s="13"/>
      <c r="F227" s="27"/>
      <c r="G227" s="13"/>
      <c r="H227" s="13"/>
      <c r="I227" s="27"/>
    </row>
    <row r="228" spans="2:9" ht="12.75">
      <c r="B228" s="13"/>
      <c r="C228" s="13"/>
      <c r="D228" s="13"/>
      <c r="E228" s="13"/>
      <c r="F228" s="27"/>
      <c r="G228" s="13"/>
      <c r="H228" s="13"/>
      <c r="I228" s="27"/>
    </row>
    <row r="229" spans="2:9" ht="12.75">
      <c r="B229" s="13"/>
      <c r="C229" s="13"/>
      <c r="D229" s="13"/>
      <c r="E229" s="13"/>
      <c r="F229" s="27"/>
      <c r="G229" s="13"/>
      <c r="H229" s="13"/>
      <c r="I229" s="27"/>
    </row>
    <row r="230" spans="2:9" ht="12.75">
      <c r="B230" s="13"/>
      <c r="C230" s="13"/>
      <c r="D230" s="13"/>
      <c r="E230" s="13"/>
      <c r="F230" s="27"/>
      <c r="G230" s="13"/>
      <c r="H230" s="13"/>
      <c r="I230" s="27"/>
    </row>
    <row r="231" spans="2:9" ht="12.75">
      <c r="B231" s="13"/>
      <c r="C231" s="13"/>
      <c r="D231" s="13"/>
      <c r="E231" s="13"/>
      <c r="F231" s="27"/>
      <c r="G231" s="13"/>
      <c r="H231" s="13"/>
      <c r="I231" s="27"/>
    </row>
    <row r="232" spans="2:9" ht="12.75">
      <c r="B232" s="13"/>
      <c r="C232" s="13"/>
      <c r="D232" s="13"/>
      <c r="E232" s="13"/>
      <c r="F232" s="27"/>
      <c r="G232" s="13"/>
      <c r="H232" s="13"/>
      <c r="I232" s="27"/>
    </row>
    <row r="233" spans="2:9" ht="12.75">
      <c r="B233" s="13"/>
      <c r="C233" s="13"/>
      <c r="D233" s="13"/>
      <c r="E233" s="13"/>
      <c r="F233" s="27"/>
      <c r="G233" s="13"/>
      <c r="H233" s="13"/>
      <c r="I233" s="27"/>
    </row>
    <row r="234" spans="2:9" ht="12.75">
      <c r="B234" s="13"/>
      <c r="C234" s="13"/>
      <c r="D234" s="13"/>
      <c r="E234" s="13"/>
      <c r="F234" s="27"/>
      <c r="G234" s="13"/>
      <c r="H234" s="13"/>
      <c r="I234" s="27"/>
    </row>
    <row r="235" spans="2:9" ht="12.75">
      <c r="B235" s="13"/>
      <c r="C235" s="13"/>
      <c r="D235" s="13"/>
      <c r="E235" s="13"/>
      <c r="F235" s="27"/>
      <c r="G235" s="13"/>
      <c r="H235" s="13"/>
      <c r="I235" s="27"/>
    </row>
    <row r="236" spans="2:9" ht="12.75">
      <c r="B236" s="13"/>
      <c r="C236" s="13"/>
      <c r="D236" s="13"/>
      <c r="E236" s="13"/>
      <c r="F236" s="27"/>
      <c r="G236" s="13"/>
      <c r="H236" s="13"/>
      <c r="I236" s="27"/>
    </row>
    <row r="237" spans="2:9" ht="12.75">
      <c r="B237" s="13"/>
      <c r="C237" s="13"/>
      <c r="D237" s="13"/>
      <c r="E237" s="13"/>
      <c r="F237" s="27"/>
      <c r="G237" s="13"/>
      <c r="H237" s="13"/>
      <c r="I237" s="27"/>
    </row>
    <row r="238" spans="2:9" ht="12.75">
      <c r="B238" s="13"/>
      <c r="C238" s="13"/>
      <c r="D238" s="13"/>
      <c r="E238" s="13"/>
      <c r="F238" s="27"/>
      <c r="G238" s="13"/>
      <c r="H238" s="13"/>
      <c r="I238" s="27"/>
    </row>
    <row r="239" spans="2:9" ht="12.75">
      <c r="B239" s="13"/>
      <c r="C239" s="13"/>
      <c r="D239" s="13"/>
      <c r="E239" s="13"/>
      <c r="F239" s="27"/>
      <c r="G239" s="13"/>
      <c r="H239" s="13"/>
      <c r="I239" s="27"/>
    </row>
    <row r="240" spans="2:9" ht="12.75">
      <c r="B240" s="13"/>
      <c r="C240" s="13"/>
      <c r="D240" s="13"/>
      <c r="E240" s="13"/>
      <c r="F240" s="27"/>
      <c r="G240" s="13"/>
      <c r="H240" s="13"/>
      <c r="I240" s="27"/>
    </row>
    <row r="241" spans="2:9" ht="12.75">
      <c r="B241" s="13"/>
      <c r="C241" s="13"/>
      <c r="D241" s="13"/>
      <c r="E241" s="13"/>
      <c r="F241" s="27"/>
      <c r="G241" s="13"/>
      <c r="H241" s="13"/>
      <c r="I241" s="27"/>
    </row>
    <row r="242" spans="2:9" ht="12.75">
      <c r="B242" s="13"/>
      <c r="C242" s="13"/>
      <c r="D242" s="13"/>
      <c r="E242" s="13"/>
      <c r="F242" s="27"/>
      <c r="G242" s="13"/>
      <c r="H242" s="13"/>
      <c r="I242" s="27"/>
    </row>
    <row r="243" spans="2:9" ht="12.75">
      <c r="B243" s="13"/>
      <c r="C243" s="13"/>
      <c r="D243" s="13"/>
      <c r="E243" s="13"/>
      <c r="F243" s="27"/>
      <c r="G243" s="13"/>
      <c r="H243" s="13"/>
      <c r="I243" s="27"/>
    </row>
    <row r="244" spans="2:9" ht="12.75">
      <c r="B244" s="13"/>
      <c r="C244" s="13"/>
      <c r="D244" s="13"/>
      <c r="E244" s="13"/>
      <c r="F244" s="27"/>
      <c r="G244" s="13"/>
      <c r="H244" s="13"/>
      <c r="I244" s="27"/>
    </row>
    <row r="245" spans="2:9" ht="12.75">
      <c r="B245" s="13"/>
      <c r="C245" s="13"/>
      <c r="D245" s="13"/>
      <c r="E245" s="13"/>
      <c r="F245" s="27"/>
      <c r="G245" s="13"/>
      <c r="H245" s="13"/>
      <c r="I245" s="27"/>
    </row>
    <row r="246" spans="2:9" ht="12.75">
      <c r="B246" s="13"/>
      <c r="C246" s="13"/>
      <c r="D246" s="13"/>
      <c r="E246" s="13"/>
      <c r="F246" s="27"/>
      <c r="G246" s="13"/>
      <c r="H246" s="13"/>
      <c r="I246" s="27"/>
    </row>
    <row r="247" spans="2:9" ht="12.75">
      <c r="B247" s="13"/>
      <c r="C247" s="13"/>
      <c r="D247" s="13"/>
      <c r="E247" s="13"/>
      <c r="F247" s="27"/>
      <c r="G247" s="13"/>
      <c r="H247" s="13"/>
      <c r="I247" s="27"/>
    </row>
    <row r="248" spans="2:9" ht="12.75">
      <c r="B248" s="13"/>
      <c r="C248" s="13"/>
      <c r="D248" s="13"/>
      <c r="E248" s="13"/>
      <c r="F248" s="27"/>
      <c r="G248" s="13"/>
      <c r="H248" s="13"/>
      <c r="I248" s="27"/>
    </row>
    <row r="249" spans="2:9" ht="12.75">
      <c r="B249" s="13"/>
      <c r="C249" s="13"/>
      <c r="D249" s="13"/>
      <c r="E249" s="13"/>
      <c r="F249" s="27"/>
      <c r="G249" s="13"/>
      <c r="H249" s="13"/>
      <c r="I249" s="27"/>
    </row>
    <row r="250" spans="2:9" ht="12.75">
      <c r="B250" s="13"/>
      <c r="C250" s="13"/>
      <c r="D250" s="13"/>
      <c r="E250" s="13"/>
      <c r="F250" s="27"/>
      <c r="G250" s="13"/>
      <c r="H250" s="13"/>
      <c r="I250" s="27"/>
    </row>
    <row r="251" spans="2:9" ht="12.75">
      <c r="B251" s="13"/>
      <c r="C251" s="13"/>
      <c r="D251" s="13"/>
      <c r="E251" s="13"/>
      <c r="F251" s="27"/>
      <c r="G251" s="13"/>
      <c r="H251" s="13"/>
      <c r="I251" s="27"/>
    </row>
    <row r="252" spans="2:9" ht="12.75">
      <c r="B252" s="13"/>
      <c r="C252" s="13"/>
      <c r="D252" s="13"/>
      <c r="E252" s="13"/>
      <c r="F252" s="27"/>
      <c r="G252" s="13"/>
      <c r="H252" s="13"/>
      <c r="I252" s="27"/>
    </row>
    <row r="253" spans="2:9" ht="12.75">
      <c r="B253" s="13"/>
      <c r="C253" s="13"/>
      <c r="D253" s="13"/>
      <c r="E253" s="13"/>
      <c r="F253" s="27"/>
      <c r="G253" s="13"/>
      <c r="H253" s="13"/>
      <c r="I253" s="27"/>
    </row>
    <row r="254" spans="2:9" ht="12.75">
      <c r="B254" s="13"/>
      <c r="C254" s="13"/>
      <c r="D254" s="13"/>
      <c r="E254" s="13"/>
      <c r="F254" s="27"/>
      <c r="G254" s="13"/>
      <c r="H254" s="13"/>
      <c r="I254" s="27"/>
    </row>
    <row r="255" spans="2:9" ht="12.75">
      <c r="B255" s="13"/>
      <c r="C255" s="13"/>
      <c r="D255" s="13"/>
      <c r="E255" s="13"/>
      <c r="F255" s="27"/>
      <c r="G255" s="13"/>
      <c r="H255" s="13"/>
      <c r="I255" s="27"/>
    </row>
    <row r="256" spans="2:9" ht="12.75">
      <c r="B256" s="13"/>
      <c r="C256" s="13"/>
      <c r="D256" s="13"/>
      <c r="E256" s="13"/>
      <c r="F256" s="27"/>
      <c r="G256" s="13"/>
      <c r="H256" s="13"/>
      <c r="I256" s="27"/>
    </row>
    <row r="257" spans="2:9" ht="12.75">
      <c r="B257" s="13"/>
      <c r="C257" s="13"/>
      <c r="D257" s="13"/>
      <c r="E257" s="13"/>
      <c r="F257" s="27"/>
      <c r="G257" s="13"/>
      <c r="H257" s="13"/>
      <c r="I257" s="27"/>
    </row>
    <row r="258" spans="2:9" ht="12.75">
      <c r="B258" s="13"/>
      <c r="C258" s="13"/>
      <c r="D258" s="13"/>
      <c r="E258" s="13"/>
      <c r="F258" s="27"/>
      <c r="G258" s="13"/>
      <c r="H258" s="13"/>
      <c r="I258" s="27"/>
    </row>
    <row r="259" spans="2:9" ht="12.75">
      <c r="B259" s="13"/>
      <c r="C259" s="13"/>
      <c r="D259" s="13"/>
      <c r="E259" s="13"/>
      <c r="F259" s="27"/>
      <c r="G259" s="13"/>
      <c r="H259" s="13"/>
      <c r="I259" s="27"/>
    </row>
    <row r="260" spans="2:9" ht="12.7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097222222222223" right="0.39375" top="0.5902777777777778" bottom="0.5118055555555555" header="0.5118055555555555" footer="0.31527777777777777"/>
  <pageSetup horizontalDpi="300" verticalDpi="300" orientation="portrait" paperSize="9" scale="63"/>
  <headerFooter alignWithMargins="0">
    <oddFooter>&amp;R&amp;P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7109375" style="30" customWidth="1"/>
    <col min="2" max="2" width="72.28125" style="30" customWidth="1"/>
    <col min="3" max="3" width="9.8515625" style="30" customWidth="1"/>
    <col min="4" max="5" width="10.8515625" style="30" customWidth="1"/>
    <col min="6" max="6" width="10.8515625" style="31" customWidth="1"/>
    <col min="7" max="8" width="10.8515625" style="30" customWidth="1"/>
    <col min="9" max="9" width="10.8515625" style="31" customWidth="1"/>
    <col min="10" max="16384" width="9.140625" style="30" customWidth="1"/>
  </cols>
  <sheetData>
    <row r="1" spans="6:9" s="13" customFormat="1" ht="12.75">
      <c r="F1" s="32"/>
      <c r="I1" s="32" t="s">
        <v>605</v>
      </c>
    </row>
    <row r="2" spans="2:9" s="13" customFormat="1" ht="12.75">
      <c r="B2" s="240" t="s">
        <v>4</v>
      </c>
      <c r="F2" s="15"/>
      <c r="I2" s="15" t="s">
        <v>10</v>
      </c>
    </row>
    <row r="3" spans="2:9" s="13" customFormat="1" ht="12.75">
      <c r="B3" s="40" t="s">
        <v>593</v>
      </c>
      <c r="C3" s="36"/>
      <c r="D3" s="36"/>
      <c r="E3" s="36"/>
      <c r="F3" s="37"/>
      <c r="G3" s="36"/>
      <c r="H3" s="36"/>
      <c r="I3" s="37"/>
    </row>
    <row r="4" spans="2:9" s="13" customFormat="1" ht="12.75">
      <c r="B4" s="38" t="s">
        <v>41</v>
      </c>
      <c r="C4" s="39"/>
      <c r="D4" s="39"/>
      <c r="E4" s="39"/>
      <c r="F4" s="40"/>
      <c r="G4" s="39"/>
      <c r="H4" s="39"/>
      <c r="I4" s="40"/>
    </row>
    <row r="5" spans="2:9" ht="15.75" customHeight="1">
      <c r="B5" s="41"/>
      <c r="D5" s="92" t="s">
        <v>13</v>
      </c>
      <c r="E5" s="92"/>
      <c r="F5" s="92"/>
      <c r="G5" s="92" t="s">
        <v>14</v>
      </c>
      <c r="H5" s="92"/>
      <c r="I5" s="92"/>
    </row>
    <row r="6" spans="2:9" ht="12.75">
      <c r="B6" s="19" t="s">
        <v>15</v>
      </c>
      <c r="C6" s="42" t="s">
        <v>42</v>
      </c>
      <c r="D6" s="43" t="s">
        <v>16</v>
      </c>
      <c r="E6" s="43" t="s">
        <v>17</v>
      </c>
      <c r="F6" s="162" t="s">
        <v>528</v>
      </c>
      <c r="G6" s="43" t="s">
        <v>16</v>
      </c>
      <c r="H6" s="43" t="s">
        <v>17</v>
      </c>
      <c r="I6" s="162" t="s">
        <v>528</v>
      </c>
    </row>
    <row r="7" spans="2:9" ht="12.75">
      <c r="B7" s="45" t="s">
        <v>43</v>
      </c>
      <c r="C7" s="46" t="s">
        <v>44</v>
      </c>
      <c r="D7" s="24">
        <v>18979</v>
      </c>
      <c r="E7" s="24">
        <v>118117</v>
      </c>
      <c r="F7" s="25">
        <f>+D7+E7</f>
        <v>137096</v>
      </c>
      <c r="G7" s="24">
        <v>18979</v>
      </c>
      <c r="H7" s="24">
        <f>+138490-G7</f>
        <v>119511</v>
      </c>
      <c r="I7" s="25">
        <f>+G7+H7</f>
        <v>138490</v>
      </c>
    </row>
    <row r="8" spans="2:9" ht="12.75">
      <c r="B8" s="47" t="s">
        <v>45</v>
      </c>
      <c r="C8" s="46" t="s">
        <v>46</v>
      </c>
      <c r="D8" s="24"/>
      <c r="E8" s="24">
        <v>973</v>
      </c>
      <c r="F8" s="25">
        <f>+D8+E8</f>
        <v>973</v>
      </c>
      <c r="G8" s="24"/>
      <c r="H8" s="24">
        <v>1108</v>
      </c>
      <c r="I8" s="25">
        <f>+G8+H8</f>
        <v>1108</v>
      </c>
    </row>
    <row r="9" spans="2:9" ht="12.75">
      <c r="B9" s="48" t="s">
        <v>47</v>
      </c>
      <c r="C9" s="49" t="s">
        <v>48</v>
      </c>
      <c r="D9" s="25">
        <f>SUM(D7:D8)</f>
        <v>18979</v>
      </c>
      <c r="E9" s="25">
        <f>SUM(E7:E8)</f>
        <v>119090</v>
      </c>
      <c r="F9" s="25">
        <f>SUM(F7:F8)</f>
        <v>138069</v>
      </c>
      <c r="G9" s="25">
        <f>SUM(G7:G8)</f>
        <v>18979</v>
      </c>
      <c r="H9" s="25">
        <f>SUM(H7:H8)</f>
        <v>120619</v>
      </c>
      <c r="I9" s="25">
        <f>SUM(I7:I8)</f>
        <v>139598</v>
      </c>
    </row>
    <row r="10" spans="2:9" ht="12.75">
      <c r="B10" s="50" t="s">
        <v>594</v>
      </c>
      <c r="C10" s="49" t="s">
        <v>50</v>
      </c>
      <c r="D10" s="24">
        <v>5118</v>
      </c>
      <c r="E10" s="24">
        <v>30981</v>
      </c>
      <c r="F10" s="25">
        <f>+D10+E10</f>
        <v>36099</v>
      </c>
      <c r="G10" s="24">
        <v>5118</v>
      </c>
      <c r="H10" s="24">
        <f>+36512-G10</f>
        <v>31394</v>
      </c>
      <c r="I10" s="25">
        <f>+G10+H10</f>
        <v>36512</v>
      </c>
    </row>
    <row r="11" spans="2:9" ht="12.75">
      <c r="B11" s="47" t="s">
        <v>51</v>
      </c>
      <c r="C11" s="46" t="s">
        <v>52</v>
      </c>
      <c r="D11" s="24">
        <v>200</v>
      </c>
      <c r="E11" s="24">
        <v>49963</v>
      </c>
      <c r="F11" s="25">
        <f>+D11+E11</f>
        <v>50163</v>
      </c>
      <c r="G11" s="24">
        <v>200</v>
      </c>
      <c r="H11" s="24">
        <v>49963</v>
      </c>
      <c r="I11" s="25">
        <f>+G11+H11</f>
        <v>50163</v>
      </c>
    </row>
    <row r="12" spans="2:9" ht="12.75">
      <c r="B12" s="47" t="s">
        <v>53</v>
      </c>
      <c r="C12" s="46" t="s">
        <v>54</v>
      </c>
      <c r="D12" s="24">
        <v>320</v>
      </c>
      <c r="E12" s="24">
        <v>5625</v>
      </c>
      <c r="F12" s="25">
        <f>+D12+E12</f>
        <v>5945</v>
      </c>
      <c r="G12" s="24">
        <v>320</v>
      </c>
      <c r="H12" s="24">
        <v>5625</v>
      </c>
      <c r="I12" s="25">
        <f>+G12+H12</f>
        <v>5945</v>
      </c>
    </row>
    <row r="13" spans="2:9" ht="12.75">
      <c r="B13" s="47" t="s">
        <v>55</v>
      </c>
      <c r="C13" s="46" t="s">
        <v>56</v>
      </c>
      <c r="D13" s="24">
        <v>2283</v>
      </c>
      <c r="E13" s="24">
        <v>128389</v>
      </c>
      <c r="F13" s="25">
        <f>+D13+E13</f>
        <v>130672</v>
      </c>
      <c r="G13" s="24">
        <v>2283</v>
      </c>
      <c r="H13" s="24">
        <v>128389</v>
      </c>
      <c r="I13" s="25">
        <f>+G13+H13</f>
        <v>130672</v>
      </c>
    </row>
    <row r="14" spans="2:9" ht="12.75">
      <c r="B14" s="47" t="s">
        <v>57</v>
      </c>
      <c r="C14" s="46" t="s">
        <v>58</v>
      </c>
      <c r="D14" s="24">
        <v>200</v>
      </c>
      <c r="E14" s="24">
        <v>500</v>
      </c>
      <c r="F14" s="25">
        <f>+D14+E14</f>
        <v>700</v>
      </c>
      <c r="G14" s="24">
        <v>200</v>
      </c>
      <c r="H14" s="24">
        <v>500</v>
      </c>
      <c r="I14" s="25">
        <f>+G14+H14</f>
        <v>700</v>
      </c>
    </row>
    <row r="15" spans="2:9" ht="12.75">
      <c r="B15" s="47" t="s">
        <v>59</v>
      </c>
      <c r="C15" s="46" t="s">
        <v>60</v>
      </c>
      <c r="D15" s="24">
        <v>400</v>
      </c>
      <c r="E15" s="24">
        <v>21241</v>
      </c>
      <c r="F15" s="25">
        <f>+D15+E15</f>
        <v>21641</v>
      </c>
      <c r="G15" s="24">
        <v>400</v>
      </c>
      <c r="H15" s="24">
        <v>21241</v>
      </c>
      <c r="I15" s="25">
        <f>+G15+H15</f>
        <v>21641</v>
      </c>
    </row>
    <row r="16" spans="2:9" ht="12.75">
      <c r="B16" s="50" t="s">
        <v>61</v>
      </c>
      <c r="C16" s="49" t="s">
        <v>62</v>
      </c>
      <c r="D16" s="25">
        <f>SUM(D11:D15)</f>
        <v>3403</v>
      </c>
      <c r="E16" s="25">
        <f>SUM(E11:E15)</f>
        <v>205718</v>
      </c>
      <c r="F16" s="25">
        <f>SUM(F11:F15)</f>
        <v>209121</v>
      </c>
      <c r="G16" s="25">
        <f>SUM(G11:G15)</f>
        <v>3403</v>
      </c>
      <c r="H16" s="25">
        <f>SUM(H11:H15)</f>
        <v>205718</v>
      </c>
      <c r="I16" s="25">
        <f>SUM(I11:I15)</f>
        <v>209121</v>
      </c>
    </row>
    <row r="17" spans="2:9" ht="12.75">
      <c r="B17" s="51" t="s">
        <v>63</v>
      </c>
      <c r="C17" s="49" t="s">
        <v>64</v>
      </c>
      <c r="D17" s="24"/>
      <c r="E17" s="24"/>
      <c r="F17" s="25">
        <f>+D17+E17</f>
        <v>0</v>
      </c>
      <c r="G17" s="24"/>
      <c r="H17" s="24"/>
      <c r="I17" s="25">
        <f>+G17+H17</f>
        <v>0</v>
      </c>
    </row>
    <row r="18" spans="2:9" ht="12.75">
      <c r="B18" s="52" t="s">
        <v>65</v>
      </c>
      <c r="C18" s="46" t="s">
        <v>66</v>
      </c>
      <c r="D18" s="24"/>
      <c r="E18" s="24"/>
      <c r="F18" s="25">
        <f>+D18+E18</f>
        <v>0</v>
      </c>
      <c r="G18" s="24"/>
      <c r="H18" s="24"/>
      <c r="I18" s="25">
        <f>+G18+H18</f>
        <v>0</v>
      </c>
    </row>
    <row r="19" spans="2:9" ht="12.75">
      <c r="B19" s="52" t="s">
        <v>67</v>
      </c>
      <c r="C19" s="46" t="s">
        <v>68</v>
      </c>
      <c r="D19" s="24"/>
      <c r="E19" s="24"/>
      <c r="F19" s="25">
        <f>+D19+E19</f>
        <v>0</v>
      </c>
      <c r="G19" s="24"/>
      <c r="H19" s="24"/>
      <c r="I19" s="25">
        <f>+G19+H19</f>
        <v>0</v>
      </c>
    </row>
    <row r="20" spans="2:9" ht="12.75">
      <c r="B20" s="52" t="s">
        <v>69</v>
      </c>
      <c r="C20" s="46" t="s">
        <v>70</v>
      </c>
      <c r="D20" s="24"/>
      <c r="E20" s="24"/>
      <c r="F20" s="25">
        <f>+D20+E20</f>
        <v>0</v>
      </c>
      <c r="G20" s="24"/>
      <c r="H20" s="24"/>
      <c r="I20" s="25">
        <f>+G20+H20</f>
        <v>0</v>
      </c>
    </row>
    <row r="21" spans="2:9" ht="12.75">
      <c r="B21" s="52" t="s">
        <v>71</v>
      </c>
      <c r="C21" s="46" t="s">
        <v>72</v>
      </c>
      <c r="D21" s="24"/>
      <c r="E21" s="24"/>
      <c r="F21" s="25">
        <f>+D21+E21</f>
        <v>0</v>
      </c>
      <c r="G21" s="24"/>
      <c r="H21" s="24"/>
      <c r="I21" s="25">
        <f>+G21+H21</f>
        <v>0</v>
      </c>
    </row>
    <row r="22" spans="2:9" ht="12.75">
      <c r="B22" s="52" t="s">
        <v>73</v>
      </c>
      <c r="C22" s="46" t="s">
        <v>74</v>
      </c>
      <c r="D22" s="24"/>
      <c r="E22" s="24"/>
      <c r="F22" s="25">
        <f>+D22+E22</f>
        <v>0</v>
      </c>
      <c r="G22" s="24"/>
      <c r="H22" s="24"/>
      <c r="I22" s="25">
        <f>+G22+H22</f>
        <v>0</v>
      </c>
    </row>
    <row r="23" spans="2:9" ht="12.75">
      <c r="B23" s="52" t="s">
        <v>75</v>
      </c>
      <c r="C23" s="46" t="s">
        <v>76</v>
      </c>
      <c r="D23" s="24"/>
      <c r="E23" s="24"/>
      <c r="F23" s="25">
        <f>+D23+E23</f>
        <v>0</v>
      </c>
      <c r="G23" s="24"/>
      <c r="H23" s="24"/>
      <c r="I23" s="25">
        <f>+G23+H23</f>
        <v>0</v>
      </c>
    </row>
    <row r="24" spans="2:9" ht="12.75">
      <c r="B24" s="52" t="s">
        <v>77</v>
      </c>
      <c r="C24" s="46" t="s">
        <v>78</v>
      </c>
      <c r="D24" s="24"/>
      <c r="E24" s="24"/>
      <c r="F24" s="25">
        <f>+D24+E24</f>
        <v>0</v>
      </c>
      <c r="G24" s="24"/>
      <c r="H24" s="24"/>
      <c r="I24" s="25">
        <f>+G24+H24</f>
        <v>0</v>
      </c>
    </row>
    <row r="25" spans="2:9" ht="12.75">
      <c r="B25" s="52" t="s">
        <v>79</v>
      </c>
      <c r="C25" s="46" t="s">
        <v>80</v>
      </c>
      <c r="D25" s="24"/>
      <c r="E25" s="24"/>
      <c r="F25" s="25">
        <f>+D25+E25</f>
        <v>0</v>
      </c>
      <c r="G25" s="24"/>
      <c r="H25" s="24"/>
      <c r="I25" s="25">
        <f>+G25+H25</f>
        <v>0</v>
      </c>
    </row>
    <row r="26" spans="2:9" ht="12.75">
      <c r="B26" s="52" t="s">
        <v>81</v>
      </c>
      <c r="C26" s="46" t="s">
        <v>82</v>
      </c>
      <c r="D26" s="24"/>
      <c r="E26" s="24"/>
      <c r="F26" s="25">
        <f>+D26+E26</f>
        <v>0</v>
      </c>
      <c r="G26" s="24"/>
      <c r="H26" s="24"/>
      <c r="I26" s="25">
        <f>+G26+H26</f>
        <v>0</v>
      </c>
    </row>
    <row r="27" spans="2:9" ht="12.75">
      <c r="B27" s="53" t="s">
        <v>83</v>
      </c>
      <c r="C27" s="46" t="s">
        <v>84</v>
      </c>
      <c r="D27" s="24"/>
      <c r="E27" s="24"/>
      <c r="F27" s="25">
        <f>+D27+E27</f>
        <v>0</v>
      </c>
      <c r="G27" s="24"/>
      <c r="H27" s="24"/>
      <c r="I27" s="25">
        <f>+G27+H27</f>
        <v>0</v>
      </c>
    </row>
    <row r="28" spans="2:9" ht="12.75">
      <c r="B28" s="53" t="s">
        <v>595</v>
      </c>
      <c r="C28" s="46" t="s">
        <v>86</v>
      </c>
      <c r="D28" s="24"/>
      <c r="E28" s="24"/>
      <c r="F28" s="25">
        <f>+D28+E28</f>
        <v>0</v>
      </c>
      <c r="G28" s="24"/>
      <c r="H28" s="24"/>
      <c r="I28" s="25">
        <f>+G28+H28</f>
        <v>0</v>
      </c>
    </row>
    <row r="29" spans="2:9" ht="12.75">
      <c r="B29" s="52" t="s">
        <v>87</v>
      </c>
      <c r="C29" s="46" t="s">
        <v>88</v>
      </c>
      <c r="D29" s="24"/>
      <c r="E29" s="24"/>
      <c r="F29" s="25">
        <f>+D29+E29</f>
        <v>0</v>
      </c>
      <c r="G29" s="24"/>
      <c r="H29" s="24"/>
      <c r="I29" s="25">
        <f>+G29+H29</f>
        <v>0</v>
      </c>
    </row>
    <row r="30" spans="2:9" ht="12.75">
      <c r="B30" s="53" t="s">
        <v>89</v>
      </c>
      <c r="C30" s="46" t="s">
        <v>90</v>
      </c>
      <c r="D30" s="24"/>
      <c r="E30" s="24"/>
      <c r="F30" s="25">
        <f>+D30+E30</f>
        <v>0</v>
      </c>
      <c r="G30" s="24"/>
      <c r="H30" s="24"/>
      <c r="I30" s="25">
        <f>+G30+H30</f>
        <v>0</v>
      </c>
    </row>
    <row r="31" spans="2:9" ht="12.75">
      <c r="B31" s="53" t="s">
        <v>91</v>
      </c>
      <c r="C31" s="46" t="s">
        <v>90</v>
      </c>
      <c r="D31" s="24"/>
      <c r="E31" s="24"/>
      <c r="F31" s="25">
        <f>+D31+E31</f>
        <v>0</v>
      </c>
      <c r="G31" s="24"/>
      <c r="H31" s="24"/>
      <c r="I31" s="25">
        <f>+G31+H31</f>
        <v>0</v>
      </c>
    </row>
    <row r="32" spans="2:9" s="31" customFormat="1" ht="12.75">
      <c r="B32" s="51" t="s">
        <v>92</v>
      </c>
      <c r="C32" s="49" t="s">
        <v>93</v>
      </c>
      <c r="D32" s="25">
        <f>SUM(D18:D31)</f>
        <v>0</v>
      </c>
      <c r="E32" s="25">
        <f>SUM(E18:E31)</f>
        <v>0</v>
      </c>
      <c r="F32" s="25">
        <f>SUM(F18:F31)</f>
        <v>0</v>
      </c>
      <c r="G32" s="25">
        <f>SUM(G18:G31)</f>
        <v>0</v>
      </c>
      <c r="H32" s="25">
        <f>SUM(H18:H31)</f>
        <v>0</v>
      </c>
      <c r="I32" s="25">
        <f>SUM(I18:I31)</f>
        <v>0</v>
      </c>
    </row>
    <row r="33" spans="2:9" ht="12.75">
      <c r="B33" s="54" t="s">
        <v>94</v>
      </c>
      <c r="C33" s="55" t="s">
        <v>95</v>
      </c>
      <c r="D33" s="56">
        <f>+D32+D17+D16+D10+D9</f>
        <v>27500</v>
      </c>
      <c r="E33" s="56">
        <f>+E32+E17+E16+E10+E9</f>
        <v>355789</v>
      </c>
      <c r="F33" s="56">
        <f>+F32+F17+F16+F10+F9</f>
        <v>383289</v>
      </c>
      <c r="G33" s="56">
        <f>+G32+G17+G16+G10+G9</f>
        <v>27500</v>
      </c>
      <c r="H33" s="56">
        <f>+H32+H17+H16+H10+H9</f>
        <v>357731</v>
      </c>
      <c r="I33" s="56">
        <f>+I32+I17+I16+I10+I9</f>
        <v>385231</v>
      </c>
    </row>
    <row r="34" spans="2:9" ht="12.75">
      <c r="B34" s="57" t="s">
        <v>96</v>
      </c>
      <c r="C34" s="46" t="s">
        <v>97</v>
      </c>
      <c r="D34" s="24"/>
      <c r="E34" s="24"/>
      <c r="F34" s="25">
        <f>+D34+E34</f>
        <v>0</v>
      </c>
      <c r="G34" s="24"/>
      <c r="H34" s="24"/>
      <c r="I34" s="25">
        <f>+G34+H34</f>
        <v>0</v>
      </c>
    </row>
    <row r="35" spans="2:9" ht="12.75">
      <c r="B35" s="57" t="s">
        <v>98</v>
      </c>
      <c r="C35" s="46" t="s">
        <v>99</v>
      </c>
      <c r="D35" s="24"/>
      <c r="E35" s="24"/>
      <c r="F35" s="25">
        <f>+D35+E35</f>
        <v>0</v>
      </c>
      <c r="G35" s="24"/>
      <c r="H35" s="24"/>
      <c r="I35" s="25">
        <f>+G35+H35</f>
        <v>0</v>
      </c>
    </row>
    <row r="36" spans="2:9" ht="12.75">
      <c r="B36" s="57" t="s">
        <v>100</v>
      </c>
      <c r="C36" s="46" t="s">
        <v>101</v>
      </c>
      <c r="D36" s="24"/>
      <c r="E36" s="24"/>
      <c r="F36" s="25">
        <f>+D36+E36</f>
        <v>0</v>
      </c>
      <c r="G36" s="24"/>
      <c r="H36" s="24">
        <v>300</v>
      </c>
      <c r="I36" s="25">
        <f>+G36+H36</f>
        <v>300</v>
      </c>
    </row>
    <row r="37" spans="2:9" ht="12.75">
      <c r="B37" s="57" t="s">
        <v>102</v>
      </c>
      <c r="C37" s="46" t="s">
        <v>103</v>
      </c>
      <c r="D37" s="24"/>
      <c r="E37" s="24">
        <v>8110</v>
      </c>
      <c r="F37" s="25">
        <f>+D37+E37</f>
        <v>8110</v>
      </c>
      <c r="G37" s="24"/>
      <c r="H37" s="24">
        <v>18305</v>
      </c>
      <c r="I37" s="25">
        <f>+G37+H37</f>
        <v>18305</v>
      </c>
    </row>
    <row r="38" spans="2:9" ht="12.75">
      <c r="B38" s="58" t="s">
        <v>104</v>
      </c>
      <c r="C38" s="46" t="s">
        <v>105</v>
      </c>
      <c r="D38" s="24"/>
      <c r="E38" s="24"/>
      <c r="F38" s="25">
        <f>+D38+E38</f>
        <v>0</v>
      </c>
      <c r="G38" s="24"/>
      <c r="H38" s="24"/>
      <c r="I38" s="25">
        <f>+G38+H38</f>
        <v>0</v>
      </c>
    </row>
    <row r="39" spans="2:9" ht="12.75">
      <c r="B39" s="58" t="s">
        <v>106</v>
      </c>
      <c r="C39" s="46" t="s">
        <v>107</v>
      </c>
      <c r="D39" s="24"/>
      <c r="E39" s="24"/>
      <c r="F39" s="25">
        <f>+D39+E39</f>
        <v>0</v>
      </c>
      <c r="G39" s="24"/>
      <c r="H39" s="24"/>
      <c r="I39" s="25">
        <f>+G39+H39</f>
        <v>0</v>
      </c>
    </row>
    <row r="40" spans="2:9" ht="12.75">
      <c r="B40" s="58" t="s">
        <v>108</v>
      </c>
      <c r="C40" s="46" t="s">
        <v>109</v>
      </c>
      <c r="D40" s="24"/>
      <c r="E40" s="24">
        <v>2190</v>
      </c>
      <c r="F40" s="25">
        <f>+D40+E40</f>
        <v>2190</v>
      </c>
      <c r="G40" s="24"/>
      <c r="H40" s="24">
        <v>300</v>
      </c>
      <c r="I40" s="25">
        <f>+G40+H40</f>
        <v>300</v>
      </c>
    </row>
    <row r="41" spans="2:9" s="31" customFormat="1" ht="12.75">
      <c r="B41" s="59" t="s">
        <v>110</v>
      </c>
      <c r="C41" s="49" t="s">
        <v>111</v>
      </c>
      <c r="D41" s="25">
        <f>SUM(D34:D40)</f>
        <v>0</v>
      </c>
      <c r="E41" s="25">
        <f>SUM(E34:E40)</f>
        <v>10300</v>
      </c>
      <c r="F41" s="25">
        <f>SUM(F34:F40)</f>
        <v>10300</v>
      </c>
      <c r="G41" s="25">
        <f>SUM(G34:G40)</f>
        <v>0</v>
      </c>
      <c r="H41" s="25">
        <f>SUM(H34:H40)</f>
        <v>18905</v>
      </c>
      <c r="I41" s="25">
        <f>SUM(I34:I40)</f>
        <v>18905</v>
      </c>
    </row>
    <row r="42" spans="2:9" ht="12.75">
      <c r="B42" s="60" t="s">
        <v>112</v>
      </c>
      <c r="C42" s="46" t="s">
        <v>113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ht="12.75">
      <c r="B43" s="60" t="s">
        <v>114</v>
      </c>
      <c r="C43" s="46" t="s">
        <v>115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ht="12.75">
      <c r="B44" s="60" t="s">
        <v>116</v>
      </c>
      <c r="C44" s="46" t="s">
        <v>117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ht="12.75">
      <c r="B45" s="60" t="s">
        <v>118</v>
      </c>
      <c r="C45" s="46" t="s">
        <v>119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ht="12.75">
      <c r="B46" s="50" t="s">
        <v>120</v>
      </c>
      <c r="C46" s="49" t="s">
        <v>121</v>
      </c>
      <c r="D46" s="25">
        <f>SUM(D42:D45)</f>
        <v>0</v>
      </c>
      <c r="E46" s="25">
        <f>SUM(E42:E45)</f>
        <v>0</v>
      </c>
      <c r="F46" s="25">
        <f>SUM(F42:F45)</f>
        <v>0</v>
      </c>
      <c r="G46" s="25">
        <f>SUM(G42:G45)</f>
        <v>0</v>
      </c>
      <c r="H46" s="25">
        <f>SUM(H42:H45)</f>
        <v>0</v>
      </c>
      <c r="I46" s="25">
        <f>SUM(I42:I45)</f>
        <v>0</v>
      </c>
    </row>
    <row r="47" spans="2:9" ht="12.75">
      <c r="B47" s="60" t="s">
        <v>122</v>
      </c>
      <c r="C47" s="46" t="s">
        <v>123</v>
      </c>
      <c r="D47" s="24"/>
      <c r="E47" s="24"/>
      <c r="F47" s="25">
        <f>+D47+E47</f>
        <v>0</v>
      </c>
      <c r="G47" s="24"/>
      <c r="H47" s="24"/>
      <c r="I47" s="25">
        <f>+G47+H47</f>
        <v>0</v>
      </c>
    </row>
    <row r="48" spans="2:9" ht="12.75">
      <c r="B48" s="60" t="s">
        <v>124</v>
      </c>
      <c r="C48" s="46" t="s">
        <v>125</v>
      </c>
      <c r="D48" s="24"/>
      <c r="E48" s="24"/>
      <c r="F48" s="25">
        <f>+D48+E48</f>
        <v>0</v>
      </c>
      <c r="G48" s="24"/>
      <c r="H48" s="24"/>
      <c r="I48" s="25">
        <f>+G48+H48</f>
        <v>0</v>
      </c>
    </row>
    <row r="49" spans="2:9" ht="12.75">
      <c r="B49" s="60" t="s">
        <v>126</v>
      </c>
      <c r="C49" s="46" t="s">
        <v>127</v>
      </c>
      <c r="D49" s="24"/>
      <c r="E49" s="24"/>
      <c r="F49" s="25">
        <f>+D49+E49</f>
        <v>0</v>
      </c>
      <c r="G49" s="24"/>
      <c r="H49" s="24"/>
      <c r="I49" s="25">
        <f>+G49+H49</f>
        <v>0</v>
      </c>
    </row>
    <row r="50" spans="2:9" ht="12.75">
      <c r="B50" s="60" t="s">
        <v>128</v>
      </c>
      <c r="C50" s="46" t="s">
        <v>129</v>
      </c>
      <c r="D50" s="24"/>
      <c r="E50" s="24"/>
      <c r="F50" s="25">
        <f>+D50+E50</f>
        <v>0</v>
      </c>
      <c r="G50" s="24"/>
      <c r="H50" s="24"/>
      <c r="I50" s="25">
        <f>+G50+H50</f>
        <v>0</v>
      </c>
    </row>
    <row r="51" spans="2:9" ht="12.75">
      <c r="B51" s="60" t="s">
        <v>130</v>
      </c>
      <c r="C51" s="46" t="s">
        <v>131</v>
      </c>
      <c r="D51" s="24"/>
      <c r="E51" s="24"/>
      <c r="F51" s="25">
        <f>+D51+E51</f>
        <v>0</v>
      </c>
      <c r="G51" s="24"/>
      <c r="H51" s="24"/>
      <c r="I51" s="25">
        <f>+G51+H51</f>
        <v>0</v>
      </c>
    </row>
    <row r="52" spans="2:9" ht="12.75">
      <c r="B52" s="60" t="s">
        <v>132</v>
      </c>
      <c r="C52" s="46" t="s">
        <v>133</v>
      </c>
      <c r="D52" s="24"/>
      <c r="E52" s="24"/>
      <c r="F52" s="25">
        <f>+D52+E52</f>
        <v>0</v>
      </c>
      <c r="G52" s="24"/>
      <c r="H52" s="24"/>
      <c r="I52" s="25">
        <f>+G52+H52</f>
        <v>0</v>
      </c>
    </row>
    <row r="53" spans="2:9" ht="12.75">
      <c r="B53" s="60" t="s">
        <v>134</v>
      </c>
      <c r="C53" s="46" t="s">
        <v>135</v>
      </c>
      <c r="D53" s="24"/>
      <c r="E53" s="24"/>
      <c r="F53" s="25">
        <f>+D53+E53</f>
        <v>0</v>
      </c>
      <c r="G53" s="24"/>
      <c r="H53" s="24"/>
      <c r="I53" s="25">
        <f>+G53+H53</f>
        <v>0</v>
      </c>
    </row>
    <row r="54" spans="2:9" ht="12.75">
      <c r="B54" s="53" t="s">
        <v>596</v>
      </c>
      <c r="C54" s="46" t="s">
        <v>137</v>
      </c>
      <c r="D54" s="24"/>
      <c r="E54" s="24"/>
      <c r="F54" s="25">
        <f>+D54+E54</f>
        <v>0</v>
      </c>
      <c r="G54" s="24"/>
      <c r="H54" s="24"/>
      <c r="I54" s="25">
        <f>+G54+H54</f>
        <v>0</v>
      </c>
    </row>
    <row r="55" spans="2:9" ht="12.75">
      <c r="B55" s="60" t="s">
        <v>138</v>
      </c>
      <c r="C55" s="46" t="s">
        <v>139</v>
      </c>
      <c r="D55" s="24"/>
      <c r="E55" s="24"/>
      <c r="F55" s="25">
        <f>+D55+E55</f>
        <v>0</v>
      </c>
      <c r="G55" s="24"/>
      <c r="H55" s="24"/>
      <c r="I55" s="25">
        <f>+G55+H55</f>
        <v>0</v>
      </c>
    </row>
    <row r="56" spans="2:9" s="31" customFormat="1" ht="12.75">
      <c r="B56" s="51" t="s">
        <v>140</v>
      </c>
      <c r="C56" s="49" t="s">
        <v>141</v>
      </c>
      <c r="D56" s="25">
        <f>SUM(D47:D55)</f>
        <v>0</v>
      </c>
      <c r="E56" s="25">
        <f>SUM(E47:E55)</f>
        <v>0</v>
      </c>
      <c r="F56" s="25">
        <f>SUM(F47:F55)</f>
        <v>0</v>
      </c>
      <c r="G56" s="25">
        <f>SUM(G47:G55)</f>
        <v>0</v>
      </c>
      <c r="H56" s="25">
        <f>SUM(H47:H55)</f>
        <v>0</v>
      </c>
      <c r="I56" s="25">
        <f>SUM(I47:I55)</f>
        <v>0</v>
      </c>
    </row>
    <row r="57" spans="2:9" ht="12.75">
      <c r="B57" s="54" t="s">
        <v>142</v>
      </c>
      <c r="C57" s="55" t="s">
        <v>143</v>
      </c>
      <c r="D57" s="56">
        <f>+D56+D46+D41</f>
        <v>0</v>
      </c>
      <c r="E57" s="56">
        <f>+E56+E46+E41</f>
        <v>10300</v>
      </c>
      <c r="F57" s="56">
        <f>+F56+F46+F41</f>
        <v>10300</v>
      </c>
      <c r="G57" s="56">
        <f>+G56+G46+G41</f>
        <v>0</v>
      </c>
      <c r="H57" s="56">
        <f>+H56+H46+H41</f>
        <v>18905</v>
      </c>
      <c r="I57" s="56">
        <f>+I56+I46+I41</f>
        <v>18905</v>
      </c>
    </row>
    <row r="58" spans="2:9" ht="12.75">
      <c r="B58" s="61" t="s">
        <v>144</v>
      </c>
      <c r="C58" s="62" t="s">
        <v>145</v>
      </c>
      <c r="D58" s="63">
        <f>+D56+D46+D41+D32+D17+D16+D10+D9</f>
        <v>27500</v>
      </c>
      <c r="E58" s="63">
        <f>+E56+E46+E41+E32+E17+E16+E10+E9</f>
        <v>366089</v>
      </c>
      <c r="F58" s="63">
        <f>+F56+F46+F41+F32+F17+F16+F10+F9</f>
        <v>393589</v>
      </c>
      <c r="G58" s="63">
        <f>+G56+G46+G41+G32+G17+G16+G10+G9</f>
        <v>27500</v>
      </c>
      <c r="H58" s="63">
        <f>+H56+H46+H41+H32+H17+H16+H10+H9</f>
        <v>376636</v>
      </c>
      <c r="I58" s="63">
        <f>+I56+I46+I41+I32+I17+I16+I10+I9</f>
        <v>404136</v>
      </c>
    </row>
    <row r="59" spans="2:22" ht="12.75">
      <c r="B59" s="68" t="s">
        <v>582</v>
      </c>
      <c r="C59" s="47" t="s">
        <v>171</v>
      </c>
      <c r="D59" s="241"/>
      <c r="E59" s="241"/>
      <c r="F59" s="24">
        <f>+D59+E59</f>
        <v>0</v>
      </c>
      <c r="G59" s="241"/>
      <c r="H59" s="241"/>
      <c r="I59" s="24">
        <f>+G59+H59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/>
      <c r="V59" s="65"/>
    </row>
    <row r="60" spans="2:22" ht="12.75">
      <c r="B60" s="68" t="s">
        <v>172</v>
      </c>
      <c r="C60" s="47" t="s">
        <v>173</v>
      </c>
      <c r="D60" s="241"/>
      <c r="E60" s="241"/>
      <c r="F60" s="24">
        <f>+D60+E60</f>
        <v>0</v>
      </c>
      <c r="G60" s="241"/>
      <c r="H60" s="241"/>
      <c r="I60" s="24">
        <f>+G60+H60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/>
      <c r="V60" s="65"/>
    </row>
    <row r="61" spans="2:22" ht="12.75">
      <c r="B61" s="60" t="s">
        <v>174</v>
      </c>
      <c r="C61" s="47" t="s">
        <v>175</v>
      </c>
      <c r="D61" s="241"/>
      <c r="E61" s="241"/>
      <c r="F61" s="24">
        <f>+D61+E61</f>
        <v>0</v>
      </c>
      <c r="G61" s="241"/>
      <c r="H61" s="241"/>
      <c r="I61" s="24">
        <f>+G61+H61</f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5"/>
    </row>
    <row r="62" spans="2:22" ht="12.75">
      <c r="B62" s="60" t="s">
        <v>176</v>
      </c>
      <c r="C62" s="47" t="s">
        <v>177</v>
      </c>
      <c r="D62" s="241"/>
      <c r="E62" s="241"/>
      <c r="F62" s="24">
        <f>+D62+E62</f>
        <v>0</v>
      </c>
      <c r="G62" s="241"/>
      <c r="H62" s="241"/>
      <c r="I62" s="24">
        <f>+G62+H62</f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5"/>
    </row>
    <row r="63" spans="2:22" ht="12.75">
      <c r="B63" s="73" t="s">
        <v>178</v>
      </c>
      <c r="C63" s="74" t="s">
        <v>179</v>
      </c>
      <c r="D63" s="75">
        <f>+D61+D60+D59+D62</f>
        <v>0</v>
      </c>
      <c r="E63" s="75">
        <f>+E61+E60+E59+E62</f>
        <v>0</v>
      </c>
      <c r="F63" s="75">
        <f>+F61+F60+F59+F62</f>
        <v>0</v>
      </c>
      <c r="G63" s="75">
        <f>+G61+G60+G59+G62</f>
        <v>0</v>
      </c>
      <c r="H63" s="75">
        <f>+H61+H60+H59+H62</f>
        <v>0</v>
      </c>
      <c r="I63" s="75">
        <f>+I61+I60+I59+I62</f>
        <v>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5"/>
      <c r="V63" s="65"/>
    </row>
    <row r="64" spans="2:22" ht="12.75">
      <c r="B64" s="28" t="s">
        <v>180</v>
      </c>
      <c r="C64" s="28" t="s">
        <v>181</v>
      </c>
      <c r="D64" s="29">
        <f>+D58+D63</f>
        <v>27500</v>
      </c>
      <c r="E64" s="29">
        <f>+E58+E63</f>
        <v>366089</v>
      </c>
      <c r="F64" s="29">
        <f>+F58+F63</f>
        <v>393589</v>
      </c>
      <c r="G64" s="29">
        <f>+G58+G63</f>
        <v>27500</v>
      </c>
      <c r="H64" s="29">
        <f>+H58+H63</f>
        <v>376636</v>
      </c>
      <c r="I64" s="29">
        <f>+I58+I63</f>
        <v>404136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13"/>
      <c r="C65" s="76"/>
      <c r="D65" s="77"/>
      <c r="E65" s="77"/>
      <c r="F65" s="78"/>
      <c r="G65" s="77"/>
      <c r="H65" s="77"/>
      <c r="I65" s="7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2:22" ht="15.75" customHeight="1" hidden="1">
      <c r="B66" s="13"/>
      <c r="C66" s="76"/>
      <c r="D66" s="92" t="s">
        <v>14</v>
      </c>
      <c r="E66" s="92"/>
      <c r="F66" s="92"/>
      <c r="G66" s="92" t="s">
        <v>14</v>
      </c>
      <c r="H66" s="92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2:22" ht="12.75">
      <c r="B67" s="19" t="s">
        <v>15</v>
      </c>
      <c r="C67" s="42" t="s">
        <v>182</v>
      </c>
      <c r="D67" s="43" t="s">
        <v>16</v>
      </c>
      <c r="E67" s="43" t="s">
        <v>17</v>
      </c>
      <c r="F67" s="162" t="s">
        <v>528</v>
      </c>
      <c r="G67" s="43" t="s">
        <v>16</v>
      </c>
      <c r="H67" s="43" t="s">
        <v>17</v>
      </c>
      <c r="I67" s="162" t="s">
        <v>528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2:22" ht="12.75">
      <c r="B68" s="50" t="s">
        <v>584</v>
      </c>
      <c r="C68" s="59" t="s">
        <v>196</v>
      </c>
      <c r="D68" s="25"/>
      <c r="E68" s="25"/>
      <c r="F68" s="25">
        <f>+E68+D68</f>
        <v>0</v>
      </c>
      <c r="G68" s="25"/>
      <c r="H68" s="25"/>
      <c r="I68" s="25">
        <f>+H68+G68</f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2:22" ht="12.75">
      <c r="B69" s="47" t="s">
        <v>197</v>
      </c>
      <c r="C69" s="58" t="s">
        <v>198</v>
      </c>
      <c r="D69" s="25"/>
      <c r="E69" s="25"/>
      <c r="F69" s="25">
        <f>+E69+D69</f>
        <v>0</v>
      </c>
      <c r="G69" s="25"/>
      <c r="H69" s="25"/>
      <c r="I69" s="25">
        <f>+H69+G69</f>
        <v>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2:22" ht="12.75">
      <c r="B70" s="47" t="s">
        <v>199</v>
      </c>
      <c r="C70" s="58" t="s">
        <v>200</v>
      </c>
      <c r="D70" s="25"/>
      <c r="E70" s="25"/>
      <c r="F70" s="25">
        <f>+E70+D70</f>
        <v>0</v>
      </c>
      <c r="G70" s="25"/>
      <c r="H70" s="25"/>
      <c r="I70" s="25">
        <f>+H70+G70</f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2:22" ht="12.75">
      <c r="B71" s="47" t="s">
        <v>201</v>
      </c>
      <c r="C71" s="58" t="s">
        <v>202</v>
      </c>
      <c r="D71" s="25"/>
      <c r="E71" s="25"/>
      <c r="F71" s="25">
        <f>+E71+D71</f>
        <v>0</v>
      </c>
      <c r="G71" s="25"/>
      <c r="H71" s="25"/>
      <c r="I71" s="25">
        <f>+H71+G71</f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2:22" ht="12.75">
      <c r="B72" s="47" t="s">
        <v>203</v>
      </c>
      <c r="C72" s="58" t="s">
        <v>204</v>
      </c>
      <c r="D72" s="25"/>
      <c r="E72" s="25"/>
      <c r="F72" s="25">
        <f>+E72+D72</f>
        <v>0</v>
      </c>
      <c r="G72" s="25"/>
      <c r="H72" s="25"/>
      <c r="I72" s="25">
        <f>+H72+G72</f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2:22" ht="12.75">
      <c r="B73" s="47" t="s">
        <v>205</v>
      </c>
      <c r="C73" s="58" t="s">
        <v>206</v>
      </c>
      <c r="D73" s="24">
        <v>27500</v>
      </c>
      <c r="E73" s="24">
        <v>333223</v>
      </c>
      <c r="F73" s="25">
        <f>+E73+D73</f>
        <v>360723</v>
      </c>
      <c r="G73" s="24">
        <v>27500</v>
      </c>
      <c r="H73" s="24">
        <v>333223</v>
      </c>
      <c r="I73" s="25">
        <f>+H73+G73</f>
        <v>360723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2.75">
      <c r="B74" s="50" t="s">
        <v>207</v>
      </c>
      <c r="C74" s="59" t="s">
        <v>208</v>
      </c>
      <c r="D74" s="25">
        <f>+D73+D72+D71+D70+D69+D68</f>
        <v>27500</v>
      </c>
      <c r="E74" s="25">
        <f>+E73+E72+E71+E70+E69+E68</f>
        <v>333223</v>
      </c>
      <c r="F74" s="25">
        <f>+F73+F72+F71+F70+F69+F68</f>
        <v>360723</v>
      </c>
      <c r="G74" s="25">
        <f>+G73+G72+G71+G70+G69+G68</f>
        <v>27500</v>
      </c>
      <c r="H74" s="25">
        <f>+H73+H72+H71+H70+H69+H68</f>
        <v>333223</v>
      </c>
      <c r="I74" s="25">
        <f>+I73+I72+I71+I70+I69+I68</f>
        <v>360723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2.75">
      <c r="B75" s="50" t="s">
        <v>209</v>
      </c>
      <c r="C75" s="59" t="s">
        <v>210</v>
      </c>
      <c r="D75" s="24"/>
      <c r="E75" s="24"/>
      <c r="F75" s="25">
        <f>+E75+D75</f>
        <v>0</v>
      </c>
      <c r="G75" s="24"/>
      <c r="H75" s="24"/>
      <c r="I75" s="25">
        <f>+H75+G75</f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2:22" ht="12.75" hidden="1">
      <c r="B76" s="47" t="s">
        <v>211</v>
      </c>
      <c r="C76" s="58" t="s">
        <v>212</v>
      </c>
      <c r="D76" s="24"/>
      <c r="E76" s="24"/>
      <c r="F76" s="25">
        <f>+E76+D76</f>
        <v>0</v>
      </c>
      <c r="G76" s="24"/>
      <c r="H76" s="24"/>
      <c r="I76" s="25">
        <f>+H76+G76</f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2.75" hidden="1">
      <c r="B77" s="47" t="s">
        <v>213</v>
      </c>
      <c r="C77" s="58" t="s">
        <v>214</v>
      </c>
      <c r="D77" s="24"/>
      <c r="E77" s="24"/>
      <c r="F77" s="25">
        <f>+E77+D77</f>
        <v>0</v>
      </c>
      <c r="G77" s="24"/>
      <c r="H77" s="24"/>
      <c r="I77" s="25">
        <f>+H77+G77</f>
        <v>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2:22" ht="12.75" hidden="1">
      <c r="B78" s="47" t="s">
        <v>215</v>
      </c>
      <c r="C78" s="58" t="s">
        <v>216</v>
      </c>
      <c r="D78" s="24"/>
      <c r="E78" s="24"/>
      <c r="F78" s="25">
        <f>+E78+D78</f>
        <v>0</v>
      </c>
      <c r="G78" s="24"/>
      <c r="H78" s="24"/>
      <c r="I78" s="25">
        <f>+H78+G78</f>
        <v>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2:22" ht="12.75" hidden="1">
      <c r="B79" s="47" t="s">
        <v>217</v>
      </c>
      <c r="C79" s="58" t="s">
        <v>218</v>
      </c>
      <c r="D79" s="24"/>
      <c r="E79" s="24"/>
      <c r="F79" s="25">
        <f>+E79+D79</f>
        <v>0</v>
      </c>
      <c r="G79" s="24"/>
      <c r="H79" s="24"/>
      <c r="I79" s="25">
        <f>+H79+G79</f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2:22" ht="12.75" hidden="1">
      <c r="B80" s="47" t="s">
        <v>219</v>
      </c>
      <c r="C80" s="58" t="s">
        <v>220</v>
      </c>
      <c r="D80" s="24"/>
      <c r="E80" s="24"/>
      <c r="F80" s="25">
        <f>+E80+D80</f>
        <v>0</v>
      </c>
      <c r="G80" s="24"/>
      <c r="H80" s="24"/>
      <c r="I80" s="25">
        <f>+H80+G80</f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2:22" ht="12.75" hidden="1">
      <c r="B81" s="47" t="s">
        <v>221</v>
      </c>
      <c r="C81" s="58" t="s">
        <v>222</v>
      </c>
      <c r="D81" s="24"/>
      <c r="E81" s="24"/>
      <c r="F81" s="25">
        <f>+E81+D81</f>
        <v>0</v>
      </c>
      <c r="G81" s="24"/>
      <c r="H81" s="24"/>
      <c r="I81" s="25">
        <f>+H81+G81</f>
        <v>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2:22" ht="12.75">
      <c r="B82" s="50" t="s">
        <v>223</v>
      </c>
      <c r="C82" s="59" t="s">
        <v>224</v>
      </c>
      <c r="D82" s="25">
        <f>SUM(D76:D81)</f>
        <v>0</v>
      </c>
      <c r="E82" s="25">
        <f>SUM(E76:E81)</f>
        <v>0</v>
      </c>
      <c r="F82" s="25">
        <f>SUM(F76:F81)</f>
        <v>0</v>
      </c>
      <c r="G82" s="25">
        <f>SUM(G76:G81)</f>
        <v>0</v>
      </c>
      <c r="H82" s="25">
        <f>SUM(H76:H81)</f>
        <v>0</v>
      </c>
      <c r="I82" s="25">
        <f>SUM(I76:I81)</f>
        <v>0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2:22" ht="12.75">
      <c r="B83" s="60" t="s">
        <v>585</v>
      </c>
      <c r="C83" s="58" t="s">
        <v>226</v>
      </c>
      <c r="D83" s="24"/>
      <c r="E83" s="24">
        <v>200</v>
      </c>
      <c r="F83" s="25">
        <f>+E83+D83</f>
        <v>200</v>
      </c>
      <c r="G83" s="24"/>
      <c r="H83" s="24">
        <v>200</v>
      </c>
      <c r="I83" s="25">
        <f>+H83+G83</f>
        <v>200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2:22" ht="12.75">
      <c r="B84" s="60" t="s">
        <v>227</v>
      </c>
      <c r="C84" s="58" t="s">
        <v>228</v>
      </c>
      <c r="D84" s="24"/>
      <c r="E84" s="24">
        <v>32216</v>
      </c>
      <c r="F84" s="25">
        <f>+E84+D84</f>
        <v>32216</v>
      </c>
      <c r="G84" s="24"/>
      <c r="H84" s="24">
        <v>32056</v>
      </c>
      <c r="I84" s="25">
        <f>+H84+G84</f>
        <v>32056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2:22" ht="12.75">
      <c r="B85" s="60" t="s">
        <v>229</v>
      </c>
      <c r="C85" s="58" t="s">
        <v>230</v>
      </c>
      <c r="D85" s="24"/>
      <c r="E85" s="24">
        <v>400</v>
      </c>
      <c r="F85" s="25">
        <f>+E85+D85</f>
        <v>400</v>
      </c>
      <c r="G85" s="24"/>
      <c r="H85" s="24">
        <v>400</v>
      </c>
      <c r="I85" s="25">
        <f>+H85+G85</f>
        <v>400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2:22" ht="12.75">
      <c r="B86" s="60" t="s">
        <v>231</v>
      </c>
      <c r="C86" s="58" t="s">
        <v>232</v>
      </c>
      <c r="D86" s="24"/>
      <c r="E86" s="24"/>
      <c r="F86" s="25">
        <f>+E86+D86</f>
        <v>0</v>
      </c>
      <c r="G86" s="24"/>
      <c r="H86" s="24"/>
      <c r="I86" s="25">
        <f>+H86+G86</f>
        <v>0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2:22" ht="12.75">
      <c r="B87" s="60" t="s">
        <v>233</v>
      </c>
      <c r="C87" s="58" t="s">
        <v>234</v>
      </c>
      <c r="D87" s="24"/>
      <c r="E87" s="24"/>
      <c r="F87" s="25">
        <f>+E87+D87</f>
        <v>0</v>
      </c>
      <c r="G87" s="24"/>
      <c r="H87" s="24"/>
      <c r="I87" s="25">
        <f>+H87+G87</f>
        <v>0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2:22" ht="12.75">
      <c r="B88" s="60" t="s">
        <v>235</v>
      </c>
      <c r="C88" s="58" t="s">
        <v>236</v>
      </c>
      <c r="D88" s="24"/>
      <c r="E88" s="24"/>
      <c r="F88" s="25">
        <f>+E88+D88</f>
        <v>0</v>
      </c>
      <c r="G88" s="24"/>
      <c r="H88" s="24"/>
      <c r="I88" s="25">
        <f>+H88+G88</f>
        <v>0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2:22" ht="12.75">
      <c r="B89" s="60" t="s">
        <v>237</v>
      </c>
      <c r="C89" s="58" t="s">
        <v>238</v>
      </c>
      <c r="D89" s="24"/>
      <c r="E89" s="24"/>
      <c r="F89" s="25">
        <f>+E89+D89</f>
        <v>0</v>
      </c>
      <c r="G89" s="24"/>
      <c r="H89" s="24"/>
      <c r="I89" s="25">
        <f>+H89+G89</f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2:22" ht="12.75">
      <c r="B90" s="60" t="s">
        <v>239</v>
      </c>
      <c r="C90" s="58" t="s">
        <v>240</v>
      </c>
      <c r="D90" s="24"/>
      <c r="E90" s="24">
        <v>50</v>
      </c>
      <c r="F90" s="25">
        <f>+E90+D90</f>
        <v>50</v>
      </c>
      <c r="G90" s="24"/>
      <c r="H90" s="24">
        <v>50</v>
      </c>
      <c r="I90" s="25">
        <f>+H90+G90</f>
        <v>50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2:22" ht="12.75">
      <c r="B91" s="60" t="s">
        <v>241</v>
      </c>
      <c r="C91" s="58" t="s">
        <v>242</v>
      </c>
      <c r="D91" s="24"/>
      <c r="E91" s="24"/>
      <c r="F91" s="25">
        <f>+E91+D91</f>
        <v>0</v>
      </c>
      <c r="G91" s="24"/>
      <c r="H91" s="24"/>
      <c r="I91" s="25">
        <f>+H91+G91</f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2:22" ht="12.75">
      <c r="B92" s="60" t="s">
        <v>243</v>
      </c>
      <c r="C92" s="58" t="s">
        <v>244</v>
      </c>
      <c r="D92" s="24"/>
      <c r="E92" s="24"/>
      <c r="F92" s="25">
        <f>+E92+D92</f>
        <v>0</v>
      </c>
      <c r="G92" s="24"/>
      <c r="H92" s="24"/>
      <c r="I92" s="25">
        <f>+H92+G92</f>
        <v>0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2:22" ht="12.75">
      <c r="B93" s="60" t="s">
        <v>245</v>
      </c>
      <c r="C93" s="58" t="s">
        <v>246</v>
      </c>
      <c r="D93" s="24"/>
      <c r="E93" s="24"/>
      <c r="F93" s="25">
        <f>+E93+D93</f>
        <v>0</v>
      </c>
      <c r="G93" s="24"/>
      <c r="H93" s="24"/>
      <c r="I93" s="25">
        <f>+H93+G93</f>
        <v>0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2:22" ht="12.75">
      <c r="B94" s="51" t="s">
        <v>247</v>
      </c>
      <c r="C94" s="59" t="s">
        <v>248</v>
      </c>
      <c r="D94" s="25">
        <f>SUM(D83:D93)</f>
        <v>0</v>
      </c>
      <c r="E94" s="25">
        <f>SUM(E83:E93)</f>
        <v>32866</v>
      </c>
      <c r="F94" s="25">
        <f>SUM(F83:F93)</f>
        <v>32866</v>
      </c>
      <c r="G94" s="25">
        <f>SUM(G83:G93)</f>
        <v>0</v>
      </c>
      <c r="H94" s="25">
        <f>SUM(H83:H93)</f>
        <v>32706</v>
      </c>
      <c r="I94" s="25">
        <f>SUM(I83:I93)</f>
        <v>32706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2:22" ht="12.75">
      <c r="B95" s="60" t="s">
        <v>249</v>
      </c>
      <c r="C95" s="58" t="s">
        <v>250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2:22" ht="12.75">
      <c r="B96" s="60" t="s">
        <v>251</v>
      </c>
      <c r="C96" s="58" t="s">
        <v>252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2:22" ht="12.75">
      <c r="B97" s="60" t="s">
        <v>253</v>
      </c>
      <c r="C97" s="58" t="s">
        <v>254</v>
      </c>
      <c r="D97" s="24"/>
      <c r="E97" s="24"/>
      <c r="F97" s="25">
        <f>+E97+D97</f>
        <v>0</v>
      </c>
      <c r="G97" s="24"/>
      <c r="H97" s="24">
        <v>160</v>
      </c>
      <c r="I97" s="25">
        <f>+H97+G97</f>
        <v>160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2:22" ht="12.75">
      <c r="B98" s="60" t="s">
        <v>255</v>
      </c>
      <c r="C98" s="58" t="s">
        <v>256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2:22" ht="12.75">
      <c r="B99" s="60" t="s">
        <v>257</v>
      </c>
      <c r="C99" s="58" t="s">
        <v>258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2:22" ht="12.75">
      <c r="B100" s="50" t="s">
        <v>259</v>
      </c>
      <c r="C100" s="59" t="s">
        <v>260</v>
      </c>
      <c r="D100" s="25">
        <f>SUM(D95:D99)</f>
        <v>0</v>
      </c>
      <c r="E100" s="25">
        <f>SUM(E95:E99)</f>
        <v>0</v>
      </c>
      <c r="F100" s="25">
        <f>SUM(F95:F99)</f>
        <v>0</v>
      </c>
      <c r="G100" s="25">
        <f>SUM(G95:G99)</f>
        <v>0</v>
      </c>
      <c r="H100" s="25">
        <f>SUM(H95:H99)</f>
        <v>160</v>
      </c>
      <c r="I100" s="25">
        <f>SUM(I95:I99)</f>
        <v>160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2:22" ht="12.75">
      <c r="B101" s="50" t="s">
        <v>261</v>
      </c>
      <c r="C101" s="59" t="s">
        <v>262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2:22" ht="12.75">
      <c r="B102" s="60" t="s">
        <v>263</v>
      </c>
      <c r="C102" s="58" t="s">
        <v>264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2:22" ht="12.75">
      <c r="B103" s="47" t="s">
        <v>265</v>
      </c>
      <c r="C103" s="58" t="s">
        <v>266</v>
      </c>
      <c r="D103" s="24"/>
      <c r="E103" s="24"/>
      <c r="F103" s="25"/>
      <c r="G103" s="24"/>
      <c r="H103" s="24"/>
      <c r="I103" s="2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2:22" ht="12.75">
      <c r="B104" s="60" t="s">
        <v>267</v>
      </c>
      <c r="C104" s="58" t="s">
        <v>268</v>
      </c>
      <c r="D104" s="24"/>
      <c r="E104" s="24"/>
      <c r="F104" s="25"/>
      <c r="G104" s="24"/>
      <c r="H104" s="24"/>
      <c r="I104" s="2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2:22" ht="12.75">
      <c r="B105" s="60" t="s">
        <v>269</v>
      </c>
      <c r="C105" s="58" t="s">
        <v>270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22" ht="12.75">
      <c r="B106" s="60" t="s">
        <v>271</v>
      </c>
      <c r="C106" s="58" t="s">
        <v>272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22" ht="12.75">
      <c r="B107" s="50" t="s">
        <v>273</v>
      </c>
      <c r="C107" s="59" t="s">
        <v>274</v>
      </c>
      <c r="D107" s="25">
        <f>SUM(D102:D106)</f>
        <v>0</v>
      </c>
      <c r="E107" s="25">
        <f>SUM(E102:E106)</f>
        <v>0</v>
      </c>
      <c r="F107" s="25">
        <f>SUM(F102:F106)</f>
        <v>0</v>
      </c>
      <c r="G107" s="25">
        <f>SUM(G102:G106)</f>
        <v>0</v>
      </c>
      <c r="H107" s="25">
        <f>SUM(H102:H106)</f>
        <v>0</v>
      </c>
      <c r="I107" s="25">
        <f>SUM(I102:I106)</f>
        <v>0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22" ht="12.75">
      <c r="B108" s="81" t="s">
        <v>275</v>
      </c>
      <c r="C108" s="61" t="s">
        <v>276</v>
      </c>
      <c r="D108" s="63">
        <f>+D107+D101+D100+D94+D82+D75+D74</f>
        <v>27500</v>
      </c>
      <c r="E108" s="63">
        <f>+E107+E101+E100+E94+E82+E75+E74</f>
        <v>366089</v>
      </c>
      <c r="F108" s="63">
        <f>+F107+F101+F100+F94+F82+F75+F74</f>
        <v>393589</v>
      </c>
      <c r="G108" s="63">
        <f>+G107+G101+G100+G94+G82+G75+G74</f>
        <v>27500</v>
      </c>
      <c r="H108" s="63">
        <f>+H107+H101+H100+H94+H82+H75+H74</f>
        <v>366089</v>
      </c>
      <c r="I108" s="63">
        <f>+I107+I101+I100+I94+I82+I75+I74</f>
        <v>393589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22" ht="12.75">
      <c r="B109" s="82" t="s">
        <v>277</v>
      </c>
      <c r="C109" s="83"/>
      <c r="D109" s="84">
        <f>+D101+D94+D82+D74-D33</f>
        <v>0</v>
      </c>
      <c r="E109" s="84">
        <f>+E101+E94+E82+E74-E33</f>
        <v>10300</v>
      </c>
      <c r="F109" s="84">
        <f>+E109+D109</f>
        <v>10300</v>
      </c>
      <c r="G109" s="84">
        <f>+G101+G94+G82+G74-G33</f>
        <v>0</v>
      </c>
      <c r="H109" s="84">
        <f>+H101+H94+H82+H74-H33</f>
        <v>8198</v>
      </c>
      <c r="I109" s="84">
        <f>+H109+G109</f>
        <v>8198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22" ht="12.75">
      <c r="B110" s="82" t="s">
        <v>278</v>
      </c>
      <c r="C110" s="83"/>
      <c r="D110" s="84">
        <f>+D107+D100+D75-D57</f>
        <v>0</v>
      </c>
      <c r="E110" s="84">
        <f>+E107+E100+E75-E57</f>
        <v>-10300</v>
      </c>
      <c r="F110" s="84">
        <f>+E110+D110</f>
        <v>-10300</v>
      </c>
      <c r="G110" s="84">
        <f>+G107+G100+G75-G57</f>
        <v>0</v>
      </c>
      <c r="H110" s="84">
        <f>+H107+H100+H75-H57</f>
        <v>-18745</v>
      </c>
      <c r="I110" s="84">
        <f>+H110+G110</f>
        <v>-18745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2:9" ht="12.75">
      <c r="B111" s="51" t="s">
        <v>586</v>
      </c>
      <c r="C111" s="50" t="s">
        <v>286</v>
      </c>
      <c r="D111" s="24"/>
      <c r="E111" s="24"/>
      <c r="F111" s="25">
        <f>+E111+D111</f>
        <v>0</v>
      </c>
      <c r="G111" s="24"/>
      <c r="H111" s="24"/>
      <c r="I111" s="25">
        <f>+H111+G111</f>
        <v>0</v>
      </c>
    </row>
    <row r="112" spans="2:9" ht="12.75">
      <c r="B112" s="72" t="s">
        <v>587</v>
      </c>
      <c r="C112" s="50" t="s">
        <v>296</v>
      </c>
      <c r="D112" s="24"/>
      <c r="E112" s="24"/>
      <c r="F112" s="25">
        <f>+E112+D112</f>
        <v>0</v>
      </c>
      <c r="G112" s="24"/>
      <c r="H112" s="24"/>
      <c r="I112" s="25">
        <f>+H112+G112</f>
        <v>0</v>
      </c>
    </row>
    <row r="113" spans="2:9" ht="12.75">
      <c r="B113" s="47" t="s">
        <v>297</v>
      </c>
      <c r="C113" s="47" t="s">
        <v>298</v>
      </c>
      <c r="D113" s="24"/>
      <c r="E113" s="24"/>
      <c r="F113" s="25">
        <f>+E113+D113</f>
        <v>0</v>
      </c>
      <c r="G113" s="24"/>
      <c r="H113" s="24">
        <v>8605</v>
      </c>
      <c r="I113" s="25">
        <f>+H113+G113</f>
        <v>8605</v>
      </c>
    </row>
    <row r="114" spans="2:9" ht="12.75">
      <c r="B114" s="47" t="s">
        <v>299</v>
      </c>
      <c r="C114" s="47" t="s">
        <v>298</v>
      </c>
      <c r="D114" s="24"/>
      <c r="E114" s="24"/>
      <c r="F114" s="25">
        <f>+E114+D114</f>
        <v>0</v>
      </c>
      <c r="G114" s="24"/>
      <c r="H114" s="24"/>
      <c r="I114" s="25">
        <f>+H114+G114</f>
        <v>0</v>
      </c>
    </row>
    <row r="115" spans="2:9" ht="12.75">
      <c r="B115" s="47" t="s">
        <v>300</v>
      </c>
      <c r="C115" s="47" t="s">
        <v>301</v>
      </c>
      <c r="D115" s="24"/>
      <c r="E115" s="24"/>
      <c r="F115" s="25">
        <f>+E115+D115</f>
        <v>0</v>
      </c>
      <c r="G115" s="24"/>
      <c r="H115" s="24"/>
      <c r="I115" s="25">
        <f>+H115+G115</f>
        <v>0</v>
      </c>
    </row>
    <row r="116" spans="2:9" ht="12.75">
      <c r="B116" s="47" t="s">
        <v>302</v>
      </c>
      <c r="C116" s="47" t="s">
        <v>301</v>
      </c>
      <c r="D116" s="24"/>
      <c r="E116" s="24"/>
      <c r="F116" s="25">
        <f>+E116+D116</f>
        <v>0</v>
      </c>
      <c r="G116" s="24"/>
      <c r="H116" s="24"/>
      <c r="I116" s="25">
        <f>+H116+G116</f>
        <v>0</v>
      </c>
    </row>
    <row r="117" spans="1:9" ht="12.75">
      <c r="A117" s="88" t="s">
        <v>597</v>
      </c>
      <c r="B117" s="50" t="s">
        <v>303</v>
      </c>
      <c r="C117" s="50" t="s">
        <v>304</v>
      </c>
      <c r="D117" s="25">
        <f>SUM(D113:D116)</f>
        <v>0</v>
      </c>
      <c r="E117" s="25">
        <f>SUM(E113:E116)</f>
        <v>0</v>
      </c>
      <c r="F117" s="25">
        <f>SUM(F113:F116)</f>
        <v>0</v>
      </c>
      <c r="G117" s="25">
        <f>SUM(G113:G116)</f>
        <v>0</v>
      </c>
      <c r="H117" s="25">
        <f>SUM(H113:H116)</f>
        <v>8605</v>
      </c>
      <c r="I117" s="25">
        <f>SUM(I113:I116)</f>
        <v>8605</v>
      </c>
    </row>
    <row r="118" spans="1:9" ht="12.75">
      <c r="A118" s="88" t="s">
        <v>598</v>
      </c>
      <c r="B118" s="68" t="s">
        <v>305</v>
      </c>
      <c r="C118" s="47" t="s">
        <v>306</v>
      </c>
      <c r="D118" s="24"/>
      <c r="E118" s="24"/>
      <c r="F118" s="25">
        <f>+E118+D118</f>
        <v>0</v>
      </c>
      <c r="G118" s="24"/>
      <c r="H118" s="24"/>
      <c r="I118" s="25">
        <f>+H118+G118</f>
        <v>0</v>
      </c>
    </row>
    <row r="119" spans="2:9" ht="12.75">
      <c r="B119" s="68" t="s">
        <v>307</v>
      </c>
      <c r="C119" s="47" t="s">
        <v>308</v>
      </c>
      <c r="D119" s="24"/>
      <c r="E119" s="24"/>
      <c r="F119" s="25">
        <f>+E119+D119</f>
        <v>0</v>
      </c>
      <c r="G119" s="24"/>
      <c r="H119" s="24"/>
      <c r="I119" s="25">
        <f>+H119+G119</f>
        <v>0</v>
      </c>
    </row>
    <row r="120" spans="1:9" ht="12.75">
      <c r="A120" s="30" t="s">
        <v>606</v>
      </c>
      <c r="B120" s="68" t="s">
        <v>309</v>
      </c>
      <c r="C120" s="47" t="s">
        <v>310</v>
      </c>
      <c r="D120" s="24"/>
      <c r="E120" s="24"/>
      <c r="F120" s="25">
        <f>+E120+D120</f>
        <v>0</v>
      </c>
      <c r="G120" s="24"/>
      <c r="H120" s="24">
        <v>1942</v>
      </c>
      <c r="I120" s="25">
        <f>+H120+G120</f>
        <v>1942</v>
      </c>
    </row>
    <row r="121" spans="2:9" s="242" customFormat="1" ht="12.75">
      <c r="B121" s="243" t="s">
        <v>600</v>
      </c>
      <c r="C121" s="140"/>
      <c r="D121" s="100"/>
      <c r="E121" s="100"/>
      <c r="F121" s="126">
        <f>+E121+D121</f>
        <v>0</v>
      </c>
      <c r="G121" s="100"/>
      <c r="H121" s="100">
        <f>+H120-H122</f>
        <v>1942</v>
      </c>
      <c r="I121" s="126">
        <f>+H121+G121</f>
        <v>1942</v>
      </c>
    </row>
    <row r="122" spans="2:9" s="242" customFormat="1" ht="12.75">
      <c r="B122" s="244" t="s">
        <v>591</v>
      </c>
      <c r="C122" s="140"/>
      <c r="D122" s="100">
        <f>+D120-D121</f>
        <v>0</v>
      </c>
      <c r="E122" s="100">
        <f>+E120-E121</f>
        <v>0</v>
      </c>
      <c r="F122" s="126">
        <f>+E122+D122</f>
        <v>0</v>
      </c>
      <c r="G122" s="100">
        <f>+G120-G121</f>
        <v>0</v>
      </c>
      <c r="H122" s="100">
        <v>0</v>
      </c>
      <c r="I122" s="126">
        <f>+H122+G122</f>
        <v>0</v>
      </c>
    </row>
    <row r="123" spans="2:9" ht="12.75">
      <c r="B123" s="68" t="s">
        <v>311</v>
      </c>
      <c r="C123" s="47" t="s">
        <v>312</v>
      </c>
      <c r="D123" s="24"/>
      <c r="E123" s="24"/>
      <c r="F123" s="25">
        <f>+E123+D123</f>
        <v>0</v>
      </c>
      <c r="G123" s="24"/>
      <c r="H123" s="24"/>
      <c r="I123" s="25">
        <f>+H123+G123</f>
        <v>0</v>
      </c>
    </row>
    <row r="124" spans="2:9" ht="12.75">
      <c r="B124" s="60" t="s">
        <v>313</v>
      </c>
      <c r="C124" s="47" t="s">
        <v>314</v>
      </c>
      <c r="D124" s="24"/>
      <c r="E124" s="24"/>
      <c r="F124" s="25">
        <f>+E124+D124</f>
        <v>0</v>
      </c>
      <c r="G124" s="24"/>
      <c r="H124" s="24"/>
      <c r="I124" s="25">
        <f>+H124+G124</f>
        <v>0</v>
      </c>
    </row>
    <row r="125" spans="2:9" ht="12.75">
      <c r="B125" s="60" t="s">
        <v>315</v>
      </c>
      <c r="C125" s="47" t="s">
        <v>316</v>
      </c>
      <c r="D125" s="24"/>
      <c r="E125" s="24"/>
      <c r="F125" s="25">
        <f>+E125+D125</f>
        <v>0</v>
      </c>
      <c r="G125" s="24"/>
      <c r="H125" s="24"/>
      <c r="I125" s="25">
        <f>+H125+G125</f>
        <v>0</v>
      </c>
    </row>
    <row r="126" spans="2:9" ht="12.75">
      <c r="B126" s="51" t="s">
        <v>317</v>
      </c>
      <c r="C126" s="50" t="s">
        <v>318</v>
      </c>
      <c r="D126" s="25">
        <f>SUM(D118:D125)+D117+D112+D111-D121-D122</f>
        <v>0</v>
      </c>
      <c r="E126" s="25">
        <f>SUM(E118:E125)+E117+E112+E111-E121-E122</f>
        <v>0</v>
      </c>
      <c r="F126" s="25">
        <f>SUM(F118:F124)+F117+F112+F111-F121-F122</f>
        <v>0</v>
      </c>
      <c r="G126" s="25">
        <f>SUM(G118:G125)+G117+G112+G111-G121-G122</f>
        <v>0</v>
      </c>
      <c r="H126" s="25">
        <f>SUM(H118:H125)+H117+H112+H111-H121-H122</f>
        <v>10547</v>
      </c>
      <c r="I126" s="25">
        <f>SUM(I118:I124)+I117+I112+I111-I121-I122</f>
        <v>10547</v>
      </c>
    </row>
    <row r="127" spans="2:9" ht="12.75" hidden="1">
      <c r="B127" s="68" t="s">
        <v>319</v>
      </c>
      <c r="C127" s="47" t="s">
        <v>320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2:9" ht="12.75" hidden="1">
      <c r="B128" s="60" t="s">
        <v>321</v>
      </c>
      <c r="C128" s="47" t="s">
        <v>322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t="12.75" hidden="1">
      <c r="B129" s="60" t="s">
        <v>323</v>
      </c>
      <c r="C129" s="47" t="s">
        <v>324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ht="12.75">
      <c r="B130" s="73" t="s">
        <v>325</v>
      </c>
      <c r="C130" s="74" t="s">
        <v>326</v>
      </c>
      <c r="D130" s="63">
        <f>+D128+D127+D126+D129</f>
        <v>0</v>
      </c>
      <c r="E130" s="63">
        <f>+E128+E127+E126+E129</f>
        <v>0</v>
      </c>
      <c r="F130" s="63">
        <f>+F129+F127+F126</f>
        <v>0</v>
      </c>
      <c r="G130" s="63">
        <f>+G128+G127+G126+G129</f>
        <v>0</v>
      </c>
      <c r="H130" s="63">
        <f>+H128+H127+H126+H129</f>
        <v>10547</v>
      </c>
      <c r="I130" s="63">
        <f>+I129+I127+I126</f>
        <v>10547</v>
      </c>
    </row>
    <row r="131" spans="2:9" ht="12.75">
      <c r="B131" s="28" t="s">
        <v>327</v>
      </c>
      <c r="C131" s="28" t="s">
        <v>328</v>
      </c>
      <c r="D131" s="29">
        <f>+D108+D130</f>
        <v>27500</v>
      </c>
      <c r="E131" s="29">
        <f>+E108+E130</f>
        <v>366089</v>
      </c>
      <c r="F131" s="29">
        <f>+F108+F130</f>
        <v>393589</v>
      </c>
      <c r="G131" s="29">
        <f>+G108+G130</f>
        <v>27500</v>
      </c>
      <c r="H131" s="29">
        <f>+H108+H130</f>
        <v>376636</v>
      </c>
      <c r="I131" s="29">
        <f>+I108+I130</f>
        <v>404136</v>
      </c>
    </row>
    <row r="132" spans="2:9" ht="12.75">
      <c r="B132" s="13"/>
      <c r="C132" s="13"/>
      <c r="D132" s="14"/>
      <c r="E132" s="14"/>
      <c r="F132" s="85"/>
      <c r="G132" s="14"/>
      <c r="H132" s="14"/>
      <c r="I132" s="85"/>
    </row>
    <row r="133" spans="2:9" ht="12.75">
      <c r="B133" s="26" t="s">
        <v>329</v>
      </c>
      <c r="C133" s="26"/>
      <c r="D133" s="25">
        <f>+D108-D58</f>
        <v>0</v>
      </c>
      <c r="E133" s="25">
        <f>+E108-E58</f>
        <v>0</v>
      </c>
      <c r="F133" s="25">
        <f>+F108-F58</f>
        <v>0</v>
      </c>
      <c r="G133" s="25">
        <f>+G108-G58</f>
        <v>0</v>
      </c>
      <c r="H133" s="25">
        <f>+H108-H58</f>
        <v>-10547</v>
      </c>
      <c r="I133" s="25">
        <f>+I108-I58</f>
        <v>-10547</v>
      </c>
    </row>
    <row r="134" spans="2:9" ht="12.75">
      <c r="B134" s="26" t="s">
        <v>330</v>
      </c>
      <c r="C134" s="26"/>
      <c r="D134" s="25">
        <f>+D130-D63</f>
        <v>0</v>
      </c>
      <c r="E134" s="25">
        <f>+E130-E63</f>
        <v>0</v>
      </c>
      <c r="F134" s="25">
        <f>+F130-F63</f>
        <v>0</v>
      </c>
      <c r="G134" s="25">
        <f>+G130-G63</f>
        <v>0</v>
      </c>
      <c r="H134" s="25">
        <f>+H130-H63</f>
        <v>10547</v>
      </c>
      <c r="I134" s="25">
        <f>+I130-I63</f>
        <v>10547</v>
      </c>
    </row>
    <row r="135" spans="2:9" ht="12.75">
      <c r="B135" s="13"/>
      <c r="C135" s="13"/>
      <c r="D135" s="14"/>
      <c r="E135" s="14"/>
      <c r="F135" s="85"/>
      <c r="G135" s="14"/>
      <c r="H135" s="14"/>
      <c r="I135" s="85"/>
    </row>
    <row r="136" spans="2:9" ht="12.75">
      <c r="B136" s="87" t="s">
        <v>333</v>
      </c>
      <c r="C136" s="13"/>
      <c r="D136" s="14">
        <f>+D131-D64</f>
        <v>0</v>
      </c>
      <c r="E136" s="14">
        <f>+E131-E64</f>
        <v>0</v>
      </c>
      <c r="F136" s="14">
        <f>+F131-F64</f>
        <v>0</v>
      </c>
      <c r="G136" s="14">
        <f>+G131-G64</f>
        <v>0</v>
      </c>
      <c r="H136" s="14">
        <f>+H131-H64</f>
        <v>0</v>
      </c>
      <c r="I136" s="14">
        <f>+I131-I64</f>
        <v>0</v>
      </c>
    </row>
    <row r="137" spans="2:9" ht="12.75">
      <c r="B137" s="13"/>
      <c r="C137" s="13"/>
      <c r="D137" s="14"/>
      <c r="E137" s="14"/>
      <c r="F137" s="85"/>
      <c r="G137" s="14"/>
      <c r="H137" s="14"/>
      <c r="I137" s="85"/>
    </row>
    <row r="138" spans="2:9" ht="12.75">
      <c r="B138" s="13"/>
      <c r="C138" s="13"/>
      <c r="D138" s="14"/>
      <c r="E138" s="14"/>
      <c r="F138" s="85"/>
      <c r="G138" s="14"/>
      <c r="H138" s="14"/>
      <c r="I138" s="85"/>
    </row>
    <row r="139" spans="2:9" ht="12.75">
      <c r="B139" s="13"/>
      <c r="C139" s="13"/>
      <c r="D139" s="14"/>
      <c r="E139" s="14"/>
      <c r="F139" s="85"/>
      <c r="G139" s="14"/>
      <c r="H139" s="14"/>
      <c r="I139" s="85"/>
    </row>
    <row r="140" spans="2:9" ht="12.75">
      <c r="B140" s="13"/>
      <c r="C140" s="13"/>
      <c r="D140" s="14"/>
      <c r="E140" s="14"/>
      <c r="F140" s="85"/>
      <c r="G140" s="14"/>
      <c r="H140" s="14"/>
      <c r="I140" s="85"/>
    </row>
    <row r="141" spans="2:9" ht="12.75">
      <c r="B141" s="13"/>
      <c r="C141" s="13"/>
      <c r="D141" s="14"/>
      <c r="E141" s="14"/>
      <c r="F141" s="85"/>
      <c r="G141" s="14"/>
      <c r="H141" s="14"/>
      <c r="I141" s="85"/>
    </row>
    <row r="142" spans="2:9" ht="12.75">
      <c r="B142" s="13"/>
      <c r="C142" s="13"/>
      <c r="D142" s="14"/>
      <c r="E142" s="14"/>
      <c r="F142" s="85"/>
      <c r="G142" s="14"/>
      <c r="H142" s="14"/>
      <c r="I142" s="85"/>
    </row>
    <row r="143" spans="2:9" ht="12.75">
      <c r="B143" s="13"/>
      <c r="C143" s="13"/>
      <c r="D143" s="14"/>
      <c r="E143" s="14"/>
      <c r="F143" s="85"/>
      <c r="G143" s="14"/>
      <c r="H143" s="14"/>
      <c r="I143" s="85"/>
    </row>
    <row r="144" spans="2:9" ht="12.75">
      <c r="B144" s="13"/>
      <c r="C144" s="13"/>
      <c r="D144" s="14"/>
      <c r="E144" s="14"/>
      <c r="F144" s="85"/>
      <c r="G144" s="14"/>
      <c r="H144" s="14"/>
      <c r="I144" s="85"/>
    </row>
    <row r="145" spans="2:9" ht="12.75">
      <c r="B145" s="13"/>
      <c r="C145" s="13"/>
      <c r="D145" s="14"/>
      <c r="E145" s="14"/>
      <c r="F145" s="85"/>
      <c r="G145" s="14"/>
      <c r="H145" s="14"/>
      <c r="I145" s="85"/>
    </row>
    <row r="146" spans="2:9" ht="12.75">
      <c r="B146" s="13"/>
      <c r="C146" s="13"/>
      <c r="D146" s="14"/>
      <c r="E146" s="14"/>
      <c r="F146" s="85"/>
      <c r="G146" s="14"/>
      <c r="H146" s="14"/>
      <c r="I146" s="85"/>
    </row>
    <row r="147" spans="2:9" ht="12.75">
      <c r="B147" s="13"/>
      <c r="C147" s="13"/>
      <c r="D147" s="14"/>
      <c r="E147" s="14"/>
      <c r="F147" s="85"/>
      <c r="G147" s="14"/>
      <c r="H147" s="14"/>
      <c r="I147" s="85"/>
    </row>
    <row r="148" spans="2:9" ht="12.75">
      <c r="B148" s="13"/>
      <c r="C148" s="13"/>
      <c r="D148" s="14"/>
      <c r="E148" s="14"/>
      <c r="F148" s="85"/>
      <c r="G148" s="14"/>
      <c r="H148" s="14"/>
      <c r="I148" s="85"/>
    </row>
    <row r="149" spans="2:9" ht="12.75">
      <c r="B149" s="13"/>
      <c r="C149" s="13"/>
      <c r="D149" s="14"/>
      <c r="E149" s="14"/>
      <c r="F149" s="85"/>
      <c r="G149" s="14"/>
      <c r="H149" s="14"/>
      <c r="I149" s="85"/>
    </row>
    <row r="150" spans="2:9" ht="12.75">
      <c r="B150" s="13"/>
      <c r="C150" s="13"/>
      <c r="D150" s="14"/>
      <c r="E150" s="14"/>
      <c r="F150" s="85"/>
      <c r="G150" s="14"/>
      <c r="H150" s="14"/>
      <c r="I150" s="85"/>
    </row>
    <row r="151" spans="2:9" ht="12.75">
      <c r="B151" s="13"/>
      <c r="C151" s="13"/>
      <c r="D151" s="14"/>
      <c r="E151" s="14"/>
      <c r="F151" s="85"/>
      <c r="G151" s="14"/>
      <c r="H151" s="14"/>
      <c r="I151" s="85"/>
    </row>
    <row r="152" spans="2:9" ht="12.75">
      <c r="B152" s="13"/>
      <c r="C152" s="13"/>
      <c r="D152" s="14"/>
      <c r="E152" s="14"/>
      <c r="F152" s="85"/>
      <c r="G152" s="14"/>
      <c r="H152" s="14"/>
      <c r="I152" s="85"/>
    </row>
    <row r="153" spans="2:9" ht="12.75">
      <c r="B153" s="13"/>
      <c r="C153" s="13"/>
      <c r="D153" s="14"/>
      <c r="E153" s="14"/>
      <c r="F153" s="85"/>
      <c r="G153" s="14"/>
      <c r="H153" s="14"/>
      <c r="I153" s="85"/>
    </row>
    <row r="154" spans="2:9" ht="12.75">
      <c r="B154" s="13"/>
      <c r="C154" s="13"/>
      <c r="D154" s="14"/>
      <c r="E154" s="14"/>
      <c r="F154" s="85"/>
      <c r="G154" s="14"/>
      <c r="H154" s="14"/>
      <c r="I154" s="85"/>
    </row>
    <row r="155" spans="2:9" ht="12.75">
      <c r="B155" s="13"/>
      <c r="C155" s="13"/>
      <c r="D155" s="14"/>
      <c r="E155" s="14"/>
      <c r="F155" s="85"/>
      <c r="G155" s="14"/>
      <c r="H155" s="14"/>
      <c r="I155" s="85"/>
    </row>
    <row r="156" spans="2:9" ht="12.75">
      <c r="B156" s="13"/>
      <c r="C156" s="13"/>
      <c r="D156" s="14"/>
      <c r="E156" s="14"/>
      <c r="F156" s="85"/>
      <c r="G156" s="14"/>
      <c r="H156" s="14"/>
      <c r="I156" s="85"/>
    </row>
    <row r="157" spans="2:9" ht="12.75">
      <c r="B157" s="13"/>
      <c r="C157" s="13"/>
      <c r="D157" s="14"/>
      <c r="E157" s="14"/>
      <c r="F157" s="85"/>
      <c r="G157" s="14"/>
      <c r="H157" s="14"/>
      <c r="I157" s="85"/>
    </row>
    <row r="158" spans="2:9" ht="12.75">
      <c r="B158" s="13"/>
      <c r="C158" s="13"/>
      <c r="D158" s="14"/>
      <c r="E158" s="14"/>
      <c r="F158" s="85"/>
      <c r="G158" s="14"/>
      <c r="H158" s="14"/>
      <c r="I158" s="85"/>
    </row>
    <row r="159" spans="2:9" ht="12.75">
      <c r="B159" s="13"/>
      <c r="C159" s="13"/>
      <c r="D159" s="14"/>
      <c r="E159" s="14"/>
      <c r="F159" s="85"/>
      <c r="G159" s="14"/>
      <c r="H159" s="14"/>
      <c r="I159" s="85"/>
    </row>
    <row r="160" spans="2:9" ht="12.75">
      <c r="B160" s="13"/>
      <c r="C160" s="13"/>
      <c r="D160" s="14"/>
      <c r="E160" s="14"/>
      <c r="F160" s="85"/>
      <c r="G160" s="14"/>
      <c r="H160" s="14"/>
      <c r="I160" s="85"/>
    </row>
    <row r="161" spans="2:9" ht="12.75">
      <c r="B161" s="13"/>
      <c r="C161" s="13"/>
      <c r="D161" s="14"/>
      <c r="E161" s="14"/>
      <c r="F161" s="85"/>
      <c r="G161" s="14"/>
      <c r="H161" s="14"/>
      <c r="I161" s="85"/>
    </row>
    <row r="162" spans="2:9" ht="12.75">
      <c r="B162" s="13"/>
      <c r="C162" s="13"/>
      <c r="D162" s="14"/>
      <c r="E162" s="14"/>
      <c r="F162" s="85"/>
      <c r="G162" s="14"/>
      <c r="H162" s="14"/>
      <c r="I162" s="85"/>
    </row>
    <row r="163" spans="2:9" ht="12.75">
      <c r="B163" s="13"/>
      <c r="C163" s="13"/>
      <c r="D163" s="14"/>
      <c r="E163" s="14"/>
      <c r="F163" s="85"/>
      <c r="G163" s="14"/>
      <c r="H163" s="14"/>
      <c r="I163" s="85"/>
    </row>
    <row r="164" spans="2:9" ht="12.75">
      <c r="B164" s="13"/>
      <c r="C164" s="13"/>
      <c r="D164" s="14"/>
      <c r="E164" s="14"/>
      <c r="F164" s="85"/>
      <c r="G164" s="14"/>
      <c r="H164" s="14"/>
      <c r="I164" s="85"/>
    </row>
    <row r="165" spans="2:9" ht="12.75">
      <c r="B165" s="13"/>
      <c r="C165" s="13"/>
      <c r="D165" s="14"/>
      <c r="E165" s="14"/>
      <c r="F165" s="85"/>
      <c r="G165" s="14"/>
      <c r="H165" s="14"/>
      <c r="I165" s="85"/>
    </row>
    <row r="166" spans="2:9" ht="12.75">
      <c r="B166" s="13"/>
      <c r="C166" s="13"/>
      <c r="D166" s="14"/>
      <c r="E166" s="14"/>
      <c r="F166" s="85"/>
      <c r="G166" s="14"/>
      <c r="H166" s="14"/>
      <c r="I166" s="85"/>
    </row>
    <row r="167" spans="2:9" ht="12.75">
      <c r="B167" s="13"/>
      <c r="C167" s="13"/>
      <c r="D167" s="14"/>
      <c r="E167" s="14"/>
      <c r="F167" s="85"/>
      <c r="G167" s="14"/>
      <c r="H167" s="14"/>
      <c r="I167" s="85"/>
    </row>
    <row r="168" spans="2:9" ht="12.75">
      <c r="B168" s="13"/>
      <c r="C168" s="13"/>
      <c r="D168" s="14"/>
      <c r="E168" s="14"/>
      <c r="F168" s="85"/>
      <c r="G168" s="14"/>
      <c r="H168" s="14"/>
      <c r="I168" s="85"/>
    </row>
    <row r="169" spans="2:9" ht="12.75">
      <c r="B169" s="13"/>
      <c r="C169" s="13"/>
      <c r="D169" s="14"/>
      <c r="E169" s="14"/>
      <c r="F169" s="85"/>
      <c r="G169" s="14"/>
      <c r="H169" s="14"/>
      <c r="I169" s="85"/>
    </row>
    <row r="170" spans="2:9" ht="12.75">
      <c r="B170" s="13"/>
      <c r="C170" s="13"/>
      <c r="D170" s="14"/>
      <c r="E170" s="14"/>
      <c r="F170" s="85"/>
      <c r="G170" s="14"/>
      <c r="H170" s="14"/>
      <c r="I170" s="85"/>
    </row>
    <row r="171" spans="2:9" ht="12.75">
      <c r="B171" s="13"/>
      <c r="C171" s="13"/>
      <c r="D171" s="14"/>
      <c r="E171" s="14"/>
      <c r="F171" s="85"/>
      <c r="G171" s="14"/>
      <c r="H171" s="14"/>
      <c r="I171" s="85"/>
    </row>
    <row r="172" spans="2:9" ht="12.75">
      <c r="B172" s="13"/>
      <c r="C172" s="13"/>
      <c r="D172" s="14"/>
      <c r="E172" s="14"/>
      <c r="F172" s="85"/>
      <c r="G172" s="14"/>
      <c r="H172" s="14"/>
      <c r="I172" s="85"/>
    </row>
    <row r="173" spans="2:9" ht="12.75">
      <c r="B173" s="13"/>
      <c r="C173" s="13"/>
      <c r="D173" s="14"/>
      <c r="E173" s="14"/>
      <c r="F173" s="85"/>
      <c r="G173" s="14"/>
      <c r="H173" s="14"/>
      <c r="I173" s="85"/>
    </row>
    <row r="174" spans="2:9" ht="12.75">
      <c r="B174" s="13"/>
      <c r="C174" s="13"/>
      <c r="D174" s="14"/>
      <c r="E174" s="14"/>
      <c r="F174" s="85"/>
      <c r="G174" s="14"/>
      <c r="H174" s="14"/>
      <c r="I174" s="85"/>
    </row>
    <row r="175" spans="2:9" ht="12.75">
      <c r="B175" s="13"/>
      <c r="C175" s="13"/>
      <c r="D175" s="14"/>
      <c r="E175" s="14"/>
      <c r="F175" s="85"/>
      <c r="G175" s="14"/>
      <c r="H175" s="14"/>
      <c r="I175" s="85"/>
    </row>
    <row r="176" spans="2:9" ht="12.75">
      <c r="B176" s="13"/>
      <c r="C176" s="13"/>
      <c r="D176" s="14"/>
      <c r="E176" s="14"/>
      <c r="F176" s="85"/>
      <c r="G176" s="14"/>
      <c r="H176" s="14"/>
      <c r="I176" s="85"/>
    </row>
    <row r="177" spans="2:9" ht="12.75">
      <c r="B177" s="13"/>
      <c r="C177" s="13"/>
      <c r="D177" s="14"/>
      <c r="E177" s="14"/>
      <c r="F177" s="85"/>
      <c r="G177" s="14"/>
      <c r="H177" s="14"/>
      <c r="I177" s="85"/>
    </row>
    <row r="178" spans="2:9" ht="12.75">
      <c r="B178" s="13"/>
      <c r="C178" s="13"/>
      <c r="D178" s="14"/>
      <c r="E178" s="14"/>
      <c r="F178" s="85"/>
      <c r="G178" s="14"/>
      <c r="H178" s="14"/>
      <c r="I178" s="85"/>
    </row>
    <row r="179" spans="2:9" ht="12.75">
      <c r="B179" s="13"/>
      <c r="C179" s="13"/>
      <c r="D179" s="14"/>
      <c r="E179" s="14"/>
      <c r="F179" s="85"/>
      <c r="G179" s="14"/>
      <c r="H179" s="14"/>
      <c r="I179" s="85"/>
    </row>
    <row r="180" spans="2:9" ht="12.75">
      <c r="B180" s="13"/>
      <c r="C180" s="13"/>
      <c r="D180" s="14"/>
      <c r="E180" s="14"/>
      <c r="F180" s="85"/>
      <c r="G180" s="14"/>
      <c r="H180" s="14"/>
      <c r="I180" s="85"/>
    </row>
    <row r="181" spans="2:9" ht="12.75">
      <c r="B181" s="13"/>
      <c r="C181" s="13"/>
      <c r="D181" s="14"/>
      <c r="E181" s="14"/>
      <c r="F181" s="85"/>
      <c r="G181" s="14"/>
      <c r="H181" s="14"/>
      <c r="I181" s="85"/>
    </row>
    <row r="182" spans="2:9" ht="12.75">
      <c r="B182" s="13"/>
      <c r="C182" s="13"/>
      <c r="D182" s="14"/>
      <c r="E182" s="14"/>
      <c r="F182" s="85"/>
      <c r="G182" s="14"/>
      <c r="H182" s="14"/>
      <c r="I182" s="85"/>
    </row>
    <row r="183" spans="2:9" ht="12.75">
      <c r="B183" s="13"/>
      <c r="C183" s="13"/>
      <c r="D183" s="14"/>
      <c r="E183" s="14"/>
      <c r="F183" s="85"/>
      <c r="G183" s="14"/>
      <c r="H183" s="14"/>
      <c r="I183" s="85"/>
    </row>
    <row r="184" spans="2:9" ht="12.75">
      <c r="B184" s="13"/>
      <c r="C184" s="13"/>
      <c r="D184" s="14"/>
      <c r="E184" s="14"/>
      <c r="F184" s="85"/>
      <c r="G184" s="14"/>
      <c r="H184" s="14"/>
      <c r="I184" s="85"/>
    </row>
    <row r="185" spans="2:9" ht="12.75">
      <c r="B185" s="13"/>
      <c r="C185" s="13"/>
      <c r="D185" s="14"/>
      <c r="E185" s="14"/>
      <c r="F185" s="85"/>
      <c r="G185" s="14"/>
      <c r="H185" s="14"/>
      <c r="I185" s="85"/>
    </row>
    <row r="186" spans="2:9" ht="12.75">
      <c r="B186" s="13"/>
      <c r="C186" s="13"/>
      <c r="D186" s="14"/>
      <c r="E186" s="14"/>
      <c r="F186" s="85"/>
      <c r="G186" s="14"/>
      <c r="H186" s="14"/>
      <c r="I186" s="85"/>
    </row>
    <row r="187" spans="2:9" ht="12.75">
      <c r="B187" s="13"/>
      <c r="C187" s="13"/>
      <c r="D187" s="14"/>
      <c r="E187" s="14"/>
      <c r="F187" s="85"/>
      <c r="G187" s="14"/>
      <c r="H187" s="14"/>
      <c r="I187" s="85"/>
    </row>
    <row r="188" spans="2:9" ht="12.75">
      <c r="B188" s="13"/>
      <c r="C188" s="13"/>
      <c r="D188" s="14"/>
      <c r="E188" s="14"/>
      <c r="F188" s="85"/>
      <c r="G188" s="14"/>
      <c r="H188" s="14"/>
      <c r="I188" s="85"/>
    </row>
    <row r="189" spans="2:9" ht="12.75">
      <c r="B189" s="13"/>
      <c r="C189" s="13"/>
      <c r="D189" s="14"/>
      <c r="E189" s="14"/>
      <c r="F189" s="85"/>
      <c r="G189" s="14"/>
      <c r="H189" s="14"/>
      <c r="I189" s="85"/>
    </row>
    <row r="190" spans="2:9" ht="12.75">
      <c r="B190" s="13"/>
      <c r="C190" s="13"/>
      <c r="D190" s="14"/>
      <c r="E190" s="14"/>
      <c r="F190" s="85"/>
      <c r="G190" s="14"/>
      <c r="H190" s="14"/>
      <c r="I190" s="85"/>
    </row>
    <row r="191" spans="2:9" ht="12.75">
      <c r="B191" s="13"/>
      <c r="C191" s="13"/>
      <c r="D191" s="14"/>
      <c r="E191" s="14"/>
      <c r="F191" s="85"/>
      <c r="G191" s="14"/>
      <c r="H191" s="14"/>
      <c r="I191" s="85"/>
    </row>
    <row r="192" spans="2:9" ht="12.75">
      <c r="B192" s="13"/>
      <c r="C192" s="13"/>
      <c r="D192" s="14"/>
      <c r="E192" s="14"/>
      <c r="F192" s="85"/>
      <c r="G192" s="14"/>
      <c r="H192" s="14"/>
      <c r="I192" s="85"/>
    </row>
    <row r="193" spans="2:9" ht="12.75">
      <c r="B193" s="13"/>
      <c r="C193" s="13"/>
      <c r="D193" s="14"/>
      <c r="E193" s="14"/>
      <c r="F193" s="85"/>
      <c r="G193" s="14"/>
      <c r="H193" s="14"/>
      <c r="I193" s="85"/>
    </row>
    <row r="194" spans="2:9" ht="12.75">
      <c r="B194" s="13"/>
      <c r="C194" s="13"/>
      <c r="D194" s="14"/>
      <c r="E194" s="14"/>
      <c r="F194" s="85"/>
      <c r="G194" s="14"/>
      <c r="H194" s="14"/>
      <c r="I194" s="85"/>
    </row>
    <row r="195" spans="2:9" ht="12.75">
      <c r="B195" s="13"/>
      <c r="C195" s="13"/>
      <c r="D195" s="13"/>
      <c r="E195" s="13"/>
      <c r="F195" s="27"/>
      <c r="G195" s="13"/>
      <c r="H195" s="13"/>
      <c r="I195" s="27"/>
    </row>
    <row r="196" spans="2:9" ht="12.75">
      <c r="B196" s="13"/>
      <c r="C196" s="13"/>
      <c r="D196" s="13"/>
      <c r="E196" s="13"/>
      <c r="F196" s="27"/>
      <c r="G196" s="13"/>
      <c r="H196" s="13"/>
      <c r="I196" s="27"/>
    </row>
    <row r="197" spans="2:9" ht="12.75">
      <c r="B197" s="13"/>
      <c r="C197" s="13"/>
      <c r="D197" s="13"/>
      <c r="E197" s="13"/>
      <c r="F197" s="27"/>
      <c r="G197" s="13"/>
      <c r="H197" s="13"/>
      <c r="I197" s="27"/>
    </row>
    <row r="198" spans="2:9" ht="12.75">
      <c r="B198" s="13"/>
      <c r="C198" s="13"/>
      <c r="D198" s="13"/>
      <c r="E198" s="13"/>
      <c r="F198" s="27"/>
      <c r="G198" s="13"/>
      <c r="H198" s="13"/>
      <c r="I198" s="27"/>
    </row>
    <row r="199" spans="2:9" ht="12.75">
      <c r="B199" s="13"/>
      <c r="C199" s="13"/>
      <c r="D199" s="13"/>
      <c r="E199" s="13"/>
      <c r="F199" s="27"/>
      <c r="G199" s="13"/>
      <c r="H199" s="13"/>
      <c r="I199" s="27"/>
    </row>
    <row r="200" spans="2:9" ht="12.75">
      <c r="B200" s="13"/>
      <c r="C200" s="13"/>
      <c r="D200" s="13"/>
      <c r="E200" s="13"/>
      <c r="F200" s="27"/>
      <c r="G200" s="13"/>
      <c r="H200" s="13"/>
      <c r="I200" s="27"/>
    </row>
    <row r="201" spans="2:9" ht="12.75">
      <c r="B201" s="13"/>
      <c r="C201" s="13"/>
      <c r="D201" s="13"/>
      <c r="E201" s="13"/>
      <c r="F201" s="27"/>
      <c r="G201" s="13"/>
      <c r="H201" s="13"/>
      <c r="I201" s="27"/>
    </row>
    <row r="202" spans="2:9" ht="12.75">
      <c r="B202" s="13"/>
      <c r="C202" s="13"/>
      <c r="D202" s="13"/>
      <c r="E202" s="13"/>
      <c r="F202" s="27"/>
      <c r="G202" s="13"/>
      <c r="H202" s="13"/>
      <c r="I202" s="27"/>
    </row>
    <row r="203" spans="2:9" ht="12.75">
      <c r="B203" s="13"/>
      <c r="C203" s="13"/>
      <c r="D203" s="13"/>
      <c r="E203" s="13"/>
      <c r="F203" s="27"/>
      <c r="G203" s="13"/>
      <c r="H203" s="13"/>
      <c r="I203" s="27"/>
    </row>
    <row r="204" spans="2:9" ht="12.75">
      <c r="B204" s="13"/>
      <c r="C204" s="13"/>
      <c r="D204" s="13"/>
      <c r="E204" s="13"/>
      <c r="F204" s="27"/>
      <c r="G204" s="13"/>
      <c r="H204" s="13"/>
      <c r="I204" s="27"/>
    </row>
    <row r="205" spans="2:9" ht="12.75">
      <c r="B205" s="13"/>
      <c r="C205" s="13"/>
      <c r="D205" s="13"/>
      <c r="E205" s="13"/>
      <c r="F205" s="27"/>
      <c r="G205" s="13"/>
      <c r="H205" s="13"/>
      <c r="I205" s="27"/>
    </row>
    <row r="206" spans="2:9" ht="12.75">
      <c r="B206" s="13"/>
      <c r="C206" s="13"/>
      <c r="D206" s="13"/>
      <c r="E206" s="13"/>
      <c r="F206" s="27"/>
      <c r="G206" s="13"/>
      <c r="H206" s="13"/>
      <c r="I206" s="27"/>
    </row>
    <row r="207" spans="2:9" ht="12.75">
      <c r="B207" s="13"/>
      <c r="C207" s="13"/>
      <c r="D207" s="13"/>
      <c r="E207" s="13"/>
      <c r="F207" s="27"/>
      <c r="G207" s="13"/>
      <c r="H207" s="13"/>
      <c r="I207" s="27"/>
    </row>
    <row r="208" spans="2:9" ht="12.75">
      <c r="B208" s="13"/>
      <c r="C208" s="13"/>
      <c r="D208" s="13"/>
      <c r="E208" s="13"/>
      <c r="F208" s="27"/>
      <c r="G208" s="13"/>
      <c r="H208" s="13"/>
      <c r="I208" s="27"/>
    </row>
    <row r="209" spans="2:9" ht="12.75">
      <c r="B209" s="13"/>
      <c r="C209" s="13"/>
      <c r="D209" s="13"/>
      <c r="E209" s="13"/>
      <c r="F209" s="27"/>
      <c r="G209" s="13"/>
      <c r="H209" s="13"/>
      <c r="I209" s="27"/>
    </row>
    <row r="210" spans="2:9" ht="12.75">
      <c r="B210" s="13"/>
      <c r="C210" s="13"/>
      <c r="D210" s="13"/>
      <c r="E210" s="13"/>
      <c r="F210" s="27"/>
      <c r="G210" s="13"/>
      <c r="H210" s="13"/>
      <c r="I210" s="27"/>
    </row>
    <row r="211" spans="2:9" ht="12.75">
      <c r="B211" s="13"/>
      <c r="C211" s="13"/>
      <c r="D211" s="13"/>
      <c r="E211" s="13"/>
      <c r="F211" s="27"/>
      <c r="G211" s="13"/>
      <c r="H211" s="13"/>
      <c r="I211" s="27"/>
    </row>
    <row r="212" spans="2:9" ht="12.75">
      <c r="B212" s="13"/>
      <c r="C212" s="13"/>
      <c r="D212" s="13"/>
      <c r="E212" s="13"/>
      <c r="F212" s="27"/>
      <c r="G212" s="13"/>
      <c r="H212" s="13"/>
      <c r="I212" s="27"/>
    </row>
    <row r="213" spans="2:9" ht="12.75">
      <c r="B213" s="13"/>
      <c r="C213" s="13"/>
      <c r="D213" s="13"/>
      <c r="E213" s="13"/>
      <c r="F213" s="27"/>
      <c r="G213" s="13"/>
      <c r="H213" s="13"/>
      <c r="I213" s="27"/>
    </row>
    <row r="214" spans="2:9" ht="12.75">
      <c r="B214" s="13"/>
      <c r="C214" s="13"/>
      <c r="D214" s="13"/>
      <c r="E214" s="13"/>
      <c r="F214" s="27"/>
      <c r="G214" s="13"/>
      <c r="H214" s="13"/>
      <c r="I214" s="27"/>
    </row>
    <row r="215" spans="2:9" ht="12.75">
      <c r="B215" s="13"/>
      <c r="C215" s="13"/>
      <c r="D215" s="13"/>
      <c r="E215" s="13"/>
      <c r="F215" s="27"/>
      <c r="G215" s="13"/>
      <c r="H215" s="13"/>
      <c r="I215" s="27"/>
    </row>
    <row r="216" spans="2:9" ht="12.75">
      <c r="B216" s="13"/>
      <c r="C216" s="13"/>
      <c r="D216" s="13"/>
      <c r="E216" s="13"/>
      <c r="F216" s="27"/>
      <c r="G216" s="13"/>
      <c r="H216" s="13"/>
      <c r="I216" s="27"/>
    </row>
    <row r="217" spans="2:9" ht="12.75">
      <c r="B217" s="13"/>
      <c r="C217" s="13"/>
      <c r="D217" s="13"/>
      <c r="E217" s="13"/>
      <c r="F217" s="27"/>
      <c r="G217" s="13"/>
      <c r="H217" s="13"/>
      <c r="I217" s="27"/>
    </row>
    <row r="218" spans="2:9" ht="12.75">
      <c r="B218" s="13"/>
      <c r="C218" s="13"/>
      <c r="D218" s="13"/>
      <c r="E218" s="13"/>
      <c r="F218" s="27"/>
      <c r="G218" s="13"/>
      <c r="H218" s="13"/>
      <c r="I218" s="27"/>
    </row>
    <row r="219" spans="2:9" ht="12.75">
      <c r="B219" s="13"/>
      <c r="C219" s="13"/>
      <c r="D219" s="13"/>
      <c r="E219" s="13"/>
      <c r="F219" s="27"/>
      <c r="G219" s="13"/>
      <c r="H219" s="13"/>
      <c r="I219" s="27"/>
    </row>
    <row r="220" spans="2:9" ht="12.75">
      <c r="B220" s="13"/>
      <c r="C220" s="13"/>
      <c r="D220" s="13"/>
      <c r="E220" s="13"/>
      <c r="F220" s="27"/>
      <c r="G220" s="13"/>
      <c r="H220" s="13"/>
      <c r="I220" s="27"/>
    </row>
    <row r="221" spans="2:9" ht="12.75">
      <c r="B221" s="13"/>
      <c r="C221" s="13"/>
      <c r="D221" s="13"/>
      <c r="E221" s="13"/>
      <c r="F221" s="27"/>
      <c r="G221" s="13"/>
      <c r="H221" s="13"/>
      <c r="I221" s="27"/>
    </row>
    <row r="222" spans="2:9" ht="12.75">
      <c r="B222" s="13"/>
      <c r="C222" s="13"/>
      <c r="D222" s="13"/>
      <c r="E222" s="13"/>
      <c r="F222" s="27"/>
      <c r="G222" s="13"/>
      <c r="H222" s="13"/>
      <c r="I222" s="27"/>
    </row>
    <row r="223" spans="2:9" ht="12.75">
      <c r="B223" s="13"/>
      <c r="C223" s="13"/>
      <c r="D223" s="13"/>
      <c r="E223" s="13"/>
      <c r="F223" s="27"/>
      <c r="G223" s="13"/>
      <c r="H223" s="13"/>
      <c r="I223" s="27"/>
    </row>
    <row r="224" spans="2:9" ht="12.75">
      <c r="B224" s="13"/>
      <c r="C224" s="13"/>
      <c r="D224" s="13"/>
      <c r="E224" s="13"/>
      <c r="F224" s="27"/>
      <c r="G224" s="13"/>
      <c r="H224" s="13"/>
      <c r="I224" s="27"/>
    </row>
    <row r="225" spans="2:9" ht="12.75">
      <c r="B225" s="13"/>
      <c r="C225" s="13"/>
      <c r="D225" s="13"/>
      <c r="E225" s="13"/>
      <c r="F225" s="27"/>
      <c r="G225" s="13"/>
      <c r="H225" s="13"/>
      <c r="I225" s="27"/>
    </row>
    <row r="226" spans="2:9" ht="12.75">
      <c r="B226" s="13"/>
      <c r="C226" s="13"/>
      <c r="D226" s="13"/>
      <c r="E226" s="13"/>
      <c r="F226" s="27"/>
      <c r="G226" s="13"/>
      <c r="H226" s="13"/>
      <c r="I226" s="27"/>
    </row>
    <row r="227" spans="2:9" ht="12.75">
      <c r="B227" s="13"/>
      <c r="C227" s="13"/>
      <c r="D227" s="13"/>
      <c r="E227" s="13"/>
      <c r="F227" s="27"/>
      <c r="G227" s="13"/>
      <c r="H227" s="13"/>
      <c r="I227" s="27"/>
    </row>
    <row r="228" spans="2:9" ht="12.75">
      <c r="B228" s="13"/>
      <c r="C228" s="13"/>
      <c r="D228" s="13"/>
      <c r="E228" s="13"/>
      <c r="F228" s="27"/>
      <c r="G228" s="13"/>
      <c r="H228" s="13"/>
      <c r="I228" s="27"/>
    </row>
    <row r="229" spans="2:9" ht="12.75">
      <c r="B229" s="13"/>
      <c r="C229" s="13"/>
      <c r="D229" s="13"/>
      <c r="E229" s="13"/>
      <c r="F229" s="27"/>
      <c r="G229" s="13"/>
      <c r="H229" s="13"/>
      <c r="I229" s="27"/>
    </row>
    <row r="230" spans="2:9" ht="12.75">
      <c r="B230" s="13"/>
      <c r="C230" s="13"/>
      <c r="D230" s="13"/>
      <c r="E230" s="13"/>
      <c r="F230" s="27"/>
      <c r="G230" s="13"/>
      <c r="H230" s="13"/>
      <c r="I230" s="27"/>
    </row>
    <row r="231" spans="2:9" ht="12.75">
      <c r="B231" s="13"/>
      <c r="C231" s="13"/>
      <c r="D231" s="13"/>
      <c r="E231" s="13"/>
      <c r="F231" s="27"/>
      <c r="G231" s="13"/>
      <c r="H231" s="13"/>
      <c r="I231" s="27"/>
    </row>
    <row r="232" spans="2:9" ht="12.75">
      <c r="B232" s="13"/>
      <c r="C232" s="13"/>
      <c r="D232" s="13"/>
      <c r="E232" s="13"/>
      <c r="F232" s="27"/>
      <c r="G232" s="13"/>
      <c r="H232" s="13"/>
      <c r="I232" s="27"/>
    </row>
    <row r="233" spans="2:9" ht="12.75">
      <c r="B233" s="13"/>
      <c r="C233" s="13"/>
      <c r="D233" s="13"/>
      <c r="E233" s="13"/>
      <c r="F233" s="27"/>
      <c r="G233" s="13"/>
      <c r="H233" s="13"/>
      <c r="I233" s="27"/>
    </row>
    <row r="234" spans="2:9" ht="12.75">
      <c r="B234" s="13"/>
      <c r="C234" s="13"/>
      <c r="D234" s="13"/>
      <c r="E234" s="13"/>
      <c r="F234" s="27"/>
      <c r="G234" s="13"/>
      <c r="H234" s="13"/>
      <c r="I234" s="27"/>
    </row>
    <row r="235" spans="2:9" ht="12.75">
      <c r="B235" s="13"/>
      <c r="C235" s="13"/>
      <c r="D235" s="13"/>
      <c r="E235" s="13"/>
      <c r="F235" s="27"/>
      <c r="G235" s="13"/>
      <c r="H235" s="13"/>
      <c r="I235" s="27"/>
    </row>
    <row r="236" spans="2:9" ht="12.75">
      <c r="B236" s="13"/>
      <c r="C236" s="13"/>
      <c r="D236" s="13"/>
      <c r="E236" s="13"/>
      <c r="F236" s="27"/>
      <c r="G236" s="13"/>
      <c r="H236" s="13"/>
      <c r="I236" s="27"/>
    </row>
    <row r="237" spans="2:9" ht="12.75">
      <c r="B237" s="13"/>
      <c r="C237" s="13"/>
      <c r="D237" s="13"/>
      <c r="E237" s="13"/>
      <c r="F237" s="27"/>
      <c r="G237" s="13"/>
      <c r="H237" s="13"/>
      <c r="I237" s="27"/>
    </row>
    <row r="238" spans="2:9" ht="12.75">
      <c r="B238" s="13"/>
      <c r="C238" s="13"/>
      <c r="D238" s="13"/>
      <c r="E238" s="13"/>
      <c r="F238" s="27"/>
      <c r="G238" s="13"/>
      <c r="H238" s="13"/>
      <c r="I238" s="27"/>
    </row>
    <row r="239" spans="2:9" ht="12.75">
      <c r="B239" s="13"/>
      <c r="C239" s="13"/>
      <c r="D239" s="13"/>
      <c r="E239" s="13"/>
      <c r="F239" s="27"/>
      <c r="G239" s="13"/>
      <c r="H239" s="13"/>
      <c r="I239" s="27"/>
    </row>
    <row r="240" spans="2:9" ht="12.75">
      <c r="B240" s="13"/>
      <c r="C240" s="13"/>
      <c r="D240" s="13"/>
      <c r="E240" s="13"/>
      <c r="F240" s="27"/>
      <c r="G240" s="13"/>
      <c r="H240" s="13"/>
      <c r="I240" s="27"/>
    </row>
    <row r="241" spans="2:9" ht="12.75">
      <c r="B241" s="13"/>
      <c r="C241" s="13"/>
      <c r="D241" s="13"/>
      <c r="E241" s="13"/>
      <c r="F241" s="27"/>
      <c r="G241" s="13"/>
      <c r="H241" s="13"/>
      <c r="I241" s="27"/>
    </row>
    <row r="242" spans="2:9" ht="12.75">
      <c r="B242" s="13"/>
      <c r="C242" s="13"/>
      <c r="D242" s="13"/>
      <c r="E242" s="13"/>
      <c r="F242" s="27"/>
      <c r="G242" s="13"/>
      <c r="H242" s="13"/>
      <c r="I242" s="27"/>
    </row>
    <row r="243" spans="2:9" ht="12.75">
      <c r="B243" s="13"/>
      <c r="C243" s="13"/>
      <c r="D243" s="13"/>
      <c r="E243" s="13"/>
      <c r="F243" s="27"/>
      <c r="G243" s="13"/>
      <c r="H243" s="13"/>
      <c r="I243" s="27"/>
    </row>
    <row r="244" spans="2:9" ht="12.75">
      <c r="B244" s="13"/>
      <c r="C244" s="13"/>
      <c r="D244" s="13"/>
      <c r="E244" s="13"/>
      <c r="F244" s="27"/>
      <c r="G244" s="13"/>
      <c r="H244" s="13"/>
      <c r="I244" s="27"/>
    </row>
    <row r="245" spans="2:9" ht="12.75">
      <c r="B245" s="13"/>
      <c r="C245" s="13"/>
      <c r="D245" s="13"/>
      <c r="E245" s="13"/>
      <c r="F245" s="27"/>
      <c r="G245" s="13"/>
      <c r="H245" s="13"/>
      <c r="I245" s="27"/>
    </row>
    <row r="246" spans="2:9" ht="12.75">
      <c r="B246" s="13"/>
      <c r="C246" s="13"/>
      <c r="D246" s="13"/>
      <c r="E246" s="13"/>
      <c r="F246" s="27"/>
      <c r="G246" s="13"/>
      <c r="H246" s="13"/>
      <c r="I246" s="27"/>
    </row>
    <row r="247" spans="2:9" ht="12.75">
      <c r="B247" s="13"/>
      <c r="C247" s="13"/>
      <c r="D247" s="13"/>
      <c r="E247" s="13"/>
      <c r="F247" s="27"/>
      <c r="G247" s="13"/>
      <c r="H247" s="13"/>
      <c r="I247" s="27"/>
    </row>
    <row r="248" spans="2:9" ht="12.75">
      <c r="B248" s="13"/>
      <c r="C248" s="13"/>
      <c r="D248" s="13"/>
      <c r="E248" s="13"/>
      <c r="F248" s="27"/>
      <c r="G248" s="13"/>
      <c r="H248" s="13"/>
      <c r="I248" s="27"/>
    </row>
    <row r="249" spans="2:9" ht="12.75">
      <c r="B249" s="13"/>
      <c r="C249" s="13"/>
      <c r="D249" s="13"/>
      <c r="E249" s="13"/>
      <c r="F249" s="27"/>
      <c r="G249" s="13"/>
      <c r="H249" s="13"/>
      <c r="I249" s="27"/>
    </row>
    <row r="250" spans="2:9" ht="12.75">
      <c r="B250" s="13"/>
      <c r="C250" s="13"/>
      <c r="D250" s="13"/>
      <c r="E250" s="13"/>
      <c r="F250" s="27"/>
      <c r="G250" s="13"/>
      <c r="H250" s="13"/>
      <c r="I250" s="27"/>
    </row>
    <row r="251" spans="2:9" ht="12.75">
      <c r="B251" s="13"/>
      <c r="C251" s="13"/>
      <c r="D251" s="13"/>
      <c r="E251" s="13"/>
      <c r="F251" s="27"/>
      <c r="G251" s="13"/>
      <c r="H251" s="13"/>
      <c r="I251" s="27"/>
    </row>
    <row r="252" spans="2:9" ht="12.75">
      <c r="B252" s="13"/>
      <c r="C252" s="13"/>
      <c r="D252" s="13"/>
      <c r="E252" s="13"/>
      <c r="F252" s="27"/>
      <c r="G252" s="13"/>
      <c r="H252" s="13"/>
      <c r="I252" s="27"/>
    </row>
    <row r="253" spans="2:9" ht="12.75">
      <c r="B253" s="13"/>
      <c r="C253" s="13"/>
      <c r="D253" s="13"/>
      <c r="E253" s="13"/>
      <c r="F253" s="27"/>
      <c r="G253" s="13"/>
      <c r="H253" s="13"/>
      <c r="I253" s="27"/>
    </row>
    <row r="254" spans="2:9" ht="12.75">
      <c r="B254" s="13"/>
      <c r="C254" s="13"/>
      <c r="D254" s="13"/>
      <c r="E254" s="13"/>
      <c r="F254" s="27"/>
      <c r="G254" s="13"/>
      <c r="H254" s="13"/>
      <c r="I254" s="27"/>
    </row>
    <row r="255" spans="2:9" ht="12.75">
      <c r="B255" s="13"/>
      <c r="C255" s="13"/>
      <c r="D255" s="13"/>
      <c r="E255" s="13"/>
      <c r="F255" s="27"/>
      <c r="G255" s="13"/>
      <c r="H255" s="13"/>
      <c r="I255" s="27"/>
    </row>
    <row r="256" spans="2:9" ht="12.75">
      <c r="B256" s="13"/>
      <c r="C256" s="13"/>
      <c r="D256" s="13"/>
      <c r="E256" s="13"/>
      <c r="F256" s="27"/>
      <c r="G256" s="13"/>
      <c r="H256" s="13"/>
      <c r="I256" s="27"/>
    </row>
    <row r="257" spans="2:9" ht="12.75">
      <c r="B257" s="13"/>
      <c r="C257" s="13"/>
      <c r="D257" s="13"/>
      <c r="E257" s="13"/>
      <c r="F257" s="27"/>
      <c r="G257" s="13"/>
      <c r="H257" s="13"/>
      <c r="I257" s="27"/>
    </row>
    <row r="258" spans="2:9" ht="12.75">
      <c r="B258" s="13"/>
      <c r="C258" s="13"/>
      <c r="D258" s="13"/>
      <c r="E258" s="13"/>
      <c r="F258" s="27"/>
      <c r="G258" s="13"/>
      <c r="H258" s="13"/>
      <c r="I258" s="27"/>
    </row>
    <row r="259" spans="2:9" ht="12.75">
      <c r="B259" s="13"/>
      <c r="C259" s="13"/>
      <c r="D259" s="13"/>
      <c r="E259" s="13"/>
      <c r="F259" s="27"/>
      <c r="G259" s="13"/>
      <c r="H259" s="13"/>
      <c r="I259" s="27"/>
    </row>
    <row r="260" spans="2:9" ht="12.7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298611111111111" right="0.39375" top="0.5402777777777777" bottom="0.5118055555555555" header="0.5118055555555555" footer="0.31527777777777777"/>
  <pageSetup horizontalDpi="300" verticalDpi="300" orientation="portrait" paperSize="9" scale="63"/>
  <headerFooter alignWithMargins="0">
    <oddFooter>&amp;R&amp;P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7109375" style="30" customWidth="1"/>
    <col min="2" max="2" width="72.421875" style="30" customWidth="1"/>
    <col min="3" max="3" width="9.7109375" style="30" customWidth="1"/>
    <col min="4" max="5" width="10.7109375" style="30" customWidth="1"/>
    <col min="6" max="6" width="10.7109375" style="31" customWidth="1"/>
    <col min="7" max="8" width="10.7109375" style="30" customWidth="1"/>
    <col min="9" max="9" width="10.7109375" style="31" customWidth="1"/>
    <col min="10" max="16384" width="9.140625" style="30" customWidth="1"/>
  </cols>
  <sheetData>
    <row r="1" spans="6:9" s="13" customFormat="1" ht="12.75">
      <c r="F1" s="32"/>
      <c r="I1" s="32" t="s">
        <v>607</v>
      </c>
    </row>
    <row r="2" spans="2:9" s="13" customFormat="1" ht="12.75">
      <c r="B2" s="240" t="s">
        <v>5</v>
      </c>
      <c r="F2" s="15"/>
      <c r="I2" s="15" t="s">
        <v>10</v>
      </c>
    </row>
    <row r="3" spans="2:9" s="13" customFormat="1" ht="12.75">
      <c r="B3" s="40" t="s">
        <v>593</v>
      </c>
      <c r="C3" s="36"/>
      <c r="D3" s="36"/>
      <c r="E3" s="36"/>
      <c r="F3" s="37"/>
      <c r="G3" s="36"/>
      <c r="H3" s="36"/>
      <c r="I3" s="37"/>
    </row>
    <row r="4" spans="2:9" s="13" customFormat="1" ht="12.75">
      <c r="B4" s="38" t="s">
        <v>41</v>
      </c>
      <c r="C4" s="39"/>
      <c r="D4" s="39"/>
      <c r="E4" s="39"/>
      <c r="F4" s="40"/>
      <c r="G4" s="39"/>
      <c r="H4" s="39"/>
      <c r="I4" s="40"/>
    </row>
    <row r="5" spans="2:9" ht="15.75" customHeight="1">
      <c r="B5" s="41"/>
      <c r="D5" s="92" t="s">
        <v>13</v>
      </c>
      <c r="E5" s="92"/>
      <c r="F5" s="92"/>
      <c r="G5" s="92" t="s">
        <v>14</v>
      </c>
      <c r="H5" s="92"/>
      <c r="I5" s="92"/>
    </row>
    <row r="6" spans="2:9" ht="12.75">
      <c r="B6" s="19" t="s">
        <v>15</v>
      </c>
      <c r="C6" s="42" t="s">
        <v>42</v>
      </c>
      <c r="D6" s="43" t="s">
        <v>16</v>
      </c>
      <c r="E6" s="43" t="s">
        <v>17</v>
      </c>
      <c r="F6" s="162" t="s">
        <v>528</v>
      </c>
      <c r="G6" s="43" t="s">
        <v>16</v>
      </c>
      <c r="H6" s="43" t="s">
        <v>17</v>
      </c>
      <c r="I6" s="162" t="s">
        <v>528</v>
      </c>
    </row>
    <row r="7" spans="2:9" ht="12.75">
      <c r="B7" s="45" t="s">
        <v>43</v>
      </c>
      <c r="C7" s="46" t="s">
        <v>44</v>
      </c>
      <c r="D7" s="24">
        <v>173122</v>
      </c>
      <c r="E7" s="24">
        <v>16804</v>
      </c>
      <c r="F7" s="25">
        <f>+D7+E7</f>
        <v>189926</v>
      </c>
      <c r="G7" s="24">
        <f>+197075-H7</f>
        <v>179765</v>
      </c>
      <c r="H7" s="24">
        <v>17310</v>
      </c>
      <c r="I7" s="25">
        <f>+G7+H7</f>
        <v>197075</v>
      </c>
    </row>
    <row r="8" spans="2:9" ht="12.75">
      <c r="B8" s="47" t="s">
        <v>45</v>
      </c>
      <c r="C8" s="46" t="s">
        <v>46</v>
      </c>
      <c r="D8" s="24">
        <v>300</v>
      </c>
      <c r="E8" s="24">
        <v>4800</v>
      </c>
      <c r="F8" s="25">
        <f>+D8+E8</f>
        <v>5100</v>
      </c>
      <c r="G8" s="24">
        <v>1400</v>
      </c>
      <c r="H8" s="24">
        <v>4300</v>
      </c>
      <c r="I8" s="25">
        <f>+G8+H8</f>
        <v>5700</v>
      </c>
    </row>
    <row r="9" spans="2:9" ht="12.75">
      <c r="B9" s="48" t="s">
        <v>47</v>
      </c>
      <c r="C9" s="49" t="s">
        <v>48</v>
      </c>
      <c r="D9" s="25">
        <f>SUM(D7:D8)</f>
        <v>173422</v>
      </c>
      <c r="E9" s="25">
        <f>SUM(E7:E8)</f>
        <v>21604</v>
      </c>
      <c r="F9" s="25">
        <f>SUM(F7:F8)</f>
        <v>195026</v>
      </c>
      <c r="G9" s="25">
        <f>SUM(G7:G8)</f>
        <v>181165</v>
      </c>
      <c r="H9" s="25">
        <f>SUM(H7:H8)</f>
        <v>21610</v>
      </c>
      <c r="I9" s="25">
        <f>SUM(I7:I8)</f>
        <v>202775</v>
      </c>
    </row>
    <row r="10" spans="2:9" ht="12.75">
      <c r="B10" s="50" t="s">
        <v>594</v>
      </c>
      <c r="C10" s="49" t="s">
        <v>50</v>
      </c>
      <c r="D10" s="24">
        <v>46506</v>
      </c>
      <c r="E10" s="24">
        <v>3520</v>
      </c>
      <c r="F10" s="25">
        <f>+D10+E10</f>
        <v>50026</v>
      </c>
      <c r="G10" s="24">
        <v>48198</v>
      </c>
      <c r="H10" s="24">
        <v>3625</v>
      </c>
      <c r="I10" s="25">
        <f>+G10+H10</f>
        <v>51823</v>
      </c>
    </row>
    <row r="11" spans="2:9" ht="12.75">
      <c r="B11" s="47" t="s">
        <v>51</v>
      </c>
      <c r="C11" s="46" t="s">
        <v>52</v>
      </c>
      <c r="D11" s="24">
        <v>72885</v>
      </c>
      <c r="E11" s="24">
        <v>650</v>
      </c>
      <c r="F11" s="25">
        <f>+D11+E11</f>
        <v>73535</v>
      </c>
      <c r="G11" s="24">
        <f>+73035-H11</f>
        <v>72385</v>
      </c>
      <c r="H11" s="24">
        <v>650</v>
      </c>
      <c r="I11" s="25">
        <f>+G11+H11</f>
        <v>73035</v>
      </c>
    </row>
    <row r="12" spans="2:9" ht="12.75">
      <c r="B12" s="47" t="s">
        <v>53</v>
      </c>
      <c r="C12" s="46" t="s">
        <v>54</v>
      </c>
      <c r="D12" s="24">
        <v>1215</v>
      </c>
      <c r="E12" s="24">
        <v>250</v>
      </c>
      <c r="F12" s="25">
        <f>+D12+E12</f>
        <v>1465</v>
      </c>
      <c r="G12" s="24">
        <v>1215</v>
      </c>
      <c r="H12" s="24">
        <v>250</v>
      </c>
      <c r="I12" s="25">
        <f>+G12+H12</f>
        <v>1465</v>
      </c>
    </row>
    <row r="13" spans="2:9" ht="12.75">
      <c r="B13" s="47" t="s">
        <v>55</v>
      </c>
      <c r="C13" s="46" t="s">
        <v>56</v>
      </c>
      <c r="D13" s="24">
        <v>51234</v>
      </c>
      <c r="E13" s="24">
        <v>1080</v>
      </c>
      <c r="F13" s="25">
        <f>+D13+E13</f>
        <v>52314</v>
      </c>
      <c r="G13" s="24">
        <f>+55814-3500-H13</f>
        <v>51234</v>
      </c>
      <c r="H13" s="24">
        <v>1080</v>
      </c>
      <c r="I13" s="25">
        <f>+G13+H13</f>
        <v>52314</v>
      </c>
    </row>
    <row r="14" spans="2:9" ht="12.75">
      <c r="B14" s="47" t="s">
        <v>57</v>
      </c>
      <c r="C14" s="46" t="s">
        <v>58</v>
      </c>
      <c r="D14" s="24">
        <v>310</v>
      </c>
      <c r="E14" s="24">
        <v>130</v>
      </c>
      <c r="F14" s="25">
        <f>+D14+E14</f>
        <v>440</v>
      </c>
      <c r="G14" s="24">
        <v>310</v>
      </c>
      <c r="H14" s="24">
        <v>130</v>
      </c>
      <c r="I14" s="25">
        <f>+G14+H14</f>
        <v>440</v>
      </c>
    </row>
    <row r="15" spans="2:9" ht="12.75">
      <c r="B15" s="47" t="s">
        <v>59</v>
      </c>
      <c r="C15" s="46" t="s">
        <v>60</v>
      </c>
      <c r="D15" s="24">
        <v>38264</v>
      </c>
      <c r="E15" s="24">
        <v>722</v>
      </c>
      <c r="F15" s="25">
        <f>+D15+E15</f>
        <v>38986</v>
      </c>
      <c r="G15" s="24">
        <f>+39486-H15</f>
        <v>38764</v>
      </c>
      <c r="H15" s="24">
        <v>722</v>
      </c>
      <c r="I15" s="25">
        <f>+G15+H15</f>
        <v>39486</v>
      </c>
    </row>
    <row r="16" spans="2:9" ht="12.75">
      <c r="B16" s="50" t="s">
        <v>61</v>
      </c>
      <c r="C16" s="49" t="s">
        <v>62</v>
      </c>
      <c r="D16" s="25">
        <f>SUM(D11:D15)</f>
        <v>163908</v>
      </c>
      <c r="E16" s="25">
        <f>SUM(E11:E15)</f>
        <v>2832</v>
      </c>
      <c r="F16" s="25">
        <f>SUM(F11:F15)</f>
        <v>166740</v>
      </c>
      <c r="G16" s="25">
        <f>SUM(G11:G15)</f>
        <v>163908</v>
      </c>
      <c r="H16" s="25">
        <f>SUM(H11:H15)</f>
        <v>2832</v>
      </c>
      <c r="I16" s="25">
        <f>SUM(I11:I15)</f>
        <v>166740</v>
      </c>
    </row>
    <row r="17" spans="2:9" ht="12.75">
      <c r="B17" s="51" t="s">
        <v>63</v>
      </c>
      <c r="C17" s="49" t="s">
        <v>64</v>
      </c>
      <c r="D17" s="24"/>
      <c r="E17" s="24"/>
      <c r="F17" s="25">
        <f>+D17+E17</f>
        <v>0</v>
      </c>
      <c r="G17" s="24"/>
      <c r="H17" s="24"/>
      <c r="I17" s="25">
        <f>+G17+H17</f>
        <v>0</v>
      </c>
    </row>
    <row r="18" spans="2:9" ht="12.75">
      <c r="B18" s="52" t="s">
        <v>65</v>
      </c>
      <c r="C18" s="46" t="s">
        <v>66</v>
      </c>
      <c r="D18" s="24"/>
      <c r="E18" s="24"/>
      <c r="F18" s="25">
        <f>+D18+E18</f>
        <v>0</v>
      </c>
      <c r="G18" s="24"/>
      <c r="H18" s="24"/>
      <c r="I18" s="25">
        <f>+G18+H18</f>
        <v>0</v>
      </c>
    </row>
    <row r="19" spans="2:9" ht="12.75">
      <c r="B19" s="52" t="s">
        <v>67</v>
      </c>
      <c r="C19" s="46" t="s">
        <v>68</v>
      </c>
      <c r="D19" s="24"/>
      <c r="E19" s="24"/>
      <c r="F19" s="25">
        <f>+D19+E19</f>
        <v>0</v>
      </c>
      <c r="G19" s="24"/>
      <c r="H19" s="24"/>
      <c r="I19" s="25">
        <f>+G19+H19</f>
        <v>0</v>
      </c>
    </row>
    <row r="20" spans="2:9" ht="12.75">
      <c r="B20" s="52" t="s">
        <v>69</v>
      </c>
      <c r="C20" s="46" t="s">
        <v>70</v>
      </c>
      <c r="D20" s="24"/>
      <c r="E20" s="24"/>
      <c r="F20" s="25">
        <f>+D20+E20</f>
        <v>0</v>
      </c>
      <c r="G20" s="24"/>
      <c r="H20" s="24"/>
      <c r="I20" s="25">
        <f>+G20+H20</f>
        <v>0</v>
      </c>
    </row>
    <row r="21" spans="2:9" ht="12.75">
      <c r="B21" s="52" t="s">
        <v>71</v>
      </c>
      <c r="C21" s="46" t="s">
        <v>72</v>
      </c>
      <c r="D21" s="24"/>
      <c r="E21" s="24"/>
      <c r="F21" s="25">
        <f>+D21+E21</f>
        <v>0</v>
      </c>
      <c r="G21" s="24"/>
      <c r="H21" s="24"/>
      <c r="I21" s="25">
        <f>+G21+H21</f>
        <v>0</v>
      </c>
    </row>
    <row r="22" spans="2:9" ht="12.75">
      <c r="B22" s="52" t="s">
        <v>73</v>
      </c>
      <c r="C22" s="46" t="s">
        <v>74</v>
      </c>
      <c r="D22" s="24"/>
      <c r="E22" s="24"/>
      <c r="F22" s="25">
        <f>+D22+E22</f>
        <v>0</v>
      </c>
      <c r="G22" s="24"/>
      <c r="H22" s="24"/>
      <c r="I22" s="25">
        <f>+G22+H22</f>
        <v>0</v>
      </c>
    </row>
    <row r="23" spans="2:9" ht="12.75">
      <c r="B23" s="52" t="s">
        <v>75</v>
      </c>
      <c r="C23" s="46" t="s">
        <v>76</v>
      </c>
      <c r="D23" s="24"/>
      <c r="E23" s="24"/>
      <c r="F23" s="25">
        <f>+D23+E23</f>
        <v>0</v>
      </c>
      <c r="G23" s="24"/>
      <c r="H23" s="24"/>
      <c r="I23" s="25">
        <f>+G23+H23</f>
        <v>0</v>
      </c>
    </row>
    <row r="24" spans="2:9" ht="12.75">
      <c r="B24" s="52" t="s">
        <v>77</v>
      </c>
      <c r="C24" s="46" t="s">
        <v>78</v>
      </c>
      <c r="D24" s="24"/>
      <c r="E24" s="24"/>
      <c r="F24" s="25">
        <f>+D24+E24</f>
        <v>0</v>
      </c>
      <c r="G24" s="24"/>
      <c r="H24" s="24"/>
      <c r="I24" s="25">
        <f>+G24+H24</f>
        <v>0</v>
      </c>
    </row>
    <row r="25" spans="2:9" ht="12.75">
      <c r="B25" s="52" t="s">
        <v>79</v>
      </c>
      <c r="C25" s="46" t="s">
        <v>80</v>
      </c>
      <c r="D25" s="24"/>
      <c r="E25" s="24"/>
      <c r="F25" s="25">
        <f>+D25+E25</f>
        <v>0</v>
      </c>
      <c r="G25" s="24"/>
      <c r="H25" s="24"/>
      <c r="I25" s="25">
        <f>+G25+H25</f>
        <v>0</v>
      </c>
    </row>
    <row r="26" spans="2:9" ht="12.75">
      <c r="B26" s="52" t="s">
        <v>81</v>
      </c>
      <c r="C26" s="46" t="s">
        <v>82</v>
      </c>
      <c r="D26" s="24"/>
      <c r="E26" s="24"/>
      <c r="F26" s="25">
        <f>+D26+E26</f>
        <v>0</v>
      </c>
      <c r="G26" s="24"/>
      <c r="H26" s="24"/>
      <c r="I26" s="25">
        <f>+G26+H26</f>
        <v>0</v>
      </c>
    </row>
    <row r="27" spans="2:9" ht="12.75">
      <c r="B27" s="53" t="s">
        <v>83</v>
      </c>
      <c r="C27" s="46" t="s">
        <v>84</v>
      </c>
      <c r="D27" s="24"/>
      <c r="E27" s="24"/>
      <c r="F27" s="25">
        <f>+D27+E27</f>
        <v>0</v>
      </c>
      <c r="G27" s="24"/>
      <c r="H27" s="24"/>
      <c r="I27" s="25">
        <f>+G27+H27</f>
        <v>0</v>
      </c>
    </row>
    <row r="28" spans="2:9" ht="12.75">
      <c r="B28" s="53" t="s">
        <v>595</v>
      </c>
      <c r="C28" s="46" t="s">
        <v>86</v>
      </c>
      <c r="D28" s="24"/>
      <c r="E28" s="24"/>
      <c r="F28" s="25">
        <f>+D28+E28</f>
        <v>0</v>
      </c>
      <c r="G28" s="24"/>
      <c r="H28" s="24"/>
      <c r="I28" s="25">
        <f>+G28+H28</f>
        <v>0</v>
      </c>
    </row>
    <row r="29" spans="2:9" ht="12.75">
      <c r="B29" s="52" t="s">
        <v>87</v>
      </c>
      <c r="C29" s="46" t="s">
        <v>88</v>
      </c>
      <c r="D29" s="24"/>
      <c r="E29" s="24"/>
      <c r="F29" s="25">
        <f>+D29+E29</f>
        <v>0</v>
      </c>
      <c r="G29" s="24"/>
      <c r="H29" s="24"/>
      <c r="I29" s="25">
        <f>+G29+H29</f>
        <v>0</v>
      </c>
    </row>
    <row r="30" spans="2:9" ht="12.75">
      <c r="B30" s="53" t="s">
        <v>89</v>
      </c>
      <c r="C30" s="46" t="s">
        <v>90</v>
      </c>
      <c r="D30" s="24"/>
      <c r="E30" s="24"/>
      <c r="F30" s="25">
        <f>+D30+E30</f>
        <v>0</v>
      </c>
      <c r="G30" s="24"/>
      <c r="H30" s="24"/>
      <c r="I30" s="25">
        <f>+G30+H30</f>
        <v>0</v>
      </c>
    </row>
    <row r="31" spans="2:9" ht="12.75">
      <c r="B31" s="53" t="s">
        <v>91</v>
      </c>
      <c r="C31" s="46" t="s">
        <v>90</v>
      </c>
      <c r="D31" s="24"/>
      <c r="E31" s="24"/>
      <c r="F31" s="25">
        <f>+D31+E31</f>
        <v>0</v>
      </c>
      <c r="G31" s="24"/>
      <c r="H31" s="24"/>
      <c r="I31" s="25">
        <f>+G31+H31</f>
        <v>0</v>
      </c>
    </row>
    <row r="32" spans="2:9" s="31" customFormat="1" ht="12.75">
      <c r="B32" s="51" t="s">
        <v>92</v>
      </c>
      <c r="C32" s="49" t="s">
        <v>93</v>
      </c>
      <c r="D32" s="25">
        <f>SUM(D18:D31)</f>
        <v>0</v>
      </c>
      <c r="E32" s="25">
        <f>SUM(E18:E31)</f>
        <v>0</v>
      </c>
      <c r="F32" s="25">
        <f>SUM(F18:F31)</f>
        <v>0</v>
      </c>
      <c r="G32" s="25">
        <f>SUM(G18:G31)</f>
        <v>0</v>
      </c>
      <c r="H32" s="25">
        <f>SUM(H18:H31)</f>
        <v>0</v>
      </c>
      <c r="I32" s="25">
        <f>SUM(I18:I31)</f>
        <v>0</v>
      </c>
    </row>
    <row r="33" spans="2:9" ht="12.75">
      <c r="B33" s="54" t="s">
        <v>94</v>
      </c>
      <c r="C33" s="55" t="s">
        <v>95</v>
      </c>
      <c r="D33" s="56">
        <f>+D32+D17+D16+D10+D9</f>
        <v>383836</v>
      </c>
      <c r="E33" s="56">
        <f>+E32+E17+E16+E10+E9</f>
        <v>27956</v>
      </c>
      <c r="F33" s="56">
        <f>+F32+F17+F16+F10+F9</f>
        <v>411792</v>
      </c>
      <c r="G33" s="56">
        <f>+G32+G17+G16+G10+G9</f>
        <v>393271</v>
      </c>
      <c r="H33" s="56">
        <f>+H32+H17+H16+H10+H9</f>
        <v>28067</v>
      </c>
      <c r="I33" s="56">
        <f>+I32+I17+I16+I10+I9</f>
        <v>421338</v>
      </c>
    </row>
    <row r="34" spans="2:9" ht="12.75">
      <c r="B34" s="57" t="s">
        <v>96</v>
      </c>
      <c r="C34" s="46" t="s">
        <v>97</v>
      </c>
      <c r="D34" s="24"/>
      <c r="E34" s="24"/>
      <c r="F34" s="25">
        <f>+D34+E34</f>
        <v>0</v>
      </c>
      <c r="G34" s="24"/>
      <c r="H34" s="24"/>
      <c r="I34" s="25">
        <f>+G34+H34</f>
        <v>0</v>
      </c>
    </row>
    <row r="35" spans="2:9" ht="12.75">
      <c r="B35" s="57" t="s">
        <v>98</v>
      </c>
      <c r="C35" s="46" t="s">
        <v>99</v>
      </c>
      <c r="D35" s="24"/>
      <c r="E35" s="24"/>
      <c r="F35" s="25">
        <f>+D35+E35</f>
        <v>0</v>
      </c>
      <c r="G35" s="24">
        <v>5520</v>
      </c>
      <c r="H35" s="24"/>
      <c r="I35" s="25">
        <f>+G35+H35</f>
        <v>5520</v>
      </c>
    </row>
    <row r="36" spans="2:9" ht="12.75">
      <c r="B36" s="57" t="s">
        <v>100</v>
      </c>
      <c r="C36" s="46" t="s">
        <v>101</v>
      </c>
      <c r="D36" s="24"/>
      <c r="E36" s="24"/>
      <c r="F36" s="25">
        <f>+D36+E36</f>
        <v>0</v>
      </c>
      <c r="G36" s="24">
        <v>1021</v>
      </c>
      <c r="H36" s="24"/>
      <c r="I36" s="25">
        <f>+G36+H36</f>
        <v>1021</v>
      </c>
    </row>
    <row r="37" spans="2:9" ht="12.75">
      <c r="B37" s="57" t="s">
        <v>102</v>
      </c>
      <c r="C37" s="46" t="s">
        <v>103</v>
      </c>
      <c r="D37" s="24">
        <f>3000-D40</f>
        <v>2190</v>
      </c>
      <c r="E37" s="24"/>
      <c r="F37" s="25">
        <f>+D37+E37</f>
        <v>2190</v>
      </c>
      <c r="G37" s="24">
        <v>5015</v>
      </c>
      <c r="H37" s="24"/>
      <c r="I37" s="25">
        <f>+G37+H37</f>
        <v>5015</v>
      </c>
    </row>
    <row r="38" spans="2:9" ht="12.75">
      <c r="B38" s="58" t="s">
        <v>104</v>
      </c>
      <c r="C38" s="46" t="s">
        <v>105</v>
      </c>
      <c r="D38" s="24"/>
      <c r="E38" s="24"/>
      <c r="F38" s="25">
        <f>+D38+E38</f>
        <v>0</v>
      </c>
      <c r="G38" s="24"/>
      <c r="H38" s="24"/>
      <c r="I38" s="25">
        <f>+G38+H38</f>
        <v>0</v>
      </c>
    </row>
    <row r="39" spans="2:9" ht="12.75">
      <c r="B39" s="58" t="s">
        <v>106</v>
      </c>
      <c r="C39" s="46" t="s">
        <v>107</v>
      </c>
      <c r="D39" s="24"/>
      <c r="E39" s="24"/>
      <c r="F39" s="25">
        <f>+D39+E39</f>
        <v>0</v>
      </c>
      <c r="G39" s="24"/>
      <c r="H39" s="24"/>
      <c r="I39" s="25">
        <f>+G39+H39</f>
        <v>0</v>
      </c>
    </row>
    <row r="40" spans="2:9" ht="12.75">
      <c r="B40" s="58" t="s">
        <v>108</v>
      </c>
      <c r="C40" s="46" t="s">
        <v>109</v>
      </c>
      <c r="D40" s="24">
        <v>810</v>
      </c>
      <c r="E40" s="24"/>
      <c r="F40" s="25">
        <f>+D40+E40</f>
        <v>810</v>
      </c>
      <c r="G40" s="24">
        <v>3444</v>
      </c>
      <c r="H40" s="24"/>
      <c r="I40" s="25">
        <f>+G40+H40</f>
        <v>3444</v>
      </c>
    </row>
    <row r="41" spans="2:9" s="31" customFormat="1" ht="12.75">
      <c r="B41" s="59" t="s">
        <v>110</v>
      </c>
      <c r="C41" s="49" t="s">
        <v>111</v>
      </c>
      <c r="D41" s="25">
        <f>SUM(D34:D40)</f>
        <v>3000</v>
      </c>
      <c r="E41" s="25">
        <f>SUM(E34:E40)</f>
        <v>0</v>
      </c>
      <c r="F41" s="25">
        <f>SUM(F34:F40)</f>
        <v>3000</v>
      </c>
      <c r="G41" s="25">
        <f>SUM(G34:G40)</f>
        <v>15000</v>
      </c>
      <c r="H41" s="25">
        <f>SUM(H34:H40)</f>
        <v>0</v>
      </c>
      <c r="I41" s="25">
        <f>SUM(I34:I40)</f>
        <v>15000</v>
      </c>
    </row>
    <row r="42" spans="2:9" ht="12.75">
      <c r="B42" s="60" t="s">
        <v>112</v>
      </c>
      <c r="C42" s="46" t="s">
        <v>113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ht="12.75">
      <c r="B43" s="60" t="s">
        <v>114</v>
      </c>
      <c r="C43" s="46" t="s">
        <v>115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ht="12.75">
      <c r="B44" s="60" t="s">
        <v>116</v>
      </c>
      <c r="C44" s="46" t="s">
        <v>117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ht="12.75">
      <c r="B45" s="60" t="s">
        <v>118</v>
      </c>
      <c r="C45" s="46" t="s">
        <v>119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ht="12.75">
      <c r="B46" s="50" t="s">
        <v>120</v>
      </c>
      <c r="C46" s="49" t="s">
        <v>121</v>
      </c>
      <c r="D46" s="25">
        <f>SUM(D42:D45)</f>
        <v>0</v>
      </c>
      <c r="E46" s="25">
        <f>SUM(E42:E45)</f>
        <v>0</v>
      </c>
      <c r="F46" s="25">
        <f>SUM(F42:F45)</f>
        <v>0</v>
      </c>
      <c r="G46" s="25">
        <f>SUM(G42:G45)</f>
        <v>0</v>
      </c>
      <c r="H46" s="25">
        <f>SUM(H42:H45)</f>
        <v>0</v>
      </c>
      <c r="I46" s="25">
        <f>SUM(I42:I45)</f>
        <v>0</v>
      </c>
    </row>
    <row r="47" spans="2:9" ht="12.75">
      <c r="B47" s="60" t="s">
        <v>122</v>
      </c>
      <c r="C47" s="46" t="s">
        <v>123</v>
      </c>
      <c r="D47" s="24"/>
      <c r="E47" s="24"/>
      <c r="F47" s="25">
        <f>+D47+E47</f>
        <v>0</v>
      </c>
      <c r="G47" s="24"/>
      <c r="H47" s="24"/>
      <c r="I47" s="25">
        <f>+G47+H47</f>
        <v>0</v>
      </c>
    </row>
    <row r="48" spans="2:9" ht="12.75">
      <c r="B48" s="60" t="s">
        <v>124</v>
      </c>
      <c r="C48" s="46" t="s">
        <v>125</v>
      </c>
      <c r="D48" s="24"/>
      <c r="E48" s="24"/>
      <c r="F48" s="25">
        <f>+D48+E48</f>
        <v>0</v>
      </c>
      <c r="G48" s="24"/>
      <c r="H48" s="24"/>
      <c r="I48" s="25">
        <f>+G48+H48</f>
        <v>0</v>
      </c>
    </row>
    <row r="49" spans="2:9" ht="12.75">
      <c r="B49" s="60" t="s">
        <v>126</v>
      </c>
      <c r="C49" s="46" t="s">
        <v>127</v>
      </c>
      <c r="D49" s="24"/>
      <c r="E49" s="24"/>
      <c r="F49" s="25">
        <f>+D49+E49</f>
        <v>0</v>
      </c>
      <c r="G49" s="24"/>
      <c r="H49" s="24"/>
      <c r="I49" s="25">
        <f>+G49+H49</f>
        <v>0</v>
      </c>
    </row>
    <row r="50" spans="2:9" ht="12.75">
      <c r="B50" s="60" t="s">
        <v>128</v>
      </c>
      <c r="C50" s="46" t="s">
        <v>129</v>
      </c>
      <c r="D50" s="24"/>
      <c r="E50" s="24"/>
      <c r="F50" s="25">
        <f>+D50+E50</f>
        <v>0</v>
      </c>
      <c r="G50" s="24"/>
      <c r="H50" s="24"/>
      <c r="I50" s="25">
        <f>+G50+H50</f>
        <v>0</v>
      </c>
    </row>
    <row r="51" spans="2:9" ht="12.75">
      <c r="B51" s="60" t="s">
        <v>130</v>
      </c>
      <c r="C51" s="46" t="s">
        <v>131</v>
      </c>
      <c r="D51" s="24"/>
      <c r="E51" s="24"/>
      <c r="F51" s="25">
        <f>+D51+E51</f>
        <v>0</v>
      </c>
      <c r="G51" s="24"/>
      <c r="H51" s="24"/>
      <c r="I51" s="25">
        <f>+G51+H51</f>
        <v>0</v>
      </c>
    </row>
    <row r="52" spans="2:9" ht="12.75">
      <c r="B52" s="60" t="s">
        <v>132</v>
      </c>
      <c r="C52" s="46" t="s">
        <v>133</v>
      </c>
      <c r="D52" s="24"/>
      <c r="E52" s="24"/>
      <c r="F52" s="25">
        <f>+D52+E52</f>
        <v>0</v>
      </c>
      <c r="G52" s="24"/>
      <c r="H52" s="24"/>
      <c r="I52" s="25">
        <f>+G52+H52</f>
        <v>0</v>
      </c>
    </row>
    <row r="53" spans="2:9" ht="12.75">
      <c r="B53" s="60" t="s">
        <v>134</v>
      </c>
      <c r="C53" s="46" t="s">
        <v>135</v>
      </c>
      <c r="D53" s="24"/>
      <c r="E53" s="24"/>
      <c r="F53" s="25">
        <f>+D53+E53</f>
        <v>0</v>
      </c>
      <c r="G53" s="24"/>
      <c r="H53" s="24"/>
      <c r="I53" s="25">
        <f>+G53+H53</f>
        <v>0</v>
      </c>
    </row>
    <row r="54" spans="2:9" ht="12.75">
      <c r="B54" s="53" t="s">
        <v>596</v>
      </c>
      <c r="C54" s="46" t="s">
        <v>137</v>
      </c>
      <c r="D54" s="24"/>
      <c r="E54" s="24"/>
      <c r="F54" s="25">
        <f>+D54+E54</f>
        <v>0</v>
      </c>
      <c r="G54" s="24"/>
      <c r="H54" s="24"/>
      <c r="I54" s="25">
        <f>+G54+H54</f>
        <v>0</v>
      </c>
    </row>
    <row r="55" spans="2:9" ht="12.75">
      <c r="B55" s="60" t="s">
        <v>138</v>
      </c>
      <c r="C55" s="46" t="s">
        <v>139</v>
      </c>
      <c r="D55" s="24"/>
      <c r="E55" s="24"/>
      <c r="F55" s="25">
        <f>+D55+E55</f>
        <v>0</v>
      </c>
      <c r="G55" s="24"/>
      <c r="H55" s="24"/>
      <c r="I55" s="25">
        <f>+G55+H55</f>
        <v>0</v>
      </c>
    </row>
    <row r="56" spans="2:9" s="31" customFormat="1" ht="12.75">
      <c r="B56" s="51" t="s">
        <v>140</v>
      </c>
      <c r="C56" s="49" t="s">
        <v>141</v>
      </c>
      <c r="D56" s="25">
        <f>SUM(D47:D55)</f>
        <v>0</v>
      </c>
      <c r="E56" s="25">
        <f>SUM(E47:E55)</f>
        <v>0</v>
      </c>
      <c r="F56" s="25">
        <f>SUM(F47:F55)</f>
        <v>0</v>
      </c>
      <c r="G56" s="25">
        <f>SUM(G47:G55)</f>
        <v>0</v>
      </c>
      <c r="H56" s="25">
        <f>SUM(H47:H55)</f>
        <v>0</v>
      </c>
      <c r="I56" s="25">
        <f>SUM(I47:I55)</f>
        <v>0</v>
      </c>
    </row>
    <row r="57" spans="2:9" ht="12.75">
      <c r="B57" s="54" t="s">
        <v>142</v>
      </c>
      <c r="C57" s="55" t="s">
        <v>143</v>
      </c>
      <c r="D57" s="56">
        <f>+D56+D46+D41</f>
        <v>3000</v>
      </c>
      <c r="E57" s="56">
        <f>+E56+E46+E41</f>
        <v>0</v>
      </c>
      <c r="F57" s="56">
        <f>+F56+F46+F41</f>
        <v>3000</v>
      </c>
      <c r="G57" s="56">
        <f>+G56+G46+G41</f>
        <v>15000</v>
      </c>
      <c r="H57" s="56">
        <f>+H56+H46+H41</f>
        <v>0</v>
      </c>
      <c r="I57" s="56">
        <f>+I56+I46+I41</f>
        <v>15000</v>
      </c>
    </row>
    <row r="58" spans="2:9" ht="12.75">
      <c r="B58" s="61" t="s">
        <v>144</v>
      </c>
      <c r="C58" s="62" t="s">
        <v>145</v>
      </c>
      <c r="D58" s="63">
        <f>+D56+D46+D41+D32+D17+D16+D10+D9</f>
        <v>386836</v>
      </c>
      <c r="E58" s="63">
        <f>+E56+E46+E41+E32+E17+E16+E10+E9</f>
        <v>27956</v>
      </c>
      <c r="F58" s="63">
        <f>+F56+F46+F41+F32+F17+F16+F10+F9</f>
        <v>414792</v>
      </c>
      <c r="G58" s="63">
        <f>+G56+G46+G41+G32+G17+G16+G10+G9</f>
        <v>408271</v>
      </c>
      <c r="H58" s="63">
        <f>+H56+H46+H41+H32+H17+H16+H10+H9</f>
        <v>28067</v>
      </c>
      <c r="I58" s="63">
        <f>+I56+I46+I41+I32+I17+I16+I10+I9</f>
        <v>436338</v>
      </c>
    </row>
    <row r="59" spans="2:22" ht="12.75">
      <c r="B59" s="68" t="s">
        <v>582</v>
      </c>
      <c r="C59" s="47" t="s">
        <v>171</v>
      </c>
      <c r="D59" s="241"/>
      <c r="E59" s="241"/>
      <c r="F59" s="24">
        <f>+D59+E59</f>
        <v>0</v>
      </c>
      <c r="G59" s="241"/>
      <c r="H59" s="241"/>
      <c r="I59" s="24">
        <f>+G59+H59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/>
      <c r="V59" s="65"/>
    </row>
    <row r="60" spans="2:22" ht="12.75">
      <c r="B60" s="68" t="s">
        <v>172</v>
      </c>
      <c r="C60" s="47" t="s">
        <v>173</v>
      </c>
      <c r="D60" s="241"/>
      <c r="E60" s="241"/>
      <c r="F60" s="24">
        <f>+D60+E60</f>
        <v>0</v>
      </c>
      <c r="G60" s="241"/>
      <c r="H60" s="241"/>
      <c r="I60" s="24">
        <f>+G60+H60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/>
      <c r="V60" s="65"/>
    </row>
    <row r="61" spans="2:22" ht="12.75">
      <c r="B61" s="60" t="s">
        <v>174</v>
      </c>
      <c r="C61" s="47" t="s">
        <v>175</v>
      </c>
      <c r="D61" s="241"/>
      <c r="E61" s="241"/>
      <c r="F61" s="24">
        <f>+D61+E61</f>
        <v>0</v>
      </c>
      <c r="G61" s="241"/>
      <c r="H61" s="241"/>
      <c r="I61" s="24">
        <f>+G61+H61</f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5"/>
    </row>
    <row r="62" spans="2:22" ht="12.75">
      <c r="B62" s="60" t="s">
        <v>176</v>
      </c>
      <c r="C62" s="47" t="s">
        <v>177</v>
      </c>
      <c r="D62" s="241"/>
      <c r="E62" s="241"/>
      <c r="F62" s="24">
        <f>+D62+E62</f>
        <v>0</v>
      </c>
      <c r="G62" s="241"/>
      <c r="H62" s="241"/>
      <c r="I62" s="24">
        <f>+G62+H62</f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5"/>
    </row>
    <row r="63" spans="2:22" ht="12.75">
      <c r="B63" s="73" t="s">
        <v>178</v>
      </c>
      <c r="C63" s="74" t="s">
        <v>179</v>
      </c>
      <c r="D63" s="75">
        <f>+D61+D60+D59+D62</f>
        <v>0</v>
      </c>
      <c r="E63" s="75">
        <f>+E61+E60+E59+E62</f>
        <v>0</v>
      </c>
      <c r="F63" s="75">
        <f>+F61+F60+F59+F62</f>
        <v>0</v>
      </c>
      <c r="G63" s="75">
        <f>+G61+G60+G59+G62</f>
        <v>0</v>
      </c>
      <c r="H63" s="75">
        <f>+H61+H60+H59+H62</f>
        <v>0</v>
      </c>
      <c r="I63" s="75">
        <f>+I61+I60+I59+I62</f>
        <v>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5"/>
      <c r="V63" s="65"/>
    </row>
    <row r="64" spans="2:22" ht="12.75">
      <c r="B64" s="28" t="s">
        <v>180</v>
      </c>
      <c r="C64" s="28" t="s">
        <v>181</v>
      </c>
      <c r="D64" s="29">
        <f>+D58+D63</f>
        <v>386836</v>
      </c>
      <c r="E64" s="29">
        <f>+E58+E63</f>
        <v>27956</v>
      </c>
      <c r="F64" s="29">
        <f>+F58+F63</f>
        <v>414792</v>
      </c>
      <c r="G64" s="29">
        <f>+G58+G63</f>
        <v>408271</v>
      </c>
      <c r="H64" s="29">
        <f>+H58+H63</f>
        <v>28067</v>
      </c>
      <c r="I64" s="29">
        <f>+I58+I63</f>
        <v>436338</v>
      </c>
      <c r="J64" s="65">
        <f>+I64+'16 szociális kiad'!E29</f>
        <v>544871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13"/>
      <c r="C65" s="76"/>
      <c r="D65" s="77"/>
      <c r="E65" s="77"/>
      <c r="F65" s="78"/>
      <c r="G65" s="77"/>
      <c r="H65" s="77"/>
      <c r="I65" s="7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2:22" ht="15.75" customHeight="1" hidden="1">
      <c r="B66" s="13"/>
      <c r="C66" s="76"/>
      <c r="D66" s="92" t="s">
        <v>14</v>
      </c>
      <c r="E66" s="92"/>
      <c r="F66" s="92"/>
      <c r="G66" s="92" t="s">
        <v>14</v>
      </c>
      <c r="H66" s="92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2:22" ht="12.75">
      <c r="B67" s="19" t="s">
        <v>15</v>
      </c>
      <c r="C67" s="42" t="s">
        <v>182</v>
      </c>
      <c r="D67" s="43" t="s">
        <v>16</v>
      </c>
      <c r="E67" s="43" t="s">
        <v>17</v>
      </c>
      <c r="F67" s="162" t="s">
        <v>528</v>
      </c>
      <c r="G67" s="43" t="s">
        <v>16</v>
      </c>
      <c r="H67" s="43" t="s">
        <v>17</v>
      </c>
      <c r="I67" s="162" t="s">
        <v>528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2:22" ht="12.75">
      <c r="B68" s="50" t="s">
        <v>584</v>
      </c>
      <c r="C68" s="59" t="s">
        <v>196</v>
      </c>
      <c r="D68" s="25"/>
      <c r="E68" s="25"/>
      <c r="F68" s="25">
        <f>+E68+D68</f>
        <v>0</v>
      </c>
      <c r="G68" s="25"/>
      <c r="H68" s="25"/>
      <c r="I68" s="25">
        <f>+H68+G68</f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2:22" ht="12.75">
      <c r="B69" s="47" t="s">
        <v>197</v>
      </c>
      <c r="C69" s="58" t="s">
        <v>198</v>
      </c>
      <c r="D69" s="25"/>
      <c r="E69" s="25"/>
      <c r="F69" s="25">
        <f>+E69+D69</f>
        <v>0</v>
      </c>
      <c r="G69" s="25"/>
      <c r="H69" s="25"/>
      <c r="I69" s="25">
        <f>+H69+G69</f>
        <v>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2:22" ht="12.75">
      <c r="B70" s="47" t="s">
        <v>199</v>
      </c>
      <c r="C70" s="58" t="s">
        <v>200</v>
      </c>
      <c r="D70" s="25"/>
      <c r="E70" s="25"/>
      <c r="F70" s="25">
        <f>+E70+D70</f>
        <v>0</v>
      </c>
      <c r="G70" s="25"/>
      <c r="H70" s="25"/>
      <c r="I70" s="25">
        <f>+H70+G70</f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2:22" ht="12.75">
      <c r="B71" s="47" t="s">
        <v>201</v>
      </c>
      <c r="C71" s="58" t="s">
        <v>202</v>
      </c>
      <c r="D71" s="25"/>
      <c r="E71" s="25"/>
      <c r="F71" s="25">
        <f>+E71+D71</f>
        <v>0</v>
      </c>
      <c r="G71" s="25"/>
      <c r="H71" s="25"/>
      <c r="I71" s="25">
        <f>+H71+G71</f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2:22" ht="12.75">
      <c r="B72" s="47" t="s">
        <v>203</v>
      </c>
      <c r="C72" s="58" t="s">
        <v>204</v>
      </c>
      <c r="D72" s="25"/>
      <c r="E72" s="25"/>
      <c r="F72" s="25">
        <f>+E72+D72</f>
        <v>0</v>
      </c>
      <c r="G72" s="25"/>
      <c r="H72" s="25"/>
      <c r="I72" s="25">
        <f>+H72+G72</f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2:22" ht="12.75">
      <c r="B73" s="47" t="s">
        <v>205</v>
      </c>
      <c r="C73" s="58" t="s">
        <v>206</v>
      </c>
      <c r="D73" s="24"/>
      <c r="E73" s="24"/>
      <c r="F73" s="25">
        <f>+E73+D73</f>
        <v>0</v>
      </c>
      <c r="G73" s="24"/>
      <c r="H73" s="24">
        <v>8582</v>
      </c>
      <c r="I73" s="25">
        <f>+H73+G73</f>
        <v>8582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2.75">
      <c r="B74" s="50" t="s">
        <v>207</v>
      </c>
      <c r="C74" s="59" t="s">
        <v>208</v>
      </c>
      <c r="D74" s="25">
        <f>+D73+D72+D71+D70+D69+D68</f>
        <v>0</v>
      </c>
      <c r="E74" s="25">
        <f>+E73+E72+E71+E70+E69+E68</f>
        <v>0</v>
      </c>
      <c r="F74" s="25">
        <f>+F73+F72+F71+F70+F69+F68</f>
        <v>0</v>
      </c>
      <c r="G74" s="25">
        <f>+G73+G72+G71+G70+G69+G68</f>
        <v>0</v>
      </c>
      <c r="H74" s="25">
        <f>+H73+H72+H71+H70+H69+H68</f>
        <v>8582</v>
      </c>
      <c r="I74" s="25">
        <f>+I73+I72+I71+I70+I69+I68</f>
        <v>8582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2.75">
      <c r="B75" s="50" t="s">
        <v>209</v>
      </c>
      <c r="C75" s="59" t="s">
        <v>210</v>
      </c>
      <c r="D75" s="24"/>
      <c r="E75" s="24"/>
      <c r="F75" s="25">
        <f>+E75+D75</f>
        <v>0</v>
      </c>
      <c r="G75" s="24"/>
      <c r="H75" s="24"/>
      <c r="I75" s="25">
        <f>+H75+G75</f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2:22" ht="12.75" hidden="1">
      <c r="B76" s="47" t="s">
        <v>211</v>
      </c>
      <c r="C76" s="58" t="s">
        <v>212</v>
      </c>
      <c r="D76" s="24"/>
      <c r="E76" s="24"/>
      <c r="F76" s="25">
        <f>+E76+D76</f>
        <v>0</v>
      </c>
      <c r="G76" s="24"/>
      <c r="H76" s="24"/>
      <c r="I76" s="25">
        <f>+H76+G76</f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2.75" hidden="1">
      <c r="B77" s="47" t="s">
        <v>213</v>
      </c>
      <c r="C77" s="58" t="s">
        <v>214</v>
      </c>
      <c r="D77" s="24"/>
      <c r="E77" s="24"/>
      <c r="F77" s="25">
        <f>+E77+D77</f>
        <v>0</v>
      </c>
      <c r="G77" s="24"/>
      <c r="H77" s="24"/>
      <c r="I77" s="25">
        <f>+H77+G77</f>
        <v>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2:22" ht="12.75" hidden="1">
      <c r="B78" s="47" t="s">
        <v>215</v>
      </c>
      <c r="C78" s="58" t="s">
        <v>216</v>
      </c>
      <c r="D78" s="24"/>
      <c r="E78" s="24"/>
      <c r="F78" s="25">
        <f>+E78+D78</f>
        <v>0</v>
      </c>
      <c r="G78" s="24"/>
      <c r="H78" s="24"/>
      <c r="I78" s="25">
        <f>+H78+G78</f>
        <v>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2:22" ht="12.75" hidden="1">
      <c r="B79" s="47" t="s">
        <v>217</v>
      </c>
      <c r="C79" s="58" t="s">
        <v>218</v>
      </c>
      <c r="D79" s="24"/>
      <c r="E79" s="24"/>
      <c r="F79" s="25">
        <f>+E79+D79</f>
        <v>0</v>
      </c>
      <c r="G79" s="24"/>
      <c r="H79" s="24"/>
      <c r="I79" s="25">
        <f>+H79+G79</f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2:22" ht="12.75" hidden="1">
      <c r="B80" s="47" t="s">
        <v>219</v>
      </c>
      <c r="C80" s="58" t="s">
        <v>220</v>
      </c>
      <c r="D80" s="24"/>
      <c r="E80" s="24"/>
      <c r="F80" s="25">
        <f>+E80+D80</f>
        <v>0</v>
      </c>
      <c r="G80" s="24"/>
      <c r="H80" s="24"/>
      <c r="I80" s="25">
        <f>+H80+G80</f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2:22" ht="12.75" hidden="1">
      <c r="B81" s="47" t="s">
        <v>221</v>
      </c>
      <c r="C81" s="58" t="s">
        <v>222</v>
      </c>
      <c r="D81" s="24"/>
      <c r="E81" s="24"/>
      <c r="F81" s="25">
        <f>+E81+D81</f>
        <v>0</v>
      </c>
      <c r="G81" s="24"/>
      <c r="H81" s="24"/>
      <c r="I81" s="25">
        <f>+H81+G81</f>
        <v>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2:22" ht="12.75">
      <c r="B82" s="50" t="s">
        <v>223</v>
      </c>
      <c r="C82" s="59" t="s">
        <v>224</v>
      </c>
      <c r="D82" s="25">
        <f>SUM(D76:D81)</f>
        <v>0</v>
      </c>
      <c r="E82" s="25">
        <f>SUM(E76:E81)</f>
        <v>0</v>
      </c>
      <c r="F82" s="25">
        <f>SUM(F76:F81)</f>
        <v>0</v>
      </c>
      <c r="G82" s="25">
        <f>SUM(G76:G81)</f>
        <v>0</v>
      </c>
      <c r="H82" s="25">
        <f>SUM(H76:H81)</f>
        <v>0</v>
      </c>
      <c r="I82" s="25">
        <f>SUM(I76:I81)</f>
        <v>0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2:22" ht="12.75">
      <c r="B83" s="60" t="s">
        <v>585</v>
      </c>
      <c r="C83" s="58" t="s">
        <v>226</v>
      </c>
      <c r="D83" s="24"/>
      <c r="E83" s="24"/>
      <c r="F83" s="25">
        <f>+E83+D83</f>
        <v>0</v>
      </c>
      <c r="G83" s="24"/>
      <c r="H83" s="24"/>
      <c r="I83" s="25">
        <f>+H83+G83</f>
        <v>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2:22" ht="12.75">
      <c r="B84" s="60" t="s">
        <v>227</v>
      </c>
      <c r="C84" s="58" t="s">
        <v>228</v>
      </c>
      <c r="D84" s="24">
        <v>15525</v>
      </c>
      <c r="E84" s="24">
        <v>630</v>
      </c>
      <c r="F84" s="25">
        <f>+E84+D84</f>
        <v>16155</v>
      </c>
      <c r="G84" s="24">
        <f>+15525-155</f>
        <v>15370</v>
      </c>
      <c r="H84" s="24">
        <v>630</v>
      </c>
      <c r="I84" s="25">
        <f>+H84+G84</f>
        <v>16000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2:22" ht="12.75">
      <c r="B85" s="60" t="s">
        <v>229</v>
      </c>
      <c r="C85" s="58" t="s">
        <v>230</v>
      </c>
      <c r="D85" s="24"/>
      <c r="E85" s="24"/>
      <c r="F85" s="25">
        <f>+E85+D85</f>
        <v>0</v>
      </c>
      <c r="G85" s="24"/>
      <c r="H85" s="24"/>
      <c r="I85" s="25">
        <f>+H85+G85</f>
        <v>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2:22" ht="12.75">
      <c r="B86" s="60" t="s">
        <v>231</v>
      </c>
      <c r="C86" s="58" t="s">
        <v>232</v>
      </c>
      <c r="D86" s="24"/>
      <c r="E86" s="24"/>
      <c r="F86" s="25">
        <f>+E86+D86</f>
        <v>0</v>
      </c>
      <c r="G86" s="24"/>
      <c r="H86" s="24"/>
      <c r="I86" s="25">
        <f>+H86+G86</f>
        <v>0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2:22" ht="12.75">
      <c r="B87" s="60" t="s">
        <v>233</v>
      </c>
      <c r="C87" s="58" t="s">
        <v>234</v>
      </c>
      <c r="D87" s="24">
        <v>113680</v>
      </c>
      <c r="E87" s="24">
        <v>0</v>
      </c>
      <c r="F87" s="25">
        <f>+E87+D87</f>
        <v>113680</v>
      </c>
      <c r="G87" s="24">
        <v>113680</v>
      </c>
      <c r="H87" s="24">
        <v>0</v>
      </c>
      <c r="I87" s="25">
        <f>+H87+G87</f>
        <v>113680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2:22" ht="12.75">
      <c r="B88" s="60" t="s">
        <v>235</v>
      </c>
      <c r="C88" s="58" t="s">
        <v>236</v>
      </c>
      <c r="D88" s="24">
        <v>8261</v>
      </c>
      <c r="E88" s="24">
        <v>170</v>
      </c>
      <c r="F88" s="25">
        <f>+E88+D88</f>
        <v>8431</v>
      </c>
      <c r="G88" s="24">
        <v>8261</v>
      </c>
      <c r="H88" s="24">
        <v>170</v>
      </c>
      <c r="I88" s="25">
        <f>+H88+G88</f>
        <v>8431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2:22" ht="12.75">
      <c r="B89" s="60" t="s">
        <v>237</v>
      </c>
      <c r="C89" s="58" t="s">
        <v>238</v>
      </c>
      <c r="D89" s="24"/>
      <c r="E89" s="24"/>
      <c r="F89" s="25">
        <f>+E89+D89</f>
        <v>0</v>
      </c>
      <c r="G89" s="24"/>
      <c r="H89" s="24"/>
      <c r="I89" s="25">
        <f>+H89+G89</f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2:22" ht="12.75">
      <c r="B90" s="60" t="s">
        <v>239</v>
      </c>
      <c r="C90" s="58" t="s">
        <v>240</v>
      </c>
      <c r="D90" s="24"/>
      <c r="E90" s="24"/>
      <c r="F90" s="25">
        <f>+E90+D90</f>
        <v>0</v>
      </c>
      <c r="G90" s="24"/>
      <c r="H90" s="24"/>
      <c r="I90" s="25">
        <f>+H90+G90</f>
        <v>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2:22" ht="12.75">
      <c r="B91" s="60" t="s">
        <v>241</v>
      </c>
      <c r="C91" s="58" t="s">
        <v>242</v>
      </c>
      <c r="D91" s="24"/>
      <c r="E91" s="24"/>
      <c r="F91" s="25">
        <f>+E91+D91</f>
        <v>0</v>
      </c>
      <c r="G91" s="24"/>
      <c r="H91" s="24"/>
      <c r="I91" s="25">
        <f>+H91+G91</f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2:22" ht="12.75">
      <c r="B92" s="60" t="s">
        <v>243</v>
      </c>
      <c r="C92" s="58" t="s">
        <v>244</v>
      </c>
      <c r="D92" s="24"/>
      <c r="E92" s="24"/>
      <c r="F92" s="25">
        <f>+E92+D92</f>
        <v>0</v>
      </c>
      <c r="G92" s="24"/>
      <c r="H92" s="24"/>
      <c r="I92" s="25">
        <f>+H92+G92</f>
        <v>0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2:22" ht="12.75">
      <c r="B93" s="60" t="s">
        <v>245</v>
      </c>
      <c r="C93" s="58" t="s">
        <v>246</v>
      </c>
      <c r="D93" s="24">
        <v>0</v>
      </c>
      <c r="E93" s="24"/>
      <c r="F93" s="25">
        <f>+E93+D93</f>
        <v>0</v>
      </c>
      <c r="G93" s="24">
        <v>155</v>
      </c>
      <c r="H93" s="24"/>
      <c r="I93" s="25">
        <f>+H93+G93</f>
        <v>155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2:22" ht="12.75">
      <c r="B94" s="51" t="s">
        <v>247</v>
      </c>
      <c r="C94" s="59" t="s">
        <v>248</v>
      </c>
      <c r="D94" s="25">
        <f>SUM(D83:D93)</f>
        <v>137466</v>
      </c>
      <c r="E94" s="25">
        <f>SUM(E83:E93)</f>
        <v>800</v>
      </c>
      <c r="F94" s="25">
        <f>SUM(F83:F93)</f>
        <v>138266</v>
      </c>
      <c r="G94" s="25">
        <f>SUM(G83:G93)</f>
        <v>137466</v>
      </c>
      <c r="H94" s="25">
        <f>SUM(H83:H93)</f>
        <v>800</v>
      </c>
      <c r="I94" s="25">
        <f>SUM(I83:I93)</f>
        <v>138266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2:22" ht="12.75">
      <c r="B95" s="60" t="s">
        <v>249</v>
      </c>
      <c r="C95" s="58" t="s">
        <v>250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2:22" ht="12.75">
      <c r="B96" s="60" t="s">
        <v>251</v>
      </c>
      <c r="C96" s="58" t="s">
        <v>252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2:22" ht="12.75">
      <c r="B97" s="60" t="s">
        <v>253</v>
      </c>
      <c r="C97" s="58" t="s">
        <v>254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2:22" ht="12.75">
      <c r="B98" s="60" t="s">
        <v>255</v>
      </c>
      <c r="C98" s="58" t="s">
        <v>256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2:22" ht="12.75">
      <c r="B99" s="60" t="s">
        <v>257</v>
      </c>
      <c r="C99" s="58" t="s">
        <v>258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2:22" ht="12.75">
      <c r="B100" s="50" t="s">
        <v>259</v>
      </c>
      <c r="C100" s="59" t="s">
        <v>260</v>
      </c>
      <c r="D100" s="25">
        <f>SUM(D95:D99)</f>
        <v>0</v>
      </c>
      <c r="E100" s="25">
        <f>SUM(E95:E99)</f>
        <v>0</v>
      </c>
      <c r="F100" s="25">
        <f>SUM(F95:F99)</f>
        <v>0</v>
      </c>
      <c r="G100" s="25">
        <f>SUM(G95:G99)</f>
        <v>0</v>
      </c>
      <c r="H100" s="25">
        <f>SUM(H95:H99)</f>
        <v>0</v>
      </c>
      <c r="I100" s="25">
        <f>SUM(I95:I99)</f>
        <v>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2:22" ht="12.75">
      <c r="B101" s="50" t="s">
        <v>261</v>
      </c>
      <c r="C101" s="59" t="s">
        <v>262</v>
      </c>
      <c r="D101" s="24"/>
      <c r="E101" s="24">
        <v>8582</v>
      </c>
      <c r="F101" s="25">
        <f>+E101+D101</f>
        <v>8582</v>
      </c>
      <c r="G101" s="24">
        <v>2000</v>
      </c>
      <c r="H101" s="24"/>
      <c r="I101" s="25">
        <f>+H101+G101</f>
        <v>2000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2:22" ht="12.75">
      <c r="B102" s="60" t="s">
        <v>263</v>
      </c>
      <c r="C102" s="58" t="s">
        <v>264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2:22" ht="12.75">
      <c r="B103" s="47" t="s">
        <v>265</v>
      </c>
      <c r="C103" s="58" t="s">
        <v>266</v>
      </c>
      <c r="D103" s="24"/>
      <c r="E103" s="24"/>
      <c r="F103" s="25"/>
      <c r="G103" s="24"/>
      <c r="H103" s="24"/>
      <c r="I103" s="2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2:22" ht="12.75">
      <c r="B104" s="60" t="s">
        <v>267</v>
      </c>
      <c r="C104" s="58" t="s">
        <v>268</v>
      </c>
      <c r="D104" s="24"/>
      <c r="E104" s="24"/>
      <c r="F104" s="25"/>
      <c r="G104" s="24"/>
      <c r="H104" s="24"/>
      <c r="I104" s="2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2:22" ht="12.75">
      <c r="B105" s="60" t="s">
        <v>269</v>
      </c>
      <c r="C105" s="58" t="s">
        <v>270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22" ht="12.75">
      <c r="B106" s="60" t="s">
        <v>271</v>
      </c>
      <c r="C106" s="58" t="s">
        <v>272</v>
      </c>
      <c r="D106" s="24">
        <v>3000</v>
      </c>
      <c r="E106" s="24"/>
      <c r="F106" s="25">
        <f>+E106+D106</f>
        <v>3000</v>
      </c>
      <c r="G106" s="24">
        <v>3000</v>
      </c>
      <c r="H106" s="24"/>
      <c r="I106" s="25">
        <f>+H106+G106</f>
        <v>3000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22" ht="12.75">
      <c r="B107" s="50" t="s">
        <v>273</v>
      </c>
      <c r="C107" s="59" t="s">
        <v>274</v>
      </c>
      <c r="D107" s="25">
        <f>SUM(D102:D106)</f>
        <v>3000</v>
      </c>
      <c r="E107" s="25">
        <f>SUM(E102:E106)</f>
        <v>0</v>
      </c>
      <c r="F107" s="25">
        <f>SUM(F102:F106)</f>
        <v>3000</v>
      </c>
      <c r="G107" s="25">
        <f>SUM(G102:G106)</f>
        <v>3000</v>
      </c>
      <c r="H107" s="25">
        <f>SUM(H102:H106)</f>
        <v>0</v>
      </c>
      <c r="I107" s="25">
        <f>SUM(I102:I106)</f>
        <v>3000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22" ht="12.75">
      <c r="B108" s="81" t="s">
        <v>275</v>
      </c>
      <c r="C108" s="61" t="s">
        <v>276</v>
      </c>
      <c r="D108" s="63">
        <f>+D107+D101+D100+D94+D82+D75+D74</f>
        <v>140466</v>
      </c>
      <c r="E108" s="63">
        <f>+E107+E101+E100+E94+E82+E75+E74</f>
        <v>9382</v>
      </c>
      <c r="F108" s="63">
        <f>+F107+F101+F100+F94+F82+F75+F74</f>
        <v>149848</v>
      </c>
      <c r="G108" s="63">
        <f>+G107+G101+G100+G94+G82+G75+G74</f>
        <v>142466</v>
      </c>
      <c r="H108" s="63">
        <f>+H107+H101+H100+H94+H82+H75+H74</f>
        <v>9382</v>
      </c>
      <c r="I108" s="63">
        <f>+I107+I101+I100+I94+I82+I75+I74</f>
        <v>151848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22" ht="12.75">
      <c r="B109" s="82" t="s">
        <v>277</v>
      </c>
      <c r="C109" s="83"/>
      <c r="D109" s="84">
        <f>+D101+D94+D82+D74-D33</f>
        <v>-246370</v>
      </c>
      <c r="E109" s="84">
        <f>+E101+E94+E82+E74-E33</f>
        <v>-18574</v>
      </c>
      <c r="F109" s="84">
        <f>+E109+D109</f>
        <v>-264944</v>
      </c>
      <c r="G109" s="84">
        <f>+G101+G94+G82+G74-G33</f>
        <v>-253805</v>
      </c>
      <c r="H109" s="84">
        <f>+H101+H94+H82+H74-H33</f>
        <v>-18685</v>
      </c>
      <c r="I109" s="84">
        <f>+H109+G109</f>
        <v>-272490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22" ht="12.75">
      <c r="B110" s="82" t="s">
        <v>278</v>
      </c>
      <c r="C110" s="83"/>
      <c r="D110" s="84">
        <f>+D107+D100+D75-D57</f>
        <v>0</v>
      </c>
      <c r="E110" s="84">
        <f>+E107+E100+E75-E57</f>
        <v>0</v>
      </c>
      <c r="F110" s="84">
        <f>+E110+D110</f>
        <v>0</v>
      </c>
      <c r="G110" s="84">
        <f>+G107+G100+G75-G57</f>
        <v>-12000</v>
      </c>
      <c r="H110" s="84">
        <f>+H107+H100+H75-H57</f>
        <v>0</v>
      </c>
      <c r="I110" s="84">
        <f>+H110+G110</f>
        <v>-12000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2:9" ht="12.75">
      <c r="B111" s="51" t="s">
        <v>586</v>
      </c>
      <c r="C111" s="50" t="s">
        <v>286</v>
      </c>
      <c r="D111" s="24"/>
      <c r="E111" s="24"/>
      <c r="F111" s="25">
        <f>+E111+D111</f>
        <v>0</v>
      </c>
      <c r="G111" s="24"/>
      <c r="H111" s="24"/>
      <c r="I111" s="25">
        <f>+H111+G111</f>
        <v>0</v>
      </c>
    </row>
    <row r="112" spans="2:9" ht="12.75">
      <c r="B112" s="72" t="s">
        <v>587</v>
      </c>
      <c r="C112" s="50" t="s">
        <v>296</v>
      </c>
      <c r="D112" s="24"/>
      <c r="E112" s="24"/>
      <c r="F112" s="25">
        <f>+E112+D112</f>
        <v>0</v>
      </c>
      <c r="G112" s="24"/>
      <c r="H112" s="24"/>
      <c r="I112" s="25">
        <f>+H112+G112</f>
        <v>0</v>
      </c>
    </row>
    <row r="113" spans="2:9" ht="12.75">
      <c r="B113" s="47" t="s">
        <v>297</v>
      </c>
      <c r="C113" s="47" t="s">
        <v>298</v>
      </c>
      <c r="D113" s="24"/>
      <c r="E113" s="24"/>
      <c r="F113" s="25">
        <f>+E113+D113</f>
        <v>0</v>
      </c>
      <c r="G113" s="24">
        <v>10000</v>
      </c>
      <c r="H113" s="24"/>
      <c r="I113" s="25">
        <f>+H113+G113</f>
        <v>10000</v>
      </c>
    </row>
    <row r="114" spans="2:9" ht="12.75">
      <c r="B114" s="47" t="s">
        <v>299</v>
      </c>
      <c r="C114" s="47" t="s">
        <v>298</v>
      </c>
      <c r="D114" s="24"/>
      <c r="E114" s="24"/>
      <c r="F114" s="25">
        <f>+E114+D114</f>
        <v>0</v>
      </c>
      <c r="G114" s="24"/>
      <c r="H114" s="24"/>
      <c r="I114" s="25">
        <f>+H114+G114</f>
        <v>0</v>
      </c>
    </row>
    <row r="115" spans="2:9" ht="12.75">
      <c r="B115" s="47" t="s">
        <v>300</v>
      </c>
      <c r="C115" s="47" t="s">
        <v>301</v>
      </c>
      <c r="D115" s="24"/>
      <c r="E115" s="24"/>
      <c r="F115" s="25">
        <f>+E115+D115</f>
        <v>0</v>
      </c>
      <c r="G115" s="24"/>
      <c r="H115" s="24"/>
      <c r="I115" s="25">
        <f>+H115+G115</f>
        <v>0</v>
      </c>
    </row>
    <row r="116" spans="2:9" ht="12.75">
      <c r="B116" s="47" t="s">
        <v>302</v>
      </c>
      <c r="C116" s="47" t="s">
        <v>301</v>
      </c>
      <c r="D116" s="24"/>
      <c r="E116" s="24"/>
      <c r="F116" s="25">
        <f>+E116+D116</f>
        <v>0</v>
      </c>
      <c r="G116" s="24"/>
      <c r="H116" s="24"/>
      <c r="I116" s="25">
        <f>+H116+G116</f>
        <v>0</v>
      </c>
    </row>
    <row r="117" spans="1:9" ht="12.75">
      <c r="A117" s="88" t="s">
        <v>597</v>
      </c>
      <c r="B117" s="50" t="s">
        <v>303</v>
      </c>
      <c r="C117" s="50" t="s">
        <v>304</v>
      </c>
      <c r="D117" s="25">
        <f>SUM(D113:D116)</f>
        <v>0</v>
      </c>
      <c r="E117" s="25">
        <f>SUM(E113:E116)</f>
        <v>0</v>
      </c>
      <c r="F117" s="25">
        <f>SUM(F113:F116)</f>
        <v>0</v>
      </c>
      <c r="G117" s="25">
        <f>SUM(G113:G116)</f>
        <v>10000</v>
      </c>
      <c r="H117" s="25">
        <f>SUM(H113:H116)</f>
        <v>0</v>
      </c>
      <c r="I117" s="25">
        <f>SUM(I113:I116)</f>
        <v>10000</v>
      </c>
    </row>
    <row r="118" spans="1:9" ht="12.75">
      <c r="A118" s="88" t="s">
        <v>598</v>
      </c>
      <c r="B118" s="68" t="s">
        <v>305</v>
      </c>
      <c r="C118" s="47" t="s">
        <v>306</v>
      </c>
      <c r="D118" s="24"/>
      <c r="E118" s="24"/>
      <c r="F118" s="25">
        <f>+E118+D118</f>
        <v>0</v>
      </c>
      <c r="G118" s="24"/>
      <c r="H118" s="24"/>
      <c r="I118" s="25">
        <f>+H118+G118</f>
        <v>0</v>
      </c>
    </row>
    <row r="119" spans="2:9" ht="12.75">
      <c r="B119" s="68" t="s">
        <v>307</v>
      </c>
      <c r="C119" s="47" t="s">
        <v>308</v>
      </c>
      <c r="D119" s="24"/>
      <c r="E119" s="24"/>
      <c r="F119" s="25">
        <f>+E119+D119</f>
        <v>0</v>
      </c>
      <c r="G119" s="24"/>
      <c r="H119" s="24"/>
      <c r="I119" s="25">
        <f>+H119+G119</f>
        <v>0</v>
      </c>
    </row>
    <row r="120" spans="1:9" ht="12.75">
      <c r="A120" s="30" t="s">
        <v>608</v>
      </c>
      <c r="B120" s="68" t="s">
        <v>309</v>
      </c>
      <c r="C120" s="47" t="s">
        <v>310</v>
      </c>
      <c r="D120" s="24">
        <v>246370</v>
      </c>
      <c r="E120" s="24">
        <v>18574</v>
      </c>
      <c r="F120" s="25">
        <f>+E120+D120</f>
        <v>264944</v>
      </c>
      <c r="G120" s="24">
        <v>255805</v>
      </c>
      <c r="H120" s="24">
        <v>18685</v>
      </c>
      <c r="I120" s="25">
        <f>+H120+G120</f>
        <v>274490</v>
      </c>
    </row>
    <row r="121" spans="2:9" s="242" customFormat="1" ht="12.75">
      <c r="B121" s="243" t="s">
        <v>600</v>
      </c>
      <c r="C121" s="140"/>
      <c r="D121" s="100">
        <v>215793</v>
      </c>
      <c r="E121" s="100">
        <v>18300</v>
      </c>
      <c r="F121" s="126">
        <f>+E121+D121</f>
        <v>234093</v>
      </c>
      <c r="G121" s="100">
        <f>+G120-G122</f>
        <v>225407</v>
      </c>
      <c r="H121" s="100">
        <f>+H120-H122</f>
        <v>18411</v>
      </c>
      <c r="I121" s="126">
        <f>+H121+G121</f>
        <v>243818</v>
      </c>
    </row>
    <row r="122" spans="2:9" s="242" customFormat="1" ht="12.75">
      <c r="B122" s="244" t="s">
        <v>591</v>
      </c>
      <c r="C122" s="140"/>
      <c r="D122" s="100">
        <f>+D120-D121</f>
        <v>30577</v>
      </c>
      <c r="E122" s="100">
        <f>+E120-E121</f>
        <v>274</v>
      </c>
      <c r="F122" s="126">
        <f>+E122+D122</f>
        <v>30851</v>
      </c>
      <c r="G122" s="100">
        <v>30398</v>
      </c>
      <c r="H122" s="100">
        <v>274</v>
      </c>
      <c r="I122" s="126">
        <f>+H122+G122</f>
        <v>30672</v>
      </c>
    </row>
    <row r="123" spans="2:9" ht="12.75">
      <c r="B123" s="68" t="s">
        <v>311</v>
      </c>
      <c r="C123" s="47" t="s">
        <v>312</v>
      </c>
      <c r="D123" s="24"/>
      <c r="E123" s="24"/>
      <c r="F123" s="25">
        <f>+E123+D123</f>
        <v>0</v>
      </c>
      <c r="G123" s="24"/>
      <c r="H123" s="24"/>
      <c r="I123" s="25">
        <f>+H123+G123</f>
        <v>0</v>
      </c>
    </row>
    <row r="124" spans="2:9" ht="12.75">
      <c r="B124" s="60" t="s">
        <v>313</v>
      </c>
      <c r="C124" s="47" t="s">
        <v>314</v>
      </c>
      <c r="D124" s="24"/>
      <c r="E124" s="24"/>
      <c r="F124" s="25">
        <f>+E124+D124</f>
        <v>0</v>
      </c>
      <c r="G124" s="24"/>
      <c r="H124" s="24"/>
      <c r="I124" s="25">
        <f>+H124+G124</f>
        <v>0</v>
      </c>
    </row>
    <row r="125" spans="2:9" ht="12.75">
      <c r="B125" s="60" t="s">
        <v>315</v>
      </c>
      <c r="C125" s="47" t="s">
        <v>316</v>
      </c>
      <c r="D125" s="24"/>
      <c r="E125" s="24"/>
      <c r="F125" s="25">
        <f>+E125+D125</f>
        <v>0</v>
      </c>
      <c r="G125" s="24"/>
      <c r="H125" s="24"/>
      <c r="I125" s="25">
        <f>+H125+G125</f>
        <v>0</v>
      </c>
    </row>
    <row r="126" spans="2:9" ht="12.75">
      <c r="B126" s="51" t="s">
        <v>317</v>
      </c>
      <c r="C126" s="50" t="s">
        <v>318</v>
      </c>
      <c r="D126" s="25">
        <f>SUM(D118:D125)+D117+D112+D111-D121-D122</f>
        <v>246370</v>
      </c>
      <c r="E126" s="25">
        <f>SUM(E118:E125)+E117+E112+E111-E121-E122</f>
        <v>18574</v>
      </c>
      <c r="F126" s="25">
        <f>SUM(F118:F124)+F117+F112+F111-F121-F122</f>
        <v>264944</v>
      </c>
      <c r="G126" s="25">
        <f>SUM(G118:G125)+G117+G112+G111-G121-G122</f>
        <v>265805</v>
      </c>
      <c r="H126" s="25">
        <f>SUM(H118:H125)+H117+H112+H111-H121-H122</f>
        <v>18685</v>
      </c>
      <c r="I126" s="25">
        <f>SUM(I118:I124)+I117+I112+I111-I121-I122</f>
        <v>284490</v>
      </c>
    </row>
    <row r="127" spans="2:9" ht="12.75" hidden="1">
      <c r="B127" s="68" t="s">
        <v>319</v>
      </c>
      <c r="C127" s="47" t="s">
        <v>320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2:9" ht="12.75" hidden="1">
      <c r="B128" s="60" t="s">
        <v>321</v>
      </c>
      <c r="C128" s="47" t="s">
        <v>322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t="12.75" hidden="1">
      <c r="B129" s="60" t="s">
        <v>323</v>
      </c>
      <c r="C129" s="47" t="s">
        <v>324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ht="12.75">
      <c r="B130" s="73" t="s">
        <v>325</v>
      </c>
      <c r="C130" s="74" t="s">
        <v>326</v>
      </c>
      <c r="D130" s="63">
        <f>+D128+D127+D126+D129</f>
        <v>246370</v>
      </c>
      <c r="E130" s="63">
        <f>+E128+E127+E126+E129</f>
        <v>18574</v>
      </c>
      <c r="F130" s="63">
        <f>+F129+F127+F126</f>
        <v>264944</v>
      </c>
      <c r="G130" s="63">
        <f>+G128+G127+G126+G129</f>
        <v>265805</v>
      </c>
      <c r="H130" s="63">
        <f>+H128+H127+H126+H129</f>
        <v>18685</v>
      </c>
      <c r="I130" s="63">
        <f>+I129+I127+I126</f>
        <v>284490</v>
      </c>
    </row>
    <row r="131" spans="2:9" ht="12.75">
      <c r="B131" s="28" t="s">
        <v>327</v>
      </c>
      <c r="C131" s="28" t="s">
        <v>328</v>
      </c>
      <c r="D131" s="29">
        <f>+D108+D130</f>
        <v>386836</v>
      </c>
      <c r="E131" s="29">
        <f>+E108+E130</f>
        <v>27956</v>
      </c>
      <c r="F131" s="29">
        <f>+F108+F130</f>
        <v>414792</v>
      </c>
      <c r="G131" s="29">
        <f>+G108+G130</f>
        <v>408271</v>
      </c>
      <c r="H131" s="29">
        <f>+H108+H130</f>
        <v>28067</v>
      </c>
      <c r="I131" s="29">
        <f>+I108+I130</f>
        <v>436338</v>
      </c>
    </row>
    <row r="132" spans="2:9" ht="12.75">
      <c r="B132" s="13"/>
      <c r="C132" s="13"/>
      <c r="D132" s="14"/>
      <c r="E132" s="14"/>
      <c r="F132" s="85"/>
      <c r="G132" s="14"/>
      <c r="H132" s="14"/>
      <c r="I132" s="85"/>
    </row>
    <row r="133" spans="2:9" ht="12.75">
      <c r="B133" s="26" t="s">
        <v>329</v>
      </c>
      <c r="C133" s="26"/>
      <c r="D133" s="25">
        <f>+D108-D58</f>
        <v>-246370</v>
      </c>
      <c r="E133" s="25">
        <f>+E108-E58</f>
        <v>-18574</v>
      </c>
      <c r="F133" s="25">
        <f>+F108-F58</f>
        <v>-264944</v>
      </c>
      <c r="G133" s="25">
        <f>+G108-G58</f>
        <v>-265805</v>
      </c>
      <c r="H133" s="25">
        <f>+H108-H58</f>
        <v>-18685</v>
      </c>
      <c r="I133" s="25">
        <f>+I108-I58</f>
        <v>-284490</v>
      </c>
    </row>
    <row r="134" spans="2:9" ht="12.75">
      <c r="B134" s="26" t="s">
        <v>330</v>
      </c>
      <c r="C134" s="26"/>
      <c r="D134" s="25">
        <f>+D130-D63</f>
        <v>246370</v>
      </c>
      <c r="E134" s="25">
        <f>+E130-E63</f>
        <v>18574</v>
      </c>
      <c r="F134" s="25">
        <f>+F130-F63</f>
        <v>264944</v>
      </c>
      <c r="G134" s="25">
        <f>+G130-G63</f>
        <v>265805</v>
      </c>
      <c r="H134" s="25">
        <f>+H130-H63</f>
        <v>18685</v>
      </c>
      <c r="I134" s="25">
        <f>+I130-I63</f>
        <v>284490</v>
      </c>
    </row>
    <row r="135" spans="2:9" ht="12.75">
      <c r="B135" s="13"/>
      <c r="C135" s="13"/>
      <c r="D135" s="14"/>
      <c r="E135" s="14"/>
      <c r="F135" s="85"/>
      <c r="G135" s="14"/>
      <c r="H135" s="14"/>
      <c r="I135" s="85"/>
    </row>
    <row r="136" spans="2:9" ht="12.75">
      <c r="B136" s="87" t="s">
        <v>333</v>
      </c>
      <c r="C136" s="13"/>
      <c r="D136" s="14">
        <f>+D131-D64</f>
        <v>0</v>
      </c>
      <c r="E136" s="14">
        <f>+E131-E64</f>
        <v>0</v>
      </c>
      <c r="F136" s="14">
        <f>+F131-F64</f>
        <v>0</v>
      </c>
      <c r="G136" s="14">
        <f>+G131-G64</f>
        <v>0</v>
      </c>
      <c r="H136" s="14">
        <f>+H131-H64</f>
        <v>0</v>
      </c>
      <c r="I136" s="14">
        <f>+I131-I64</f>
        <v>0</v>
      </c>
    </row>
    <row r="137" spans="2:9" ht="12.75">
      <c r="B137" s="13"/>
      <c r="C137" s="13"/>
      <c r="D137" s="14"/>
      <c r="E137" s="14"/>
      <c r="F137" s="85"/>
      <c r="G137" s="14"/>
      <c r="H137" s="14"/>
      <c r="I137" s="85"/>
    </row>
    <row r="138" spans="2:9" ht="12.75">
      <c r="B138" s="13"/>
      <c r="C138" s="13"/>
      <c r="D138" s="14"/>
      <c r="E138" s="14"/>
      <c r="F138" s="85"/>
      <c r="G138" s="14"/>
      <c r="H138" s="14"/>
      <c r="I138" s="85"/>
    </row>
    <row r="139" spans="2:9" ht="12.75">
      <c r="B139" s="13"/>
      <c r="C139" s="13"/>
      <c r="D139" s="14"/>
      <c r="E139" s="14"/>
      <c r="F139" s="85"/>
      <c r="G139" s="14"/>
      <c r="H139" s="14"/>
      <c r="I139" s="85"/>
    </row>
    <row r="140" spans="2:9" ht="12.75">
      <c r="B140" s="13"/>
      <c r="C140" s="13"/>
      <c r="D140" s="14"/>
      <c r="E140" s="14"/>
      <c r="F140" s="85"/>
      <c r="G140" s="14"/>
      <c r="H140" s="14"/>
      <c r="I140" s="85"/>
    </row>
    <row r="141" spans="2:9" ht="12.75">
      <c r="B141" s="13"/>
      <c r="C141" s="13"/>
      <c r="D141" s="14"/>
      <c r="E141" s="14"/>
      <c r="F141" s="85"/>
      <c r="G141" s="14"/>
      <c r="H141" s="14"/>
      <c r="I141" s="85"/>
    </row>
    <row r="142" spans="2:9" ht="12.75">
      <c r="B142" s="13"/>
      <c r="C142" s="13"/>
      <c r="D142" s="14"/>
      <c r="E142" s="14"/>
      <c r="F142" s="85"/>
      <c r="G142" s="14"/>
      <c r="H142" s="14"/>
      <c r="I142" s="85"/>
    </row>
    <row r="143" spans="2:9" ht="12.75">
      <c r="B143" s="13"/>
      <c r="C143" s="13"/>
      <c r="D143" s="14"/>
      <c r="E143" s="14"/>
      <c r="F143" s="85"/>
      <c r="G143" s="14"/>
      <c r="H143" s="14"/>
      <c r="I143" s="85"/>
    </row>
    <row r="144" spans="2:9" ht="12.75">
      <c r="B144" s="13"/>
      <c r="C144" s="13"/>
      <c r="D144" s="14"/>
      <c r="E144" s="14"/>
      <c r="F144" s="85"/>
      <c r="G144" s="14"/>
      <c r="H144" s="14"/>
      <c r="I144" s="85"/>
    </row>
    <row r="145" spans="2:9" ht="12.75">
      <c r="B145" s="13"/>
      <c r="C145" s="13"/>
      <c r="D145" s="14"/>
      <c r="E145" s="14"/>
      <c r="F145" s="85"/>
      <c r="G145" s="14"/>
      <c r="H145" s="14"/>
      <c r="I145" s="85"/>
    </row>
    <row r="146" spans="2:9" ht="12.75">
      <c r="B146" s="13"/>
      <c r="C146" s="13"/>
      <c r="D146" s="14"/>
      <c r="E146" s="14"/>
      <c r="F146" s="85"/>
      <c r="G146" s="14"/>
      <c r="H146" s="14"/>
      <c r="I146" s="85"/>
    </row>
    <row r="147" spans="2:9" ht="12.75">
      <c r="B147" s="13"/>
      <c r="C147" s="13"/>
      <c r="D147" s="14"/>
      <c r="E147" s="14"/>
      <c r="F147" s="85"/>
      <c r="G147" s="14"/>
      <c r="H147" s="14"/>
      <c r="I147" s="85"/>
    </row>
    <row r="148" spans="2:9" ht="12.75">
      <c r="B148" s="13"/>
      <c r="C148" s="13"/>
      <c r="D148" s="14"/>
      <c r="E148" s="14"/>
      <c r="F148" s="85"/>
      <c r="G148" s="14"/>
      <c r="H148" s="14"/>
      <c r="I148" s="85"/>
    </row>
    <row r="149" spans="2:9" ht="12.75">
      <c r="B149" s="13"/>
      <c r="C149" s="13"/>
      <c r="D149" s="14"/>
      <c r="E149" s="14"/>
      <c r="F149" s="85"/>
      <c r="G149" s="14"/>
      <c r="H149" s="14"/>
      <c r="I149" s="85"/>
    </row>
    <row r="150" spans="2:9" ht="12.75">
      <c r="B150" s="13"/>
      <c r="C150" s="13"/>
      <c r="D150" s="14"/>
      <c r="E150" s="14"/>
      <c r="F150" s="85"/>
      <c r="G150" s="14"/>
      <c r="H150" s="14"/>
      <c r="I150" s="85"/>
    </row>
    <row r="151" spans="2:9" ht="12.75">
      <c r="B151" s="13"/>
      <c r="C151" s="13"/>
      <c r="D151" s="14"/>
      <c r="E151" s="14"/>
      <c r="F151" s="85"/>
      <c r="G151" s="14"/>
      <c r="H151" s="14"/>
      <c r="I151" s="85"/>
    </row>
    <row r="152" spans="2:9" ht="12.75">
      <c r="B152" s="13"/>
      <c r="C152" s="13"/>
      <c r="D152" s="14"/>
      <c r="E152" s="14"/>
      <c r="F152" s="85"/>
      <c r="G152" s="14"/>
      <c r="H152" s="14"/>
      <c r="I152" s="85"/>
    </row>
    <row r="153" spans="2:9" ht="12.75">
      <c r="B153" s="13"/>
      <c r="C153" s="13"/>
      <c r="D153" s="14"/>
      <c r="E153" s="14"/>
      <c r="F153" s="85"/>
      <c r="G153" s="14"/>
      <c r="H153" s="14"/>
      <c r="I153" s="85"/>
    </row>
    <row r="154" spans="2:9" ht="12.75">
      <c r="B154" s="13"/>
      <c r="C154" s="13"/>
      <c r="D154" s="14"/>
      <c r="E154" s="14"/>
      <c r="F154" s="85"/>
      <c r="G154" s="14"/>
      <c r="H154" s="14"/>
      <c r="I154" s="85"/>
    </row>
    <row r="155" spans="2:9" ht="12.75">
      <c r="B155" s="13"/>
      <c r="C155" s="13"/>
      <c r="D155" s="14"/>
      <c r="E155" s="14"/>
      <c r="F155" s="85"/>
      <c r="G155" s="14"/>
      <c r="H155" s="14"/>
      <c r="I155" s="85"/>
    </row>
    <row r="156" spans="2:9" ht="12.75">
      <c r="B156" s="13"/>
      <c r="C156" s="13"/>
      <c r="D156" s="14"/>
      <c r="E156" s="14"/>
      <c r="F156" s="85"/>
      <c r="G156" s="14"/>
      <c r="H156" s="14"/>
      <c r="I156" s="85"/>
    </row>
    <row r="157" spans="2:9" ht="12.75">
      <c r="B157" s="13"/>
      <c r="C157" s="13"/>
      <c r="D157" s="14"/>
      <c r="E157" s="14"/>
      <c r="F157" s="85"/>
      <c r="G157" s="14"/>
      <c r="H157" s="14"/>
      <c r="I157" s="85"/>
    </row>
    <row r="158" spans="2:9" ht="12.75">
      <c r="B158" s="13"/>
      <c r="C158" s="13"/>
      <c r="D158" s="14"/>
      <c r="E158" s="14"/>
      <c r="F158" s="85"/>
      <c r="G158" s="14"/>
      <c r="H158" s="14"/>
      <c r="I158" s="85"/>
    </row>
    <row r="159" spans="2:9" ht="12.75">
      <c r="B159" s="13"/>
      <c r="C159" s="13"/>
      <c r="D159" s="14"/>
      <c r="E159" s="14"/>
      <c r="F159" s="85"/>
      <c r="G159" s="14"/>
      <c r="H159" s="14"/>
      <c r="I159" s="85"/>
    </row>
    <row r="160" spans="2:9" ht="12.75">
      <c r="B160" s="13"/>
      <c r="C160" s="13"/>
      <c r="D160" s="14"/>
      <c r="E160" s="14"/>
      <c r="F160" s="85"/>
      <c r="G160" s="14"/>
      <c r="H160" s="14"/>
      <c r="I160" s="85"/>
    </row>
    <row r="161" spans="2:9" ht="12.75">
      <c r="B161" s="13"/>
      <c r="C161" s="13"/>
      <c r="D161" s="14"/>
      <c r="E161" s="14"/>
      <c r="F161" s="85"/>
      <c r="G161" s="14"/>
      <c r="H161" s="14"/>
      <c r="I161" s="85"/>
    </row>
    <row r="162" spans="2:9" ht="12.75">
      <c r="B162" s="13"/>
      <c r="C162" s="13"/>
      <c r="D162" s="14"/>
      <c r="E162" s="14"/>
      <c r="F162" s="85"/>
      <c r="G162" s="14"/>
      <c r="H162" s="14"/>
      <c r="I162" s="85"/>
    </row>
    <row r="163" spans="2:9" ht="12.75">
      <c r="B163" s="13"/>
      <c r="C163" s="13"/>
      <c r="D163" s="14"/>
      <c r="E163" s="14"/>
      <c r="F163" s="85"/>
      <c r="G163" s="14"/>
      <c r="H163" s="14"/>
      <c r="I163" s="85"/>
    </row>
    <row r="164" spans="2:9" ht="12.75">
      <c r="B164" s="13"/>
      <c r="C164" s="13"/>
      <c r="D164" s="14"/>
      <c r="E164" s="14"/>
      <c r="F164" s="85"/>
      <c r="G164" s="14"/>
      <c r="H164" s="14"/>
      <c r="I164" s="85"/>
    </row>
    <row r="165" spans="2:9" ht="12.75">
      <c r="B165" s="13"/>
      <c r="C165" s="13"/>
      <c r="D165" s="14"/>
      <c r="E165" s="14"/>
      <c r="F165" s="85"/>
      <c r="G165" s="14"/>
      <c r="H165" s="14"/>
      <c r="I165" s="85"/>
    </row>
    <row r="166" spans="2:9" ht="12.75">
      <c r="B166" s="13"/>
      <c r="C166" s="13"/>
      <c r="D166" s="14"/>
      <c r="E166" s="14"/>
      <c r="F166" s="85"/>
      <c r="G166" s="14"/>
      <c r="H166" s="14"/>
      <c r="I166" s="85"/>
    </row>
    <row r="167" spans="2:9" ht="12.75">
      <c r="B167" s="13"/>
      <c r="C167" s="13"/>
      <c r="D167" s="14"/>
      <c r="E167" s="14"/>
      <c r="F167" s="85"/>
      <c r="G167" s="14"/>
      <c r="H167" s="14"/>
      <c r="I167" s="85"/>
    </row>
    <row r="168" spans="2:9" ht="12.75">
      <c r="B168" s="13"/>
      <c r="C168" s="13"/>
      <c r="D168" s="14"/>
      <c r="E168" s="14"/>
      <c r="F168" s="85"/>
      <c r="G168" s="14"/>
      <c r="H168" s="14"/>
      <c r="I168" s="85"/>
    </row>
    <row r="169" spans="2:9" ht="12.75">
      <c r="B169" s="13"/>
      <c r="C169" s="13"/>
      <c r="D169" s="14"/>
      <c r="E169" s="14"/>
      <c r="F169" s="85"/>
      <c r="G169" s="14"/>
      <c r="H169" s="14"/>
      <c r="I169" s="85"/>
    </row>
    <row r="170" spans="2:9" ht="12.75">
      <c r="B170" s="13"/>
      <c r="C170" s="13"/>
      <c r="D170" s="14"/>
      <c r="E170" s="14"/>
      <c r="F170" s="85"/>
      <c r="G170" s="14"/>
      <c r="H170" s="14"/>
      <c r="I170" s="85"/>
    </row>
    <row r="171" spans="2:9" ht="12.75">
      <c r="B171" s="13"/>
      <c r="C171" s="13"/>
      <c r="D171" s="14"/>
      <c r="E171" s="14"/>
      <c r="F171" s="85"/>
      <c r="G171" s="14"/>
      <c r="H171" s="14"/>
      <c r="I171" s="85"/>
    </row>
    <row r="172" spans="2:9" ht="12.75">
      <c r="B172" s="13"/>
      <c r="C172" s="13"/>
      <c r="D172" s="14"/>
      <c r="E172" s="14"/>
      <c r="F172" s="85"/>
      <c r="G172" s="14"/>
      <c r="H172" s="14"/>
      <c r="I172" s="85"/>
    </row>
    <row r="173" spans="2:9" ht="12.75">
      <c r="B173" s="13"/>
      <c r="C173" s="13"/>
      <c r="D173" s="14"/>
      <c r="E173" s="14"/>
      <c r="F173" s="85"/>
      <c r="G173" s="14"/>
      <c r="H173" s="14"/>
      <c r="I173" s="85"/>
    </row>
    <row r="174" spans="2:9" ht="12.75">
      <c r="B174" s="13"/>
      <c r="C174" s="13"/>
      <c r="D174" s="14"/>
      <c r="E174" s="14"/>
      <c r="F174" s="85"/>
      <c r="G174" s="14"/>
      <c r="H174" s="14"/>
      <c r="I174" s="85"/>
    </row>
    <row r="175" spans="2:9" ht="12.75">
      <c r="B175" s="13"/>
      <c r="C175" s="13"/>
      <c r="D175" s="14"/>
      <c r="E175" s="14"/>
      <c r="F175" s="85"/>
      <c r="G175" s="14"/>
      <c r="H175" s="14"/>
      <c r="I175" s="85"/>
    </row>
    <row r="176" spans="2:9" ht="12.75">
      <c r="B176" s="13"/>
      <c r="C176" s="13"/>
      <c r="D176" s="14"/>
      <c r="E176" s="14"/>
      <c r="F176" s="85"/>
      <c r="G176" s="14"/>
      <c r="H176" s="14"/>
      <c r="I176" s="85"/>
    </row>
    <row r="177" spans="2:9" ht="12.75">
      <c r="B177" s="13"/>
      <c r="C177" s="13"/>
      <c r="D177" s="14"/>
      <c r="E177" s="14"/>
      <c r="F177" s="85"/>
      <c r="G177" s="14"/>
      <c r="H177" s="14"/>
      <c r="I177" s="85"/>
    </row>
    <row r="178" spans="2:9" ht="12.75">
      <c r="B178" s="13"/>
      <c r="C178" s="13"/>
      <c r="D178" s="14"/>
      <c r="E178" s="14"/>
      <c r="F178" s="85"/>
      <c r="G178" s="14"/>
      <c r="H178" s="14"/>
      <c r="I178" s="85"/>
    </row>
    <row r="179" spans="2:9" ht="12.75">
      <c r="B179" s="13"/>
      <c r="C179" s="13"/>
      <c r="D179" s="14"/>
      <c r="E179" s="14"/>
      <c r="F179" s="85"/>
      <c r="G179" s="14"/>
      <c r="H179" s="14"/>
      <c r="I179" s="85"/>
    </row>
    <row r="180" spans="2:9" ht="12.75">
      <c r="B180" s="13"/>
      <c r="C180" s="13"/>
      <c r="D180" s="14"/>
      <c r="E180" s="14"/>
      <c r="F180" s="85"/>
      <c r="G180" s="14"/>
      <c r="H180" s="14"/>
      <c r="I180" s="85"/>
    </row>
    <row r="181" spans="2:9" ht="12.75">
      <c r="B181" s="13"/>
      <c r="C181" s="13"/>
      <c r="D181" s="14"/>
      <c r="E181" s="14"/>
      <c r="F181" s="85"/>
      <c r="G181" s="14"/>
      <c r="H181" s="14"/>
      <c r="I181" s="85"/>
    </row>
    <row r="182" spans="2:9" ht="12.75">
      <c r="B182" s="13"/>
      <c r="C182" s="13"/>
      <c r="D182" s="14"/>
      <c r="E182" s="14"/>
      <c r="F182" s="85"/>
      <c r="G182" s="14"/>
      <c r="H182" s="14"/>
      <c r="I182" s="85"/>
    </row>
    <row r="183" spans="2:9" ht="12.75">
      <c r="B183" s="13"/>
      <c r="C183" s="13"/>
      <c r="D183" s="14"/>
      <c r="E183" s="14"/>
      <c r="F183" s="85"/>
      <c r="G183" s="14"/>
      <c r="H183" s="14"/>
      <c r="I183" s="85"/>
    </row>
    <row r="184" spans="2:9" ht="12.75">
      <c r="B184" s="13"/>
      <c r="C184" s="13"/>
      <c r="D184" s="14"/>
      <c r="E184" s="14"/>
      <c r="F184" s="85"/>
      <c r="G184" s="14"/>
      <c r="H184" s="14"/>
      <c r="I184" s="85"/>
    </row>
    <row r="185" spans="2:9" ht="12.75">
      <c r="B185" s="13"/>
      <c r="C185" s="13"/>
      <c r="D185" s="14"/>
      <c r="E185" s="14"/>
      <c r="F185" s="85"/>
      <c r="G185" s="14"/>
      <c r="H185" s="14"/>
      <c r="I185" s="85"/>
    </row>
    <row r="186" spans="2:9" ht="12.75">
      <c r="B186" s="13"/>
      <c r="C186" s="13"/>
      <c r="D186" s="14"/>
      <c r="E186" s="14"/>
      <c r="F186" s="85"/>
      <c r="G186" s="14"/>
      <c r="H186" s="14"/>
      <c r="I186" s="85"/>
    </row>
    <row r="187" spans="2:9" ht="12.75">
      <c r="B187" s="13"/>
      <c r="C187" s="13"/>
      <c r="D187" s="14"/>
      <c r="E187" s="14"/>
      <c r="F187" s="85"/>
      <c r="G187" s="14"/>
      <c r="H187" s="14"/>
      <c r="I187" s="85"/>
    </row>
    <row r="188" spans="2:9" ht="12.75">
      <c r="B188" s="13"/>
      <c r="C188" s="13"/>
      <c r="D188" s="14"/>
      <c r="E188" s="14"/>
      <c r="F188" s="85"/>
      <c r="G188" s="14"/>
      <c r="H188" s="14"/>
      <c r="I188" s="85"/>
    </row>
    <row r="189" spans="2:9" ht="12.75">
      <c r="B189" s="13"/>
      <c r="C189" s="13"/>
      <c r="D189" s="14"/>
      <c r="E189" s="14"/>
      <c r="F189" s="85"/>
      <c r="G189" s="14"/>
      <c r="H189" s="14"/>
      <c r="I189" s="85"/>
    </row>
    <row r="190" spans="2:9" ht="12.75">
      <c r="B190" s="13"/>
      <c r="C190" s="13"/>
      <c r="D190" s="14"/>
      <c r="E190" s="14"/>
      <c r="F190" s="85"/>
      <c r="G190" s="14"/>
      <c r="H190" s="14"/>
      <c r="I190" s="85"/>
    </row>
    <row r="191" spans="2:9" ht="12.75">
      <c r="B191" s="13"/>
      <c r="C191" s="13"/>
      <c r="D191" s="14"/>
      <c r="E191" s="14"/>
      <c r="F191" s="85"/>
      <c r="G191" s="14"/>
      <c r="H191" s="14"/>
      <c r="I191" s="85"/>
    </row>
    <row r="192" spans="2:9" ht="12.75">
      <c r="B192" s="13"/>
      <c r="C192" s="13"/>
      <c r="D192" s="14"/>
      <c r="E192" s="14"/>
      <c r="F192" s="85"/>
      <c r="G192" s="14"/>
      <c r="H192" s="14"/>
      <c r="I192" s="85"/>
    </row>
    <row r="193" spans="2:9" ht="12.75">
      <c r="B193" s="13"/>
      <c r="C193" s="13"/>
      <c r="D193" s="14"/>
      <c r="E193" s="14"/>
      <c r="F193" s="85"/>
      <c r="G193" s="14"/>
      <c r="H193" s="14"/>
      <c r="I193" s="85"/>
    </row>
    <row r="194" spans="2:9" ht="12.75">
      <c r="B194" s="13"/>
      <c r="C194" s="13"/>
      <c r="D194" s="14"/>
      <c r="E194" s="14"/>
      <c r="F194" s="85"/>
      <c r="G194" s="14"/>
      <c r="H194" s="14"/>
      <c r="I194" s="85"/>
    </row>
    <row r="195" spans="2:9" ht="12.75">
      <c r="B195" s="13"/>
      <c r="C195" s="13"/>
      <c r="D195" s="13"/>
      <c r="E195" s="13"/>
      <c r="F195" s="27"/>
      <c r="G195" s="13"/>
      <c r="H195" s="13"/>
      <c r="I195" s="27"/>
    </row>
    <row r="196" spans="2:9" ht="12.75">
      <c r="B196" s="13"/>
      <c r="C196" s="13"/>
      <c r="D196" s="13"/>
      <c r="E196" s="13"/>
      <c r="F196" s="27"/>
      <c r="G196" s="13"/>
      <c r="H196" s="13"/>
      <c r="I196" s="27"/>
    </row>
    <row r="197" spans="2:9" ht="12.75">
      <c r="B197" s="13"/>
      <c r="C197" s="13"/>
      <c r="D197" s="13"/>
      <c r="E197" s="13"/>
      <c r="F197" s="27"/>
      <c r="G197" s="13"/>
      <c r="H197" s="13"/>
      <c r="I197" s="27"/>
    </row>
    <row r="198" spans="2:9" ht="12.75">
      <c r="B198" s="13"/>
      <c r="C198" s="13"/>
      <c r="D198" s="13"/>
      <c r="E198" s="13"/>
      <c r="F198" s="27"/>
      <c r="G198" s="13"/>
      <c r="H198" s="13"/>
      <c r="I198" s="27"/>
    </row>
    <row r="199" spans="2:9" ht="12.75">
      <c r="B199" s="13"/>
      <c r="C199" s="13"/>
      <c r="D199" s="13"/>
      <c r="E199" s="13"/>
      <c r="F199" s="27"/>
      <c r="G199" s="13"/>
      <c r="H199" s="13"/>
      <c r="I199" s="27"/>
    </row>
    <row r="200" spans="2:9" ht="12.75">
      <c r="B200" s="13"/>
      <c r="C200" s="13"/>
      <c r="D200" s="13"/>
      <c r="E200" s="13"/>
      <c r="F200" s="27"/>
      <c r="G200" s="13"/>
      <c r="H200" s="13"/>
      <c r="I200" s="27"/>
    </row>
    <row r="201" spans="2:9" ht="12.75">
      <c r="B201" s="13"/>
      <c r="C201" s="13"/>
      <c r="D201" s="13"/>
      <c r="E201" s="13"/>
      <c r="F201" s="27"/>
      <c r="G201" s="13"/>
      <c r="H201" s="13"/>
      <c r="I201" s="27"/>
    </row>
    <row r="202" spans="2:9" ht="12.75">
      <c r="B202" s="13"/>
      <c r="C202" s="13"/>
      <c r="D202" s="13"/>
      <c r="E202" s="13"/>
      <c r="F202" s="27"/>
      <c r="G202" s="13"/>
      <c r="H202" s="13"/>
      <c r="I202" s="27"/>
    </row>
    <row r="203" spans="2:9" ht="12.75">
      <c r="B203" s="13"/>
      <c r="C203" s="13"/>
      <c r="D203" s="13"/>
      <c r="E203" s="13"/>
      <c r="F203" s="27"/>
      <c r="G203" s="13"/>
      <c r="H203" s="13"/>
      <c r="I203" s="27"/>
    </row>
    <row r="204" spans="2:9" ht="12.75">
      <c r="B204" s="13"/>
      <c r="C204" s="13"/>
      <c r="D204" s="13"/>
      <c r="E204" s="13"/>
      <c r="F204" s="27"/>
      <c r="G204" s="13"/>
      <c r="H204" s="13"/>
      <c r="I204" s="27"/>
    </row>
    <row r="205" spans="2:9" ht="12.75">
      <c r="B205" s="13"/>
      <c r="C205" s="13"/>
      <c r="D205" s="13"/>
      <c r="E205" s="13"/>
      <c r="F205" s="27"/>
      <c r="G205" s="13"/>
      <c r="H205" s="13"/>
      <c r="I205" s="27"/>
    </row>
    <row r="206" spans="2:9" ht="12.75">
      <c r="B206" s="13"/>
      <c r="C206" s="13"/>
      <c r="D206" s="13"/>
      <c r="E206" s="13"/>
      <c r="F206" s="27"/>
      <c r="G206" s="13"/>
      <c r="H206" s="13"/>
      <c r="I206" s="27"/>
    </row>
    <row r="207" spans="2:9" ht="12.75">
      <c r="B207" s="13"/>
      <c r="C207" s="13"/>
      <c r="D207" s="13"/>
      <c r="E207" s="13"/>
      <c r="F207" s="27"/>
      <c r="G207" s="13"/>
      <c r="H207" s="13"/>
      <c r="I207" s="27"/>
    </row>
    <row r="208" spans="2:9" ht="12.75">
      <c r="B208" s="13"/>
      <c r="C208" s="13"/>
      <c r="D208" s="13"/>
      <c r="E208" s="13"/>
      <c r="F208" s="27"/>
      <c r="G208" s="13"/>
      <c r="H208" s="13"/>
      <c r="I208" s="27"/>
    </row>
    <row r="209" spans="2:9" ht="12.75">
      <c r="B209" s="13"/>
      <c r="C209" s="13"/>
      <c r="D209" s="13"/>
      <c r="E209" s="13"/>
      <c r="F209" s="27"/>
      <c r="G209" s="13"/>
      <c r="H209" s="13"/>
      <c r="I209" s="27"/>
    </row>
    <row r="210" spans="2:9" ht="12.75">
      <c r="B210" s="13"/>
      <c r="C210" s="13"/>
      <c r="D210" s="13"/>
      <c r="E210" s="13"/>
      <c r="F210" s="27"/>
      <c r="G210" s="13"/>
      <c r="H210" s="13"/>
      <c r="I210" s="27"/>
    </row>
    <row r="211" spans="2:9" ht="12.75">
      <c r="B211" s="13"/>
      <c r="C211" s="13"/>
      <c r="D211" s="13"/>
      <c r="E211" s="13"/>
      <c r="F211" s="27"/>
      <c r="G211" s="13"/>
      <c r="H211" s="13"/>
      <c r="I211" s="27"/>
    </row>
    <row r="212" spans="2:9" ht="12.75">
      <c r="B212" s="13"/>
      <c r="C212" s="13"/>
      <c r="D212" s="13"/>
      <c r="E212" s="13"/>
      <c r="F212" s="27"/>
      <c r="G212" s="13"/>
      <c r="H212" s="13"/>
      <c r="I212" s="27"/>
    </row>
    <row r="213" spans="2:9" ht="12.75">
      <c r="B213" s="13"/>
      <c r="C213" s="13"/>
      <c r="D213" s="13"/>
      <c r="E213" s="13"/>
      <c r="F213" s="27"/>
      <c r="G213" s="13"/>
      <c r="H213" s="13"/>
      <c r="I213" s="27"/>
    </row>
    <row r="214" spans="2:9" ht="12.75">
      <c r="B214" s="13"/>
      <c r="C214" s="13"/>
      <c r="D214" s="13"/>
      <c r="E214" s="13"/>
      <c r="F214" s="27"/>
      <c r="G214" s="13"/>
      <c r="H214" s="13"/>
      <c r="I214" s="27"/>
    </row>
    <row r="215" spans="2:9" ht="12.75">
      <c r="B215" s="13"/>
      <c r="C215" s="13"/>
      <c r="D215" s="13"/>
      <c r="E215" s="13"/>
      <c r="F215" s="27"/>
      <c r="G215" s="13"/>
      <c r="H215" s="13"/>
      <c r="I215" s="27"/>
    </row>
    <row r="216" spans="2:9" ht="12.75">
      <c r="B216" s="13"/>
      <c r="C216" s="13"/>
      <c r="D216" s="13"/>
      <c r="E216" s="13"/>
      <c r="F216" s="27"/>
      <c r="G216" s="13"/>
      <c r="H216" s="13"/>
      <c r="I216" s="27"/>
    </row>
    <row r="217" spans="2:9" ht="12.75">
      <c r="B217" s="13"/>
      <c r="C217" s="13"/>
      <c r="D217" s="13"/>
      <c r="E217" s="13"/>
      <c r="F217" s="27"/>
      <c r="G217" s="13"/>
      <c r="H217" s="13"/>
      <c r="I217" s="27"/>
    </row>
    <row r="218" spans="2:9" ht="12.75">
      <c r="B218" s="13"/>
      <c r="C218" s="13"/>
      <c r="D218" s="13"/>
      <c r="E218" s="13"/>
      <c r="F218" s="27"/>
      <c r="G218" s="13"/>
      <c r="H218" s="13"/>
      <c r="I218" s="27"/>
    </row>
    <row r="219" spans="2:9" ht="12.75">
      <c r="B219" s="13"/>
      <c r="C219" s="13"/>
      <c r="D219" s="13"/>
      <c r="E219" s="13"/>
      <c r="F219" s="27"/>
      <c r="G219" s="13"/>
      <c r="H219" s="13"/>
      <c r="I219" s="27"/>
    </row>
    <row r="220" spans="2:9" ht="12.75">
      <c r="B220" s="13"/>
      <c r="C220" s="13"/>
      <c r="D220" s="13"/>
      <c r="E220" s="13"/>
      <c r="F220" s="27"/>
      <c r="G220" s="13"/>
      <c r="H220" s="13"/>
      <c r="I220" s="27"/>
    </row>
    <row r="221" spans="2:9" ht="12.75">
      <c r="B221" s="13"/>
      <c r="C221" s="13"/>
      <c r="D221" s="13"/>
      <c r="E221" s="13"/>
      <c r="F221" s="27"/>
      <c r="G221" s="13"/>
      <c r="H221" s="13"/>
      <c r="I221" s="27"/>
    </row>
    <row r="222" spans="2:9" ht="12.75">
      <c r="B222" s="13"/>
      <c r="C222" s="13"/>
      <c r="D222" s="13"/>
      <c r="E222" s="13"/>
      <c r="F222" s="27"/>
      <c r="G222" s="13"/>
      <c r="H222" s="13"/>
      <c r="I222" s="27"/>
    </row>
    <row r="223" spans="2:9" ht="12.75">
      <c r="B223" s="13"/>
      <c r="C223" s="13"/>
      <c r="D223" s="13"/>
      <c r="E223" s="13"/>
      <c r="F223" s="27"/>
      <c r="G223" s="13"/>
      <c r="H223" s="13"/>
      <c r="I223" s="27"/>
    </row>
    <row r="224" spans="2:9" ht="12.75">
      <c r="B224" s="13"/>
      <c r="C224" s="13"/>
      <c r="D224" s="13"/>
      <c r="E224" s="13"/>
      <c r="F224" s="27"/>
      <c r="G224" s="13"/>
      <c r="H224" s="13"/>
      <c r="I224" s="27"/>
    </row>
    <row r="225" spans="2:9" ht="12.75">
      <c r="B225" s="13"/>
      <c r="C225" s="13"/>
      <c r="D225" s="13"/>
      <c r="E225" s="13"/>
      <c r="F225" s="27"/>
      <c r="G225" s="13"/>
      <c r="H225" s="13"/>
      <c r="I225" s="27"/>
    </row>
    <row r="226" spans="2:9" ht="12.75">
      <c r="B226" s="13"/>
      <c r="C226" s="13"/>
      <c r="D226" s="13"/>
      <c r="E226" s="13"/>
      <c r="F226" s="27"/>
      <c r="G226" s="13"/>
      <c r="H226" s="13"/>
      <c r="I226" s="27"/>
    </row>
    <row r="227" spans="2:9" ht="12.75">
      <c r="B227" s="13"/>
      <c r="C227" s="13"/>
      <c r="D227" s="13"/>
      <c r="E227" s="13"/>
      <c r="F227" s="27"/>
      <c r="G227" s="13"/>
      <c r="H227" s="13"/>
      <c r="I227" s="27"/>
    </row>
    <row r="228" spans="2:9" ht="12.75">
      <c r="B228" s="13"/>
      <c r="C228" s="13"/>
      <c r="D228" s="13"/>
      <c r="E228" s="13"/>
      <c r="F228" s="27"/>
      <c r="G228" s="13"/>
      <c r="H228" s="13"/>
      <c r="I228" s="27"/>
    </row>
    <row r="229" spans="2:9" ht="12.75">
      <c r="B229" s="13"/>
      <c r="C229" s="13"/>
      <c r="D229" s="13"/>
      <c r="E229" s="13"/>
      <c r="F229" s="27"/>
      <c r="G229" s="13"/>
      <c r="H229" s="13"/>
      <c r="I229" s="27"/>
    </row>
    <row r="230" spans="2:9" ht="12.75">
      <c r="B230" s="13"/>
      <c r="C230" s="13"/>
      <c r="D230" s="13"/>
      <c r="E230" s="13"/>
      <c r="F230" s="27"/>
      <c r="G230" s="13"/>
      <c r="H230" s="13"/>
      <c r="I230" s="27"/>
    </row>
    <row r="231" spans="2:9" ht="12.75">
      <c r="B231" s="13"/>
      <c r="C231" s="13"/>
      <c r="D231" s="13"/>
      <c r="E231" s="13"/>
      <c r="F231" s="27"/>
      <c r="G231" s="13"/>
      <c r="H231" s="13"/>
      <c r="I231" s="27"/>
    </row>
    <row r="232" spans="2:9" ht="12.75">
      <c r="B232" s="13"/>
      <c r="C232" s="13"/>
      <c r="D232" s="13"/>
      <c r="E232" s="13"/>
      <c r="F232" s="27"/>
      <c r="G232" s="13"/>
      <c r="H232" s="13"/>
      <c r="I232" s="27"/>
    </row>
    <row r="233" spans="2:9" ht="12.75">
      <c r="B233" s="13"/>
      <c r="C233" s="13"/>
      <c r="D233" s="13"/>
      <c r="E233" s="13"/>
      <c r="F233" s="27"/>
      <c r="G233" s="13"/>
      <c r="H233" s="13"/>
      <c r="I233" s="27"/>
    </row>
    <row r="234" spans="2:9" ht="12.75">
      <c r="B234" s="13"/>
      <c r="C234" s="13"/>
      <c r="D234" s="13"/>
      <c r="E234" s="13"/>
      <c r="F234" s="27"/>
      <c r="G234" s="13"/>
      <c r="H234" s="13"/>
      <c r="I234" s="27"/>
    </row>
    <row r="235" spans="2:9" ht="12.75">
      <c r="B235" s="13"/>
      <c r="C235" s="13"/>
      <c r="D235" s="13"/>
      <c r="E235" s="13"/>
      <c r="F235" s="27"/>
      <c r="G235" s="13"/>
      <c r="H235" s="13"/>
      <c r="I235" s="27"/>
    </row>
    <row r="236" spans="2:9" ht="12.75">
      <c r="B236" s="13"/>
      <c r="C236" s="13"/>
      <c r="D236" s="13"/>
      <c r="E236" s="13"/>
      <c r="F236" s="27"/>
      <c r="G236" s="13"/>
      <c r="H236" s="13"/>
      <c r="I236" s="27"/>
    </row>
    <row r="237" spans="2:9" ht="12.75">
      <c r="B237" s="13"/>
      <c r="C237" s="13"/>
      <c r="D237" s="13"/>
      <c r="E237" s="13"/>
      <c r="F237" s="27"/>
      <c r="G237" s="13"/>
      <c r="H237" s="13"/>
      <c r="I237" s="27"/>
    </row>
    <row r="238" spans="2:9" ht="12.75">
      <c r="B238" s="13"/>
      <c r="C238" s="13"/>
      <c r="D238" s="13"/>
      <c r="E238" s="13"/>
      <c r="F238" s="27"/>
      <c r="G238" s="13"/>
      <c r="H238" s="13"/>
      <c r="I238" s="27"/>
    </row>
    <row r="239" spans="2:9" ht="12.75">
      <c r="B239" s="13"/>
      <c r="C239" s="13"/>
      <c r="D239" s="13"/>
      <c r="E239" s="13"/>
      <c r="F239" s="27"/>
      <c r="G239" s="13"/>
      <c r="H239" s="13"/>
      <c r="I239" s="27"/>
    </row>
    <row r="240" spans="2:9" ht="12.75">
      <c r="B240" s="13"/>
      <c r="C240" s="13"/>
      <c r="D240" s="13"/>
      <c r="E240" s="13"/>
      <c r="F240" s="27"/>
      <c r="G240" s="13"/>
      <c r="H240" s="13"/>
      <c r="I240" s="27"/>
    </row>
    <row r="241" spans="2:9" ht="12.75">
      <c r="B241" s="13"/>
      <c r="C241" s="13"/>
      <c r="D241" s="13"/>
      <c r="E241" s="13"/>
      <c r="F241" s="27"/>
      <c r="G241" s="13"/>
      <c r="H241" s="13"/>
      <c r="I241" s="27"/>
    </row>
    <row r="242" spans="2:9" ht="12.75">
      <c r="B242" s="13"/>
      <c r="C242" s="13"/>
      <c r="D242" s="13"/>
      <c r="E242" s="13"/>
      <c r="F242" s="27"/>
      <c r="G242" s="13"/>
      <c r="H242" s="13"/>
      <c r="I242" s="27"/>
    </row>
    <row r="243" spans="2:9" ht="12.75">
      <c r="B243" s="13"/>
      <c r="C243" s="13"/>
      <c r="D243" s="13"/>
      <c r="E243" s="13"/>
      <c r="F243" s="27"/>
      <c r="G243" s="13"/>
      <c r="H243" s="13"/>
      <c r="I243" s="27"/>
    </row>
    <row r="244" spans="2:9" ht="12.75">
      <c r="B244" s="13"/>
      <c r="C244" s="13"/>
      <c r="D244" s="13"/>
      <c r="E244" s="13"/>
      <c r="F244" s="27"/>
      <c r="G244" s="13"/>
      <c r="H244" s="13"/>
      <c r="I244" s="27"/>
    </row>
    <row r="245" spans="2:9" ht="12.75">
      <c r="B245" s="13"/>
      <c r="C245" s="13"/>
      <c r="D245" s="13"/>
      <c r="E245" s="13"/>
      <c r="F245" s="27"/>
      <c r="G245" s="13"/>
      <c r="H245" s="13"/>
      <c r="I245" s="27"/>
    </row>
    <row r="246" spans="2:9" ht="12.75">
      <c r="B246" s="13"/>
      <c r="C246" s="13"/>
      <c r="D246" s="13"/>
      <c r="E246" s="13"/>
      <c r="F246" s="27"/>
      <c r="G246" s="13"/>
      <c r="H246" s="13"/>
      <c r="I246" s="27"/>
    </row>
    <row r="247" spans="2:9" ht="12.75">
      <c r="B247" s="13"/>
      <c r="C247" s="13"/>
      <c r="D247" s="13"/>
      <c r="E247" s="13"/>
      <c r="F247" s="27"/>
      <c r="G247" s="13"/>
      <c r="H247" s="13"/>
      <c r="I247" s="27"/>
    </row>
    <row r="248" spans="2:9" ht="12.75">
      <c r="B248" s="13"/>
      <c r="C248" s="13"/>
      <c r="D248" s="13"/>
      <c r="E248" s="13"/>
      <c r="F248" s="27"/>
      <c r="G248" s="13"/>
      <c r="H248" s="13"/>
      <c r="I248" s="27"/>
    </row>
    <row r="249" spans="2:9" ht="12.75">
      <c r="B249" s="13"/>
      <c r="C249" s="13"/>
      <c r="D249" s="13"/>
      <c r="E249" s="13"/>
      <c r="F249" s="27"/>
      <c r="G249" s="13"/>
      <c r="H249" s="13"/>
      <c r="I249" s="27"/>
    </row>
    <row r="250" spans="2:9" ht="12.75">
      <c r="B250" s="13"/>
      <c r="C250" s="13"/>
      <c r="D250" s="13"/>
      <c r="E250" s="13"/>
      <c r="F250" s="27"/>
      <c r="G250" s="13"/>
      <c r="H250" s="13"/>
      <c r="I250" s="27"/>
    </row>
    <row r="251" spans="2:9" ht="12.75">
      <c r="B251" s="13"/>
      <c r="C251" s="13"/>
      <c r="D251" s="13"/>
      <c r="E251" s="13"/>
      <c r="F251" s="27"/>
      <c r="G251" s="13"/>
      <c r="H251" s="13"/>
      <c r="I251" s="27"/>
    </row>
    <row r="252" spans="2:9" ht="12.75">
      <c r="B252" s="13"/>
      <c r="C252" s="13"/>
      <c r="D252" s="13"/>
      <c r="E252" s="13"/>
      <c r="F252" s="27"/>
      <c r="G252" s="13"/>
      <c r="H252" s="13"/>
      <c r="I252" s="27"/>
    </row>
    <row r="253" spans="2:9" ht="12.75">
      <c r="B253" s="13"/>
      <c r="C253" s="13"/>
      <c r="D253" s="13"/>
      <c r="E253" s="13"/>
      <c r="F253" s="27"/>
      <c r="G253" s="13"/>
      <c r="H253" s="13"/>
      <c r="I253" s="27"/>
    </row>
    <row r="254" spans="2:9" ht="12.75">
      <c r="B254" s="13"/>
      <c r="C254" s="13"/>
      <c r="D254" s="13"/>
      <c r="E254" s="13"/>
      <c r="F254" s="27"/>
      <c r="G254" s="13"/>
      <c r="H254" s="13"/>
      <c r="I254" s="27"/>
    </row>
    <row r="255" spans="2:9" ht="12.75">
      <c r="B255" s="13"/>
      <c r="C255" s="13"/>
      <c r="D255" s="13"/>
      <c r="E255" s="13"/>
      <c r="F255" s="27"/>
      <c r="G255" s="13"/>
      <c r="H255" s="13"/>
      <c r="I255" s="27"/>
    </row>
    <row r="256" spans="2:9" ht="12.75">
      <c r="B256" s="13"/>
      <c r="C256" s="13"/>
      <c r="D256" s="13"/>
      <c r="E256" s="13"/>
      <c r="F256" s="27"/>
      <c r="G256" s="13"/>
      <c r="H256" s="13"/>
      <c r="I256" s="27"/>
    </row>
    <row r="257" spans="2:9" ht="12.75">
      <c r="B257" s="13"/>
      <c r="C257" s="13"/>
      <c r="D257" s="13"/>
      <c r="E257" s="13"/>
      <c r="F257" s="27"/>
      <c r="G257" s="13"/>
      <c r="H257" s="13"/>
      <c r="I257" s="27"/>
    </row>
    <row r="258" spans="2:9" ht="12.75">
      <c r="B258" s="13"/>
      <c r="C258" s="13"/>
      <c r="D258" s="13"/>
      <c r="E258" s="13"/>
      <c r="F258" s="27"/>
      <c r="G258" s="13"/>
      <c r="H258" s="13"/>
      <c r="I258" s="27"/>
    </row>
    <row r="259" spans="2:9" ht="12.75">
      <c r="B259" s="13"/>
      <c r="C259" s="13"/>
      <c r="D259" s="13"/>
      <c r="E259" s="13"/>
      <c r="F259" s="27"/>
      <c r="G259" s="13"/>
      <c r="H259" s="13"/>
      <c r="I259" s="27"/>
    </row>
    <row r="260" spans="2:9" ht="12.7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402777777777777" right="0.39375" top="0.5902777777777778" bottom="0.5118055555555555" header="0.5118055555555555" footer="0.31527777777777777"/>
  <pageSetup horizontalDpi="300" verticalDpi="300" orientation="portrait" paperSize="9" scale="64"/>
  <headerFooter alignWithMargins="0">
    <oddFooter>&amp;R&amp;P</oddFooter>
  </headerFooter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A1">
      <selection activeCell="I1" sqref="I1"/>
    </sheetView>
  </sheetViews>
  <sheetFormatPr defaultColWidth="9.140625" defaultRowHeight="15"/>
  <cols>
    <col min="1" max="1" width="11.00390625" style="30" customWidth="1"/>
    <col min="2" max="2" width="72.57421875" style="30" customWidth="1"/>
    <col min="3" max="3" width="10.28125" style="30" customWidth="1"/>
    <col min="4" max="4" width="11.57421875" style="30" customWidth="1"/>
    <col min="5" max="5" width="11.140625" style="30" customWidth="1"/>
    <col min="6" max="6" width="12.00390625" style="31" customWidth="1"/>
    <col min="7" max="7" width="11.57421875" style="30" customWidth="1"/>
    <col min="8" max="8" width="11.140625" style="30" customWidth="1"/>
    <col min="9" max="9" width="12.00390625" style="31" customWidth="1"/>
    <col min="10" max="16384" width="9.140625" style="30" customWidth="1"/>
  </cols>
  <sheetData>
    <row r="1" spans="6:9" s="13" customFormat="1" ht="12.75">
      <c r="F1" s="32"/>
      <c r="I1" s="32" t="s">
        <v>609</v>
      </c>
    </row>
    <row r="2" spans="2:9" s="13" customFormat="1" ht="12.75">
      <c r="B2" s="240" t="s">
        <v>6</v>
      </c>
      <c r="F2" s="15"/>
      <c r="I2" s="15" t="s">
        <v>10</v>
      </c>
    </row>
    <row r="3" spans="2:9" s="13" customFormat="1" ht="12.75">
      <c r="B3" s="40" t="s">
        <v>593</v>
      </c>
      <c r="C3" s="36"/>
      <c r="D3" s="36"/>
      <c r="E3" s="36"/>
      <c r="F3" s="37"/>
      <c r="G3" s="36"/>
      <c r="H3" s="36"/>
      <c r="I3" s="37"/>
    </row>
    <row r="4" spans="2:9" s="13" customFormat="1" ht="12.75">
      <c r="B4" s="38" t="s">
        <v>41</v>
      </c>
      <c r="C4" s="39"/>
      <c r="D4" s="39"/>
      <c r="E4" s="39"/>
      <c r="F4" s="40"/>
      <c r="G4" s="39"/>
      <c r="H4" s="39"/>
      <c r="I4" s="40"/>
    </row>
    <row r="5" spans="2:9" ht="15.75" customHeight="1">
      <c r="B5" s="41"/>
      <c r="D5" s="92" t="s">
        <v>13</v>
      </c>
      <c r="E5" s="92"/>
      <c r="F5" s="92"/>
      <c r="G5" s="92" t="s">
        <v>14</v>
      </c>
      <c r="H5" s="92"/>
      <c r="I5" s="92"/>
    </row>
    <row r="6" spans="2:9" ht="12.75">
      <c r="B6" s="19" t="s">
        <v>15</v>
      </c>
      <c r="C6" s="42" t="s">
        <v>42</v>
      </c>
      <c r="D6" s="43" t="s">
        <v>16</v>
      </c>
      <c r="E6" s="43" t="s">
        <v>17</v>
      </c>
      <c r="F6" s="162" t="s">
        <v>528</v>
      </c>
      <c r="G6" s="43" t="s">
        <v>16</v>
      </c>
      <c r="H6" s="43" t="s">
        <v>17</v>
      </c>
      <c r="I6" s="162" t="s">
        <v>528</v>
      </c>
    </row>
    <row r="7" spans="2:9" ht="12.75">
      <c r="B7" s="45" t="s">
        <v>43</v>
      </c>
      <c r="C7" s="46" t="s">
        <v>44</v>
      </c>
      <c r="D7" s="24">
        <v>219220</v>
      </c>
      <c r="E7" s="24"/>
      <c r="F7" s="25">
        <f>+D7+E7</f>
        <v>219220</v>
      </c>
      <c r="G7" s="24">
        <v>221482</v>
      </c>
      <c r="H7" s="24"/>
      <c r="I7" s="25">
        <f>+G7+H7</f>
        <v>221482</v>
      </c>
    </row>
    <row r="8" spans="2:9" ht="12.75">
      <c r="B8" s="47" t="s">
        <v>45</v>
      </c>
      <c r="C8" s="46" t="s">
        <v>46</v>
      </c>
      <c r="D8" s="24">
        <v>0</v>
      </c>
      <c r="E8" s="24"/>
      <c r="F8" s="25">
        <f>+D8+E8</f>
        <v>0</v>
      </c>
      <c r="G8" s="24">
        <v>0</v>
      </c>
      <c r="H8" s="24"/>
      <c r="I8" s="25">
        <f>+G8+H8</f>
        <v>0</v>
      </c>
    </row>
    <row r="9" spans="2:9" ht="12.75">
      <c r="B9" s="48" t="s">
        <v>47</v>
      </c>
      <c r="C9" s="49" t="s">
        <v>48</v>
      </c>
      <c r="D9" s="25">
        <f>SUM(D7:D8)</f>
        <v>219220</v>
      </c>
      <c r="E9" s="25">
        <f>SUM(E7:E8)</f>
        <v>0</v>
      </c>
      <c r="F9" s="25">
        <f>SUM(F7:F8)</f>
        <v>219220</v>
      </c>
      <c r="G9" s="25">
        <f>SUM(G7:G8)</f>
        <v>221482</v>
      </c>
      <c r="H9" s="25">
        <f>SUM(H7:H8)</f>
        <v>0</v>
      </c>
      <c r="I9" s="25">
        <f>SUM(I7:I8)</f>
        <v>221482</v>
      </c>
    </row>
    <row r="10" spans="2:9" ht="12.75">
      <c r="B10" s="50" t="s">
        <v>594</v>
      </c>
      <c r="C10" s="49" t="s">
        <v>50</v>
      </c>
      <c r="D10" s="24">
        <v>57843</v>
      </c>
      <c r="E10" s="24"/>
      <c r="F10" s="25">
        <f>+D10+E10</f>
        <v>57843</v>
      </c>
      <c r="G10" s="24">
        <v>58454</v>
      </c>
      <c r="H10" s="24"/>
      <c r="I10" s="25">
        <f>+G10+H10</f>
        <v>58454</v>
      </c>
    </row>
    <row r="11" spans="2:9" ht="12.75">
      <c r="B11" s="47" t="s">
        <v>51</v>
      </c>
      <c r="C11" s="46" t="s">
        <v>52</v>
      </c>
      <c r="D11" s="24">
        <v>89943</v>
      </c>
      <c r="E11" s="24"/>
      <c r="F11" s="25">
        <f>+D11+E11</f>
        <v>89943</v>
      </c>
      <c r="G11" s="24">
        <v>89943</v>
      </c>
      <c r="H11" s="24"/>
      <c r="I11" s="25">
        <f>+G11+H11</f>
        <v>89943</v>
      </c>
    </row>
    <row r="12" spans="2:9" ht="12.75">
      <c r="B12" s="47" t="s">
        <v>53</v>
      </c>
      <c r="C12" s="46" t="s">
        <v>54</v>
      </c>
      <c r="D12" s="24">
        <v>755</v>
      </c>
      <c r="E12" s="24"/>
      <c r="F12" s="25">
        <f>+D12+E12</f>
        <v>755</v>
      </c>
      <c r="G12" s="24">
        <v>755</v>
      </c>
      <c r="H12" s="24"/>
      <c r="I12" s="25">
        <f>+G12+H12</f>
        <v>755</v>
      </c>
    </row>
    <row r="13" spans="2:9" ht="12.75">
      <c r="B13" s="47" t="s">
        <v>55</v>
      </c>
      <c r="C13" s="46" t="s">
        <v>56</v>
      </c>
      <c r="D13" s="24">
        <v>47061</v>
      </c>
      <c r="E13" s="24"/>
      <c r="F13" s="25">
        <f>+D13+E13</f>
        <v>47061</v>
      </c>
      <c r="G13" s="24">
        <v>47971</v>
      </c>
      <c r="H13" s="24"/>
      <c r="I13" s="25">
        <f>+G13+H13</f>
        <v>47971</v>
      </c>
    </row>
    <row r="14" spans="2:9" ht="12.75">
      <c r="B14" s="47" t="s">
        <v>57</v>
      </c>
      <c r="C14" s="46" t="s">
        <v>58</v>
      </c>
      <c r="D14" s="24">
        <v>60</v>
      </c>
      <c r="E14" s="24"/>
      <c r="F14" s="25">
        <f>+D14+E14</f>
        <v>60</v>
      </c>
      <c r="G14" s="24">
        <v>60</v>
      </c>
      <c r="H14" s="24"/>
      <c r="I14" s="25">
        <f>+G14+H14</f>
        <v>60</v>
      </c>
    </row>
    <row r="15" spans="2:9" ht="12.75">
      <c r="B15" s="47" t="s">
        <v>59</v>
      </c>
      <c r="C15" s="46" t="s">
        <v>60</v>
      </c>
      <c r="D15" s="24">
        <v>36698</v>
      </c>
      <c r="E15" s="24"/>
      <c r="F15" s="25">
        <f>+D15+E15</f>
        <v>36698</v>
      </c>
      <c r="G15" s="24">
        <v>36944</v>
      </c>
      <c r="H15" s="24"/>
      <c r="I15" s="25">
        <f>+G15+H15</f>
        <v>36944</v>
      </c>
    </row>
    <row r="16" spans="2:9" ht="12.75">
      <c r="B16" s="50" t="s">
        <v>61</v>
      </c>
      <c r="C16" s="49" t="s">
        <v>62</v>
      </c>
      <c r="D16" s="25">
        <f>SUM(D11:D15)</f>
        <v>174517</v>
      </c>
      <c r="E16" s="25">
        <f>SUM(E11:E15)</f>
        <v>0</v>
      </c>
      <c r="F16" s="25">
        <f>SUM(F11:F15)</f>
        <v>174517</v>
      </c>
      <c r="G16" s="25">
        <f>SUM(G11:G15)</f>
        <v>175673</v>
      </c>
      <c r="H16" s="25">
        <f>SUM(H11:H15)</f>
        <v>0</v>
      </c>
      <c r="I16" s="25">
        <f>SUM(I11:I15)</f>
        <v>175673</v>
      </c>
    </row>
    <row r="17" spans="2:9" ht="12.75">
      <c r="B17" s="51" t="s">
        <v>63</v>
      </c>
      <c r="C17" s="49" t="s">
        <v>64</v>
      </c>
      <c r="D17" s="24"/>
      <c r="E17" s="24"/>
      <c r="F17" s="25">
        <f>+D17+E17</f>
        <v>0</v>
      </c>
      <c r="G17" s="24"/>
      <c r="H17" s="24"/>
      <c r="I17" s="25">
        <f>+G17+H17</f>
        <v>0</v>
      </c>
    </row>
    <row r="18" spans="2:9" ht="12.75">
      <c r="B18" s="52" t="s">
        <v>65</v>
      </c>
      <c r="C18" s="46" t="s">
        <v>66</v>
      </c>
      <c r="D18" s="24"/>
      <c r="E18" s="24"/>
      <c r="F18" s="25">
        <f>+D18+E18</f>
        <v>0</v>
      </c>
      <c r="G18" s="24"/>
      <c r="H18" s="24"/>
      <c r="I18" s="25">
        <f>+G18+H18</f>
        <v>0</v>
      </c>
    </row>
    <row r="19" spans="2:9" ht="12.75">
      <c r="B19" s="52" t="s">
        <v>67</v>
      </c>
      <c r="C19" s="46" t="s">
        <v>68</v>
      </c>
      <c r="D19" s="24"/>
      <c r="E19" s="24"/>
      <c r="F19" s="25">
        <f>+D19+E19</f>
        <v>0</v>
      </c>
      <c r="G19" s="24"/>
      <c r="H19" s="24"/>
      <c r="I19" s="25">
        <f>+G19+H19</f>
        <v>0</v>
      </c>
    </row>
    <row r="20" spans="2:9" ht="12.75">
      <c r="B20" s="52" t="s">
        <v>69</v>
      </c>
      <c r="C20" s="46" t="s">
        <v>70</v>
      </c>
      <c r="D20" s="24"/>
      <c r="E20" s="24"/>
      <c r="F20" s="25">
        <f>+D20+E20</f>
        <v>0</v>
      </c>
      <c r="G20" s="24"/>
      <c r="H20" s="24"/>
      <c r="I20" s="25">
        <f>+G20+H20</f>
        <v>0</v>
      </c>
    </row>
    <row r="21" spans="2:9" ht="12.75">
      <c r="B21" s="52" t="s">
        <v>71</v>
      </c>
      <c r="C21" s="46" t="s">
        <v>72</v>
      </c>
      <c r="D21" s="24"/>
      <c r="E21" s="24"/>
      <c r="F21" s="25">
        <f>+D21+E21</f>
        <v>0</v>
      </c>
      <c r="G21" s="24"/>
      <c r="H21" s="24"/>
      <c r="I21" s="25">
        <f>+G21+H21</f>
        <v>0</v>
      </c>
    </row>
    <row r="22" spans="2:9" ht="12.75">
      <c r="B22" s="52" t="s">
        <v>73</v>
      </c>
      <c r="C22" s="46" t="s">
        <v>74</v>
      </c>
      <c r="D22" s="24"/>
      <c r="E22" s="24"/>
      <c r="F22" s="25">
        <f>+D22+E22</f>
        <v>0</v>
      </c>
      <c r="G22" s="24"/>
      <c r="H22" s="24"/>
      <c r="I22" s="25">
        <f>+G22+H22</f>
        <v>0</v>
      </c>
    </row>
    <row r="23" spans="2:9" ht="12.75">
      <c r="B23" s="52" t="s">
        <v>75</v>
      </c>
      <c r="C23" s="46" t="s">
        <v>76</v>
      </c>
      <c r="D23" s="24"/>
      <c r="E23" s="24"/>
      <c r="F23" s="25">
        <f>+D23+E23</f>
        <v>0</v>
      </c>
      <c r="G23" s="24"/>
      <c r="H23" s="24"/>
      <c r="I23" s="25">
        <f>+G23+H23</f>
        <v>0</v>
      </c>
    </row>
    <row r="24" spans="2:9" ht="12.75">
      <c r="B24" s="52" t="s">
        <v>77</v>
      </c>
      <c r="C24" s="46" t="s">
        <v>78</v>
      </c>
      <c r="D24" s="24"/>
      <c r="E24" s="24"/>
      <c r="F24" s="25">
        <f>+D24+E24</f>
        <v>0</v>
      </c>
      <c r="G24" s="24"/>
      <c r="H24" s="24"/>
      <c r="I24" s="25">
        <f>+G24+H24</f>
        <v>0</v>
      </c>
    </row>
    <row r="25" spans="2:9" ht="12.75">
      <c r="B25" s="52" t="s">
        <v>79</v>
      </c>
      <c r="C25" s="46" t="s">
        <v>80</v>
      </c>
      <c r="D25" s="24"/>
      <c r="E25" s="24"/>
      <c r="F25" s="25">
        <f>+D25+E25</f>
        <v>0</v>
      </c>
      <c r="G25" s="24"/>
      <c r="H25" s="24"/>
      <c r="I25" s="25">
        <f>+G25+H25</f>
        <v>0</v>
      </c>
    </row>
    <row r="26" spans="2:9" ht="12.75">
      <c r="B26" s="52" t="s">
        <v>81</v>
      </c>
      <c r="C26" s="46" t="s">
        <v>82</v>
      </c>
      <c r="D26" s="24"/>
      <c r="E26" s="24"/>
      <c r="F26" s="25">
        <f>+D26+E26</f>
        <v>0</v>
      </c>
      <c r="G26" s="24"/>
      <c r="H26" s="24"/>
      <c r="I26" s="25">
        <f>+G26+H26</f>
        <v>0</v>
      </c>
    </row>
    <row r="27" spans="2:9" ht="12.75">
      <c r="B27" s="53" t="s">
        <v>83</v>
      </c>
      <c r="C27" s="46" t="s">
        <v>84</v>
      </c>
      <c r="D27" s="24"/>
      <c r="E27" s="24"/>
      <c r="F27" s="25">
        <f>+D27+E27</f>
        <v>0</v>
      </c>
      <c r="G27" s="24"/>
      <c r="H27" s="24"/>
      <c r="I27" s="25">
        <f>+G27+H27</f>
        <v>0</v>
      </c>
    </row>
    <row r="28" spans="2:9" ht="12.75">
      <c r="B28" s="53" t="s">
        <v>595</v>
      </c>
      <c r="C28" s="46" t="s">
        <v>86</v>
      </c>
      <c r="D28" s="24"/>
      <c r="E28" s="24"/>
      <c r="F28" s="25">
        <f>+D28+E28</f>
        <v>0</v>
      </c>
      <c r="G28" s="24"/>
      <c r="H28" s="24"/>
      <c r="I28" s="25">
        <f>+G28+H28</f>
        <v>0</v>
      </c>
    </row>
    <row r="29" spans="2:9" ht="12.75">
      <c r="B29" s="52" t="s">
        <v>87</v>
      </c>
      <c r="C29" s="46" t="s">
        <v>88</v>
      </c>
      <c r="D29" s="24"/>
      <c r="E29" s="24"/>
      <c r="F29" s="25">
        <f>+D29+E29</f>
        <v>0</v>
      </c>
      <c r="G29" s="24"/>
      <c r="H29" s="24"/>
      <c r="I29" s="25">
        <f>+G29+H29</f>
        <v>0</v>
      </c>
    </row>
    <row r="30" spans="2:9" ht="12.75">
      <c r="B30" s="53" t="s">
        <v>89</v>
      </c>
      <c r="C30" s="46" t="s">
        <v>90</v>
      </c>
      <c r="D30" s="24"/>
      <c r="E30" s="24"/>
      <c r="F30" s="25">
        <f>+D30+E30</f>
        <v>0</v>
      </c>
      <c r="G30" s="24"/>
      <c r="H30" s="24"/>
      <c r="I30" s="25">
        <f>+G30+H30</f>
        <v>0</v>
      </c>
    </row>
    <row r="31" spans="2:9" ht="12.75">
      <c r="B31" s="53" t="s">
        <v>91</v>
      </c>
      <c r="C31" s="46" t="s">
        <v>90</v>
      </c>
      <c r="D31" s="24"/>
      <c r="E31" s="24"/>
      <c r="F31" s="25">
        <f>+D31+E31</f>
        <v>0</v>
      </c>
      <c r="G31" s="24"/>
      <c r="H31" s="24"/>
      <c r="I31" s="25">
        <f>+G31+H31</f>
        <v>0</v>
      </c>
    </row>
    <row r="32" spans="2:9" s="31" customFormat="1" ht="12.75">
      <c r="B32" s="51" t="s">
        <v>92</v>
      </c>
      <c r="C32" s="49" t="s">
        <v>93</v>
      </c>
      <c r="D32" s="25">
        <f>SUM(D18:D31)</f>
        <v>0</v>
      </c>
      <c r="E32" s="25">
        <f>SUM(E18:E31)</f>
        <v>0</v>
      </c>
      <c r="F32" s="25">
        <f>SUM(F18:F31)</f>
        <v>0</v>
      </c>
      <c r="G32" s="25">
        <f>SUM(G18:G31)</f>
        <v>0</v>
      </c>
      <c r="H32" s="25">
        <f>SUM(H18:H31)</f>
        <v>0</v>
      </c>
      <c r="I32" s="25">
        <f>SUM(I18:I31)</f>
        <v>0</v>
      </c>
    </row>
    <row r="33" spans="2:9" ht="12.75">
      <c r="B33" s="54" t="s">
        <v>94</v>
      </c>
      <c r="C33" s="55" t="s">
        <v>95</v>
      </c>
      <c r="D33" s="56">
        <f>+D32+D17+D16+D10+D9</f>
        <v>451580</v>
      </c>
      <c r="E33" s="56">
        <f>+E32+E17+E16+E10+E9</f>
        <v>0</v>
      </c>
      <c r="F33" s="56">
        <f>+F32+F17+F16+F10+F9</f>
        <v>451580</v>
      </c>
      <c r="G33" s="56">
        <f>+G32+G17+G16+G10+G9</f>
        <v>455609</v>
      </c>
      <c r="H33" s="56">
        <f>+H32+H17+H16+H10+H9</f>
        <v>0</v>
      </c>
      <c r="I33" s="56">
        <f>+I32+I17+I16+I10+I9</f>
        <v>455609</v>
      </c>
    </row>
    <row r="34" spans="2:9" ht="12.75">
      <c r="B34" s="57" t="s">
        <v>96</v>
      </c>
      <c r="C34" s="46" t="s">
        <v>97</v>
      </c>
      <c r="D34" s="24"/>
      <c r="E34" s="24"/>
      <c r="F34" s="25">
        <f>+D34+E34</f>
        <v>0</v>
      </c>
      <c r="G34" s="24"/>
      <c r="H34" s="24"/>
      <c r="I34" s="25">
        <f>+G34+H34</f>
        <v>0</v>
      </c>
    </row>
    <row r="35" spans="2:9" ht="12.75">
      <c r="B35" s="57" t="s">
        <v>98</v>
      </c>
      <c r="C35" s="46" t="s">
        <v>99</v>
      </c>
      <c r="D35" s="24"/>
      <c r="E35" s="24"/>
      <c r="F35" s="25">
        <f>+D35+E35</f>
        <v>0</v>
      </c>
      <c r="G35" s="24"/>
      <c r="H35" s="24"/>
      <c r="I35" s="25">
        <f>+G35+H35</f>
        <v>0</v>
      </c>
    </row>
    <row r="36" spans="2:9" ht="12.75">
      <c r="B36" s="57" t="s">
        <v>100</v>
      </c>
      <c r="C36" s="46" t="s">
        <v>101</v>
      </c>
      <c r="D36" s="24"/>
      <c r="E36" s="24"/>
      <c r="F36" s="25">
        <f>+D36+E36</f>
        <v>0</v>
      </c>
      <c r="G36" s="24"/>
      <c r="H36" s="24"/>
      <c r="I36" s="25">
        <f>+G36+H36</f>
        <v>0</v>
      </c>
    </row>
    <row r="37" spans="2:9" ht="12.75">
      <c r="B37" s="57" t="s">
        <v>102</v>
      </c>
      <c r="C37" s="46" t="s">
        <v>103</v>
      </c>
      <c r="D37" s="24">
        <f>189+4500</f>
        <v>4689</v>
      </c>
      <c r="E37" s="24"/>
      <c r="F37" s="25">
        <f>+D37+E37</f>
        <v>4689</v>
      </c>
      <c r="G37" s="24">
        <v>189</v>
      </c>
      <c r="H37" s="24"/>
      <c r="I37" s="25">
        <f>+G37+H37</f>
        <v>189</v>
      </c>
    </row>
    <row r="38" spans="2:9" ht="12.75">
      <c r="B38" s="58" t="s">
        <v>104</v>
      </c>
      <c r="C38" s="46" t="s">
        <v>105</v>
      </c>
      <c r="D38" s="24"/>
      <c r="E38" s="24"/>
      <c r="F38" s="25">
        <f>+D38+E38</f>
        <v>0</v>
      </c>
      <c r="G38" s="24"/>
      <c r="H38" s="24"/>
      <c r="I38" s="25">
        <f>+G38+H38</f>
        <v>0</v>
      </c>
    </row>
    <row r="39" spans="2:9" ht="12.75">
      <c r="B39" s="58" t="s">
        <v>106</v>
      </c>
      <c r="C39" s="46" t="s">
        <v>107</v>
      </c>
      <c r="D39" s="24"/>
      <c r="E39" s="24"/>
      <c r="F39" s="25">
        <f>+D39+E39</f>
        <v>0</v>
      </c>
      <c r="G39" s="24"/>
      <c r="H39" s="24"/>
      <c r="I39" s="25">
        <f>+G39+H39</f>
        <v>0</v>
      </c>
    </row>
    <row r="40" spans="2:9" ht="12.75">
      <c r="B40" s="58" t="s">
        <v>108</v>
      </c>
      <c r="C40" s="46" t="s">
        <v>109</v>
      </c>
      <c r="D40" s="24">
        <f>51+1215</f>
        <v>1266</v>
      </c>
      <c r="E40" s="24"/>
      <c r="F40" s="25">
        <f>+D40+E40</f>
        <v>1266</v>
      </c>
      <c r="G40" s="24">
        <v>51</v>
      </c>
      <c r="H40" s="24"/>
      <c r="I40" s="25">
        <f>+G40+H40</f>
        <v>51</v>
      </c>
    </row>
    <row r="41" spans="2:9" s="31" customFormat="1" ht="12.75">
      <c r="B41" s="59" t="s">
        <v>110</v>
      </c>
      <c r="C41" s="49" t="s">
        <v>111</v>
      </c>
      <c r="D41" s="25">
        <f>SUM(D34:D40)</f>
        <v>5955</v>
      </c>
      <c r="E41" s="25">
        <f>SUM(E34:E40)</f>
        <v>0</v>
      </c>
      <c r="F41" s="25">
        <f>SUM(F34:F40)</f>
        <v>5955</v>
      </c>
      <c r="G41" s="25">
        <f>SUM(G34:G40)</f>
        <v>240</v>
      </c>
      <c r="H41" s="25">
        <f>SUM(H34:H40)</f>
        <v>0</v>
      </c>
      <c r="I41" s="25">
        <f>SUM(I34:I40)</f>
        <v>240</v>
      </c>
    </row>
    <row r="42" spans="2:9" ht="12.75">
      <c r="B42" s="60" t="s">
        <v>112</v>
      </c>
      <c r="C42" s="46" t="s">
        <v>113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ht="12.75">
      <c r="B43" s="60" t="s">
        <v>114</v>
      </c>
      <c r="C43" s="46" t="s">
        <v>115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ht="12.75">
      <c r="B44" s="60" t="s">
        <v>116</v>
      </c>
      <c r="C44" s="46" t="s">
        <v>117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ht="12.75">
      <c r="B45" s="60" t="s">
        <v>118</v>
      </c>
      <c r="C45" s="46" t="s">
        <v>119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ht="12.75">
      <c r="B46" s="50" t="s">
        <v>120</v>
      </c>
      <c r="C46" s="49" t="s">
        <v>121</v>
      </c>
      <c r="D46" s="25">
        <f>SUM(D42:D45)</f>
        <v>0</v>
      </c>
      <c r="E46" s="25">
        <f>SUM(E42:E45)</f>
        <v>0</v>
      </c>
      <c r="F46" s="25">
        <f>SUM(F42:F45)</f>
        <v>0</v>
      </c>
      <c r="G46" s="25">
        <f>SUM(G42:G45)</f>
        <v>0</v>
      </c>
      <c r="H46" s="25">
        <f>SUM(H42:H45)</f>
        <v>0</v>
      </c>
      <c r="I46" s="25">
        <f>SUM(I42:I45)</f>
        <v>0</v>
      </c>
    </row>
    <row r="47" spans="2:9" ht="12.75">
      <c r="B47" s="60" t="s">
        <v>122</v>
      </c>
      <c r="C47" s="46" t="s">
        <v>123</v>
      </c>
      <c r="D47" s="24"/>
      <c r="E47" s="24"/>
      <c r="F47" s="25">
        <f>+D47+E47</f>
        <v>0</v>
      </c>
      <c r="G47" s="24"/>
      <c r="H47" s="24"/>
      <c r="I47" s="25">
        <f>+G47+H47</f>
        <v>0</v>
      </c>
    </row>
    <row r="48" spans="2:9" ht="12.75">
      <c r="B48" s="60" t="s">
        <v>124</v>
      </c>
      <c r="C48" s="46" t="s">
        <v>125</v>
      </c>
      <c r="D48" s="24"/>
      <c r="E48" s="24"/>
      <c r="F48" s="25">
        <f>+D48+E48</f>
        <v>0</v>
      </c>
      <c r="G48" s="24"/>
      <c r="H48" s="24"/>
      <c r="I48" s="25">
        <f>+G48+H48</f>
        <v>0</v>
      </c>
    </row>
    <row r="49" spans="2:9" ht="12.75">
      <c r="B49" s="60" t="s">
        <v>126</v>
      </c>
      <c r="C49" s="46" t="s">
        <v>127</v>
      </c>
      <c r="D49" s="24"/>
      <c r="E49" s="24"/>
      <c r="F49" s="25">
        <f>+D49+E49</f>
        <v>0</v>
      </c>
      <c r="G49" s="24"/>
      <c r="H49" s="24"/>
      <c r="I49" s="25">
        <f>+G49+H49</f>
        <v>0</v>
      </c>
    </row>
    <row r="50" spans="2:9" ht="12.75">
      <c r="B50" s="60" t="s">
        <v>128</v>
      </c>
      <c r="C50" s="46" t="s">
        <v>129</v>
      </c>
      <c r="D50" s="24"/>
      <c r="E50" s="24"/>
      <c r="F50" s="25">
        <f>+D50+E50</f>
        <v>0</v>
      </c>
      <c r="G50" s="24"/>
      <c r="H50" s="24"/>
      <c r="I50" s="25">
        <f>+G50+H50</f>
        <v>0</v>
      </c>
    </row>
    <row r="51" spans="2:9" ht="12.75">
      <c r="B51" s="60" t="s">
        <v>130</v>
      </c>
      <c r="C51" s="46" t="s">
        <v>131</v>
      </c>
      <c r="D51" s="24"/>
      <c r="E51" s="24"/>
      <c r="F51" s="25">
        <f>+D51+E51</f>
        <v>0</v>
      </c>
      <c r="G51" s="24"/>
      <c r="H51" s="24"/>
      <c r="I51" s="25">
        <f>+G51+H51</f>
        <v>0</v>
      </c>
    </row>
    <row r="52" spans="2:9" ht="12.75">
      <c r="B52" s="60" t="s">
        <v>132</v>
      </c>
      <c r="C52" s="46" t="s">
        <v>133</v>
      </c>
      <c r="D52" s="24"/>
      <c r="E52" s="24"/>
      <c r="F52" s="25">
        <f>+D52+E52</f>
        <v>0</v>
      </c>
      <c r="G52" s="24"/>
      <c r="H52" s="24"/>
      <c r="I52" s="25">
        <f>+G52+H52</f>
        <v>0</v>
      </c>
    </row>
    <row r="53" spans="2:9" ht="12.75">
      <c r="B53" s="60" t="s">
        <v>134</v>
      </c>
      <c r="C53" s="46" t="s">
        <v>135</v>
      </c>
      <c r="D53" s="24"/>
      <c r="E53" s="24"/>
      <c r="F53" s="25">
        <f>+D53+E53</f>
        <v>0</v>
      </c>
      <c r="G53" s="24"/>
      <c r="H53" s="24"/>
      <c r="I53" s="25">
        <f>+G53+H53</f>
        <v>0</v>
      </c>
    </row>
    <row r="54" spans="2:9" ht="12.75">
      <c r="B54" s="53" t="s">
        <v>596</v>
      </c>
      <c r="C54" s="46" t="s">
        <v>137</v>
      </c>
      <c r="D54" s="24"/>
      <c r="E54" s="24"/>
      <c r="F54" s="25">
        <f>+D54+E54</f>
        <v>0</v>
      </c>
      <c r="G54" s="24"/>
      <c r="H54" s="24"/>
      <c r="I54" s="25">
        <f>+G54+H54</f>
        <v>0</v>
      </c>
    </row>
    <row r="55" spans="2:9" ht="12.75">
      <c r="B55" s="60" t="s">
        <v>138</v>
      </c>
      <c r="C55" s="46" t="s">
        <v>139</v>
      </c>
      <c r="D55" s="24"/>
      <c r="E55" s="24"/>
      <c r="F55" s="25">
        <f>+D55+E55</f>
        <v>0</v>
      </c>
      <c r="G55" s="24"/>
      <c r="H55" s="24"/>
      <c r="I55" s="25">
        <f>+G55+H55</f>
        <v>0</v>
      </c>
    </row>
    <row r="56" spans="2:9" s="31" customFormat="1" ht="12.75">
      <c r="B56" s="51" t="s">
        <v>140</v>
      </c>
      <c r="C56" s="49" t="s">
        <v>141</v>
      </c>
      <c r="D56" s="25">
        <f>SUM(D47:D55)</f>
        <v>0</v>
      </c>
      <c r="E56" s="25">
        <f>SUM(E47:E55)</f>
        <v>0</v>
      </c>
      <c r="F56" s="25">
        <f>SUM(F47:F55)</f>
        <v>0</v>
      </c>
      <c r="G56" s="25">
        <f>SUM(G47:G55)</f>
        <v>0</v>
      </c>
      <c r="H56" s="25">
        <f>SUM(H47:H55)</f>
        <v>0</v>
      </c>
      <c r="I56" s="25">
        <f>SUM(I47:I55)</f>
        <v>0</v>
      </c>
    </row>
    <row r="57" spans="2:9" ht="12.75">
      <c r="B57" s="54" t="s">
        <v>142</v>
      </c>
      <c r="C57" s="55" t="s">
        <v>143</v>
      </c>
      <c r="D57" s="56">
        <f>+D56+D46+D41</f>
        <v>5955</v>
      </c>
      <c r="E57" s="56">
        <f>+E56+E46+E41</f>
        <v>0</v>
      </c>
      <c r="F57" s="56">
        <f>+F56+F46+F41</f>
        <v>5955</v>
      </c>
      <c r="G57" s="56">
        <f>+G56+G46+G41</f>
        <v>240</v>
      </c>
      <c r="H57" s="56">
        <f>+H56+H46+H41</f>
        <v>0</v>
      </c>
      <c r="I57" s="56">
        <f>+I56+I46+I41</f>
        <v>240</v>
      </c>
    </row>
    <row r="58" spans="2:9" ht="12.75">
      <c r="B58" s="61" t="s">
        <v>144</v>
      </c>
      <c r="C58" s="62" t="s">
        <v>145</v>
      </c>
      <c r="D58" s="63">
        <f>+D56+D46+D41+D32+D17+D16+D10+D9</f>
        <v>457535</v>
      </c>
      <c r="E58" s="63">
        <f>+E56+E46+E41+E32+E17+E16+E10+E9</f>
        <v>0</v>
      </c>
      <c r="F58" s="63">
        <f>+F56+F46+F41+F32+F17+F16+F10+F9</f>
        <v>457535</v>
      </c>
      <c r="G58" s="63">
        <f>+G56+G46+G41+G32+G17+G16+G10+G9</f>
        <v>455849</v>
      </c>
      <c r="H58" s="63">
        <f>+H56+H46+H41+H32+H17+H16+H10+H9</f>
        <v>0</v>
      </c>
      <c r="I58" s="63">
        <f>+I56+I46+I41+I32+I17+I16+I10+I9</f>
        <v>455849</v>
      </c>
    </row>
    <row r="59" spans="2:22" ht="12.75">
      <c r="B59" s="68" t="s">
        <v>582</v>
      </c>
      <c r="C59" s="47" t="s">
        <v>171</v>
      </c>
      <c r="D59" s="241"/>
      <c r="E59" s="241"/>
      <c r="F59" s="24">
        <f>+D59+E59</f>
        <v>0</v>
      </c>
      <c r="G59" s="241"/>
      <c r="H59" s="241"/>
      <c r="I59" s="24">
        <f>+G59+H59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/>
      <c r="V59" s="65"/>
    </row>
    <row r="60" spans="2:22" ht="12.75">
      <c r="B60" s="68" t="s">
        <v>172</v>
      </c>
      <c r="C60" s="47" t="s">
        <v>173</v>
      </c>
      <c r="D60" s="241"/>
      <c r="E60" s="241"/>
      <c r="F60" s="24">
        <f>+D60+E60</f>
        <v>0</v>
      </c>
      <c r="G60" s="241"/>
      <c r="H60" s="241"/>
      <c r="I60" s="24">
        <f>+G60+H60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/>
      <c r="V60" s="65"/>
    </row>
    <row r="61" spans="2:22" ht="12.75">
      <c r="B61" s="60" t="s">
        <v>174</v>
      </c>
      <c r="C61" s="47" t="s">
        <v>175</v>
      </c>
      <c r="D61" s="241"/>
      <c r="E61" s="241"/>
      <c r="F61" s="24">
        <f>+D61+E61</f>
        <v>0</v>
      </c>
      <c r="G61" s="241"/>
      <c r="H61" s="241"/>
      <c r="I61" s="24">
        <f>+G61+H61</f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5"/>
    </row>
    <row r="62" spans="2:22" ht="12.75">
      <c r="B62" s="60" t="s">
        <v>176</v>
      </c>
      <c r="C62" s="47" t="s">
        <v>177</v>
      </c>
      <c r="D62" s="241"/>
      <c r="E62" s="241"/>
      <c r="F62" s="24">
        <f>+D62+E62</f>
        <v>0</v>
      </c>
      <c r="G62" s="241"/>
      <c r="H62" s="241"/>
      <c r="I62" s="24">
        <f>+G62+H62</f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5"/>
    </row>
    <row r="63" spans="2:22" ht="12.75">
      <c r="B63" s="73" t="s">
        <v>178</v>
      </c>
      <c r="C63" s="74" t="s">
        <v>179</v>
      </c>
      <c r="D63" s="75">
        <f>+D61+D60+D59+D62</f>
        <v>0</v>
      </c>
      <c r="E63" s="75">
        <f>+E61+E60+E59+E62</f>
        <v>0</v>
      </c>
      <c r="F63" s="75">
        <f>+F61+F60+F59+F62</f>
        <v>0</v>
      </c>
      <c r="G63" s="75">
        <f>+G61+G60+G59+G62</f>
        <v>0</v>
      </c>
      <c r="H63" s="75">
        <f>+H61+H60+H59+H62</f>
        <v>0</v>
      </c>
      <c r="I63" s="75">
        <f>+I61+I60+I59+I62</f>
        <v>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5"/>
      <c r="V63" s="65"/>
    </row>
    <row r="64" spans="2:22" ht="12.75">
      <c r="B64" s="28" t="s">
        <v>180</v>
      </c>
      <c r="C64" s="28" t="s">
        <v>181</v>
      </c>
      <c r="D64" s="29">
        <f>+D58+D63</f>
        <v>457535</v>
      </c>
      <c r="E64" s="29">
        <f>+E58+E63</f>
        <v>0</v>
      </c>
      <c r="F64" s="29">
        <f>+F58+F63</f>
        <v>457535</v>
      </c>
      <c r="G64" s="29">
        <f>+G58+G63</f>
        <v>455849</v>
      </c>
      <c r="H64" s="29">
        <f>+H58+H63</f>
        <v>0</v>
      </c>
      <c r="I64" s="29">
        <f>+I58+I63</f>
        <v>455849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13"/>
      <c r="C65" s="76"/>
      <c r="D65" s="77"/>
      <c r="E65" s="77"/>
      <c r="F65" s="78"/>
      <c r="G65" s="77"/>
      <c r="H65" s="77"/>
      <c r="I65" s="7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2:22" ht="15.75" customHeight="1" hidden="1">
      <c r="B66" s="13"/>
      <c r="C66" s="76"/>
      <c r="D66" s="92" t="s">
        <v>14</v>
      </c>
      <c r="E66" s="92"/>
      <c r="F66" s="92"/>
      <c r="G66" s="92" t="s">
        <v>14</v>
      </c>
      <c r="H66" s="92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2:22" ht="12.75">
      <c r="B67" s="19" t="s">
        <v>15</v>
      </c>
      <c r="C67" s="42" t="s">
        <v>182</v>
      </c>
      <c r="D67" s="43" t="s">
        <v>16</v>
      </c>
      <c r="E67" s="43" t="s">
        <v>17</v>
      </c>
      <c r="F67" s="162" t="s">
        <v>528</v>
      </c>
      <c r="G67" s="43" t="s">
        <v>16</v>
      </c>
      <c r="H67" s="43" t="s">
        <v>17</v>
      </c>
      <c r="I67" s="162" t="s">
        <v>528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2:22" ht="12.75">
      <c r="B68" s="50" t="s">
        <v>584</v>
      </c>
      <c r="C68" s="59" t="s">
        <v>196</v>
      </c>
      <c r="D68" s="25"/>
      <c r="E68" s="25"/>
      <c r="F68" s="25">
        <f>+E68+D68</f>
        <v>0</v>
      </c>
      <c r="G68" s="25"/>
      <c r="H68" s="25"/>
      <c r="I68" s="25">
        <f>+H68+G68</f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2:22" ht="12.75">
      <c r="B69" s="47" t="s">
        <v>197</v>
      </c>
      <c r="C69" s="58" t="s">
        <v>198</v>
      </c>
      <c r="D69" s="25"/>
      <c r="E69" s="25"/>
      <c r="F69" s="25">
        <f>+E69+D69</f>
        <v>0</v>
      </c>
      <c r="G69" s="25"/>
      <c r="H69" s="25"/>
      <c r="I69" s="25">
        <f>+H69+G69</f>
        <v>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2:22" ht="12.75">
      <c r="B70" s="47" t="s">
        <v>199</v>
      </c>
      <c r="C70" s="58" t="s">
        <v>200</v>
      </c>
      <c r="D70" s="25"/>
      <c r="E70" s="25"/>
      <c r="F70" s="25">
        <f>+E70+D70</f>
        <v>0</v>
      </c>
      <c r="G70" s="25"/>
      <c r="H70" s="25"/>
      <c r="I70" s="25">
        <f>+H70+G70</f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2:22" ht="12.75">
      <c r="B71" s="47" t="s">
        <v>201</v>
      </c>
      <c r="C71" s="58" t="s">
        <v>202</v>
      </c>
      <c r="D71" s="25"/>
      <c r="E71" s="25"/>
      <c r="F71" s="25">
        <f>+E71+D71</f>
        <v>0</v>
      </c>
      <c r="G71" s="25"/>
      <c r="H71" s="25"/>
      <c r="I71" s="25">
        <f>+H71+G71</f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2:22" ht="12.75">
      <c r="B72" s="47" t="s">
        <v>203</v>
      </c>
      <c r="C72" s="58" t="s">
        <v>204</v>
      </c>
      <c r="D72" s="25"/>
      <c r="E72" s="25"/>
      <c r="F72" s="25">
        <f>+E72+D72</f>
        <v>0</v>
      </c>
      <c r="G72" s="25"/>
      <c r="H72" s="25"/>
      <c r="I72" s="25">
        <f>+H72+G72</f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2:22" ht="12.75">
      <c r="B73" s="47" t="s">
        <v>205</v>
      </c>
      <c r="C73" s="58" t="s">
        <v>206</v>
      </c>
      <c r="D73" s="24"/>
      <c r="E73" s="24"/>
      <c r="F73" s="25">
        <f>+E73+D73</f>
        <v>0</v>
      </c>
      <c r="G73" s="24">
        <v>8301</v>
      </c>
      <c r="H73" s="24"/>
      <c r="I73" s="25">
        <f>+H73+G73</f>
        <v>8301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2.75">
      <c r="B74" s="50" t="s">
        <v>207</v>
      </c>
      <c r="C74" s="59" t="s">
        <v>208</v>
      </c>
      <c r="D74" s="25">
        <f>+D73+D72+D71+D70+D69+D68</f>
        <v>0</v>
      </c>
      <c r="E74" s="25">
        <f>+E73+E72+E71+E70+E69+E68</f>
        <v>0</v>
      </c>
      <c r="F74" s="25">
        <f>+F73+F72+F71+F70+F69+F68</f>
        <v>0</v>
      </c>
      <c r="G74" s="25">
        <f>+G73+G72+G71+G70+G69+G68</f>
        <v>8301</v>
      </c>
      <c r="H74" s="25">
        <f>+H73+H72+H71+H70+H69+H68</f>
        <v>0</v>
      </c>
      <c r="I74" s="25">
        <f>+I73+I72+I71+I70+I69+I68</f>
        <v>8301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2.75">
      <c r="B75" s="50" t="s">
        <v>209</v>
      </c>
      <c r="C75" s="59" t="s">
        <v>210</v>
      </c>
      <c r="D75" s="24"/>
      <c r="E75" s="24"/>
      <c r="F75" s="25">
        <f>+E75+D75</f>
        <v>0</v>
      </c>
      <c r="G75" s="24"/>
      <c r="H75" s="24"/>
      <c r="I75" s="25">
        <f>+H75+G75</f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2:22" ht="12.75" hidden="1">
      <c r="B76" s="47" t="s">
        <v>211</v>
      </c>
      <c r="C76" s="58" t="s">
        <v>212</v>
      </c>
      <c r="D76" s="24"/>
      <c r="E76" s="24"/>
      <c r="F76" s="25">
        <f>+E76+D76</f>
        <v>0</v>
      </c>
      <c r="G76" s="24"/>
      <c r="H76" s="24"/>
      <c r="I76" s="25">
        <f>+H76+G76</f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2.75" hidden="1">
      <c r="B77" s="47" t="s">
        <v>213</v>
      </c>
      <c r="C77" s="58" t="s">
        <v>214</v>
      </c>
      <c r="D77" s="24"/>
      <c r="E77" s="24"/>
      <c r="F77" s="25">
        <f>+E77+D77</f>
        <v>0</v>
      </c>
      <c r="G77" s="24"/>
      <c r="H77" s="24"/>
      <c r="I77" s="25">
        <f>+H77+G77</f>
        <v>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2:22" ht="12.75" hidden="1">
      <c r="B78" s="47" t="s">
        <v>215</v>
      </c>
      <c r="C78" s="58" t="s">
        <v>216</v>
      </c>
      <c r="D78" s="24"/>
      <c r="E78" s="24"/>
      <c r="F78" s="25">
        <f>+E78+D78</f>
        <v>0</v>
      </c>
      <c r="G78" s="24"/>
      <c r="H78" s="24"/>
      <c r="I78" s="25">
        <f>+H78+G78</f>
        <v>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2:22" ht="12.75" hidden="1">
      <c r="B79" s="47" t="s">
        <v>217</v>
      </c>
      <c r="C79" s="58" t="s">
        <v>218</v>
      </c>
      <c r="D79" s="24"/>
      <c r="E79" s="24"/>
      <c r="F79" s="25">
        <f>+E79+D79</f>
        <v>0</v>
      </c>
      <c r="G79" s="24"/>
      <c r="H79" s="24"/>
      <c r="I79" s="25">
        <f>+H79+G79</f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2:22" ht="12.75" hidden="1">
      <c r="B80" s="47" t="s">
        <v>219</v>
      </c>
      <c r="C80" s="58" t="s">
        <v>220</v>
      </c>
      <c r="D80" s="24"/>
      <c r="E80" s="24"/>
      <c r="F80" s="25">
        <f>+E80+D80</f>
        <v>0</v>
      </c>
      <c r="G80" s="24"/>
      <c r="H80" s="24"/>
      <c r="I80" s="25">
        <f>+H80+G80</f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2:22" ht="12.75" hidden="1">
      <c r="B81" s="47" t="s">
        <v>221</v>
      </c>
      <c r="C81" s="58" t="s">
        <v>222</v>
      </c>
      <c r="D81" s="24"/>
      <c r="E81" s="24"/>
      <c r="F81" s="25">
        <f>+E81+D81</f>
        <v>0</v>
      </c>
      <c r="G81" s="24"/>
      <c r="H81" s="24"/>
      <c r="I81" s="25">
        <f>+H81+G81</f>
        <v>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2:22" ht="12.75">
      <c r="B82" s="50" t="s">
        <v>223</v>
      </c>
      <c r="C82" s="59" t="s">
        <v>224</v>
      </c>
      <c r="D82" s="25">
        <f>SUM(D76:D81)</f>
        <v>0</v>
      </c>
      <c r="E82" s="25">
        <f>SUM(E76:E81)</f>
        <v>0</v>
      </c>
      <c r="F82" s="25">
        <f>SUM(F76:F81)</f>
        <v>0</v>
      </c>
      <c r="G82" s="25">
        <f>SUM(G76:G81)</f>
        <v>0</v>
      </c>
      <c r="H82" s="25">
        <f>SUM(H76:H81)</f>
        <v>0</v>
      </c>
      <c r="I82" s="25">
        <f>SUM(I76:I81)</f>
        <v>0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2:22" ht="12.75">
      <c r="B83" s="60" t="s">
        <v>585</v>
      </c>
      <c r="C83" s="58" t="s">
        <v>226</v>
      </c>
      <c r="D83" s="24"/>
      <c r="E83" s="24"/>
      <c r="F83" s="25">
        <f>+E83+D83</f>
        <v>0</v>
      </c>
      <c r="G83" s="24"/>
      <c r="H83" s="24"/>
      <c r="I83" s="25">
        <f>+H83+G83</f>
        <v>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2:22" ht="12.75">
      <c r="B84" s="60" t="s">
        <v>227</v>
      </c>
      <c r="C84" s="58" t="s">
        <v>228</v>
      </c>
      <c r="D84" s="24">
        <v>7658</v>
      </c>
      <c r="E84" s="24"/>
      <c r="F84" s="25">
        <f>+E84+D84</f>
        <v>7658</v>
      </c>
      <c r="G84" s="24">
        <v>7998</v>
      </c>
      <c r="H84" s="24"/>
      <c r="I84" s="25">
        <f>+H84+G84</f>
        <v>7998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2:22" ht="12.75">
      <c r="B85" s="60" t="s">
        <v>229</v>
      </c>
      <c r="C85" s="58" t="s">
        <v>230</v>
      </c>
      <c r="D85" s="24"/>
      <c r="E85" s="24"/>
      <c r="F85" s="25">
        <f>+E85+D85</f>
        <v>0</v>
      </c>
      <c r="G85" s="24"/>
      <c r="H85" s="24"/>
      <c r="I85" s="25">
        <f>+H85+G85</f>
        <v>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2:22" ht="12.75">
      <c r="B86" s="60" t="s">
        <v>231</v>
      </c>
      <c r="C86" s="58" t="s">
        <v>232</v>
      </c>
      <c r="D86" s="24"/>
      <c r="E86" s="24"/>
      <c r="F86" s="25">
        <f>+E86+D86</f>
        <v>0</v>
      </c>
      <c r="G86" s="24"/>
      <c r="H86" s="24"/>
      <c r="I86" s="25">
        <f>+H86+G86</f>
        <v>0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2:22" ht="12.75">
      <c r="B87" s="60" t="s">
        <v>233</v>
      </c>
      <c r="C87" s="58" t="s">
        <v>234</v>
      </c>
      <c r="D87" s="24">
        <v>54975</v>
      </c>
      <c r="E87" s="24"/>
      <c r="F87" s="25">
        <f>+E87+D87</f>
        <v>54975</v>
      </c>
      <c r="G87" s="24">
        <v>54975</v>
      </c>
      <c r="H87" s="24"/>
      <c r="I87" s="25">
        <f>+H87+G87</f>
        <v>54975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2:22" ht="12.75">
      <c r="B88" s="60" t="s">
        <v>235</v>
      </c>
      <c r="C88" s="58" t="s">
        <v>236</v>
      </c>
      <c r="D88" s="24">
        <v>16474</v>
      </c>
      <c r="E88" s="24"/>
      <c r="F88" s="25">
        <f>+E88+D88</f>
        <v>16474</v>
      </c>
      <c r="G88" s="24">
        <v>16474</v>
      </c>
      <c r="H88" s="24"/>
      <c r="I88" s="25">
        <f>+H88+G88</f>
        <v>16474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2:22" ht="12.75">
      <c r="B89" s="60" t="s">
        <v>237</v>
      </c>
      <c r="C89" s="58" t="s">
        <v>238</v>
      </c>
      <c r="D89" s="24"/>
      <c r="E89" s="24"/>
      <c r="F89" s="25">
        <f>+E89+D89</f>
        <v>0</v>
      </c>
      <c r="G89" s="24"/>
      <c r="H89" s="24"/>
      <c r="I89" s="25">
        <f>+H89+G89</f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2:22" ht="12.75">
      <c r="B90" s="60" t="s">
        <v>239</v>
      </c>
      <c r="C90" s="58" t="s">
        <v>240</v>
      </c>
      <c r="D90" s="24"/>
      <c r="E90" s="24"/>
      <c r="F90" s="25">
        <f>+E90+D90</f>
        <v>0</v>
      </c>
      <c r="G90" s="24"/>
      <c r="H90" s="24"/>
      <c r="I90" s="25">
        <f>+H90+G90</f>
        <v>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2:22" ht="12.75">
      <c r="B91" s="60" t="s">
        <v>241</v>
      </c>
      <c r="C91" s="58" t="s">
        <v>242</v>
      </c>
      <c r="D91" s="24"/>
      <c r="E91" s="24"/>
      <c r="F91" s="25">
        <f>+E91+D91</f>
        <v>0</v>
      </c>
      <c r="G91" s="24"/>
      <c r="H91" s="24"/>
      <c r="I91" s="25">
        <f>+H91+G91</f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2:22" ht="12.75">
      <c r="B92" s="60" t="s">
        <v>243</v>
      </c>
      <c r="C92" s="58" t="s">
        <v>244</v>
      </c>
      <c r="D92" s="24"/>
      <c r="E92" s="24"/>
      <c r="F92" s="25">
        <f>+E92+D92</f>
        <v>0</v>
      </c>
      <c r="G92" s="24"/>
      <c r="H92" s="24"/>
      <c r="I92" s="25">
        <f>+H92+G92</f>
        <v>0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2:22" ht="12.75">
      <c r="B93" s="60" t="s">
        <v>245</v>
      </c>
      <c r="C93" s="58" t="s">
        <v>246</v>
      </c>
      <c r="D93" s="24">
        <v>340</v>
      </c>
      <c r="E93" s="24"/>
      <c r="F93" s="25">
        <f>+E93+D93</f>
        <v>340</v>
      </c>
      <c r="G93" s="24"/>
      <c r="H93" s="24"/>
      <c r="I93" s="25">
        <f>+H93+G93</f>
        <v>0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2:22" ht="12.75">
      <c r="B94" s="51" t="s">
        <v>247</v>
      </c>
      <c r="C94" s="59" t="s">
        <v>248</v>
      </c>
      <c r="D94" s="25">
        <f>SUM(D83:D93)</f>
        <v>79447</v>
      </c>
      <c r="E94" s="25">
        <f>SUM(E83:E93)</f>
        <v>0</v>
      </c>
      <c r="F94" s="25">
        <f>SUM(F83:F93)</f>
        <v>79447</v>
      </c>
      <c r="G94" s="25">
        <f>SUM(G83:G93)</f>
        <v>79447</v>
      </c>
      <c r="H94" s="25">
        <f>SUM(H83:H93)</f>
        <v>0</v>
      </c>
      <c r="I94" s="25">
        <f>SUM(I83:I93)</f>
        <v>79447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2:22" ht="12.75">
      <c r="B95" s="60" t="s">
        <v>249</v>
      </c>
      <c r="C95" s="58" t="s">
        <v>250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2:22" ht="12.75">
      <c r="B96" s="60" t="s">
        <v>251</v>
      </c>
      <c r="C96" s="58" t="s">
        <v>252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2:22" ht="12.75">
      <c r="B97" s="60" t="s">
        <v>253</v>
      </c>
      <c r="C97" s="58" t="s">
        <v>254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2:22" ht="12.75">
      <c r="B98" s="60" t="s">
        <v>255</v>
      </c>
      <c r="C98" s="58" t="s">
        <v>256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2:22" ht="12.75">
      <c r="B99" s="60" t="s">
        <v>257</v>
      </c>
      <c r="C99" s="58" t="s">
        <v>258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2:22" ht="12.75">
      <c r="B100" s="50" t="s">
        <v>259</v>
      </c>
      <c r="C100" s="59" t="s">
        <v>260</v>
      </c>
      <c r="D100" s="25">
        <f>SUM(D95:D99)</f>
        <v>0</v>
      </c>
      <c r="E100" s="25">
        <f>SUM(E95:E99)</f>
        <v>0</v>
      </c>
      <c r="F100" s="25">
        <f>SUM(F95:F99)</f>
        <v>0</v>
      </c>
      <c r="G100" s="25">
        <f>SUM(G95:G99)</f>
        <v>0</v>
      </c>
      <c r="H100" s="25">
        <f>SUM(H95:H99)</f>
        <v>0</v>
      </c>
      <c r="I100" s="25">
        <f>SUM(I95:I99)</f>
        <v>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2:22" ht="12.75">
      <c r="B101" s="50" t="s">
        <v>261</v>
      </c>
      <c r="C101" s="59" t="s">
        <v>262</v>
      </c>
      <c r="D101" s="24">
        <v>8301</v>
      </c>
      <c r="E101" s="24"/>
      <c r="F101" s="25">
        <f>+E101+D101</f>
        <v>8301</v>
      </c>
      <c r="G101" s="24"/>
      <c r="H101" s="24"/>
      <c r="I101" s="25">
        <f>+H101+G101</f>
        <v>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2:22" ht="12.75">
      <c r="B102" s="60" t="s">
        <v>263</v>
      </c>
      <c r="C102" s="58" t="s">
        <v>264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2:22" ht="12.75">
      <c r="B103" s="47" t="s">
        <v>265</v>
      </c>
      <c r="C103" s="58" t="s">
        <v>266</v>
      </c>
      <c r="D103" s="24"/>
      <c r="E103" s="24"/>
      <c r="F103" s="25"/>
      <c r="G103" s="24"/>
      <c r="H103" s="24"/>
      <c r="I103" s="2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2:22" ht="12.75">
      <c r="B104" s="60" t="s">
        <v>267</v>
      </c>
      <c r="C104" s="58" t="s">
        <v>268</v>
      </c>
      <c r="D104" s="24"/>
      <c r="E104" s="24"/>
      <c r="F104" s="25"/>
      <c r="G104" s="24"/>
      <c r="H104" s="24"/>
      <c r="I104" s="2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2:22" ht="12.75">
      <c r="B105" s="60" t="s">
        <v>269</v>
      </c>
      <c r="C105" s="58" t="s">
        <v>270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22" ht="12.75">
      <c r="B106" s="60" t="s">
        <v>271</v>
      </c>
      <c r="C106" s="58" t="s">
        <v>272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22" ht="12.75">
      <c r="B107" s="50" t="s">
        <v>273</v>
      </c>
      <c r="C107" s="59" t="s">
        <v>274</v>
      </c>
      <c r="D107" s="25">
        <f>SUM(D102:D106)</f>
        <v>0</v>
      </c>
      <c r="E107" s="25">
        <f>SUM(E102:E106)</f>
        <v>0</v>
      </c>
      <c r="F107" s="25">
        <f>SUM(F102:F106)</f>
        <v>0</v>
      </c>
      <c r="G107" s="25">
        <f>SUM(G102:G106)</f>
        <v>0</v>
      </c>
      <c r="H107" s="25">
        <f>SUM(H102:H106)</f>
        <v>0</v>
      </c>
      <c r="I107" s="25">
        <f>SUM(I102:I106)</f>
        <v>0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22" ht="12.75">
      <c r="B108" s="81" t="s">
        <v>275</v>
      </c>
      <c r="C108" s="61" t="s">
        <v>276</v>
      </c>
      <c r="D108" s="63">
        <f>+D107+D101+D100+D94+D82+D75+D74</f>
        <v>87748</v>
      </c>
      <c r="E108" s="63">
        <f>+E107+E101+E100+E94+E82+E75+E74</f>
        <v>0</v>
      </c>
      <c r="F108" s="63">
        <f>+F107+F101+F100+F94+F82+F75+F74</f>
        <v>87748</v>
      </c>
      <c r="G108" s="63">
        <f>+G107+G101+G100+G94+G82+G75+G74</f>
        <v>87748</v>
      </c>
      <c r="H108" s="63">
        <f>+H107+H101+H100+H94+H82+H75+H74</f>
        <v>0</v>
      </c>
      <c r="I108" s="63">
        <f>+I107+I101+I100+I94+I82+I75+I74</f>
        <v>87748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22" ht="12.75">
      <c r="B109" s="82" t="s">
        <v>277</v>
      </c>
      <c r="C109" s="83"/>
      <c r="D109" s="84">
        <f>+D101+D94+D82+D74-D33</f>
        <v>-363832</v>
      </c>
      <c r="E109" s="84">
        <f>+E101+E94+E82+E74-E33</f>
        <v>0</v>
      </c>
      <c r="F109" s="84">
        <f>+E109+D109</f>
        <v>-363832</v>
      </c>
      <c r="G109" s="84">
        <f>+G101+G94+G82+G74-G33</f>
        <v>-367861</v>
      </c>
      <c r="H109" s="84">
        <f>+H101+H94+H82+H74-H33</f>
        <v>0</v>
      </c>
      <c r="I109" s="84">
        <f>+H109+G109</f>
        <v>-367861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22" ht="12.75">
      <c r="B110" s="82" t="s">
        <v>278</v>
      </c>
      <c r="C110" s="83"/>
      <c r="D110" s="84">
        <f>+D107+D100+D75-D57</f>
        <v>-5955</v>
      </c>
      <c r="E110" s="84">
        <f>+E107+E100+E75-E57</f>
        <v>0</v>
      </c>
      <c r="F110" s="84">
        <f>+E110+D110</f>
        <v>-5955</v>
      </c>
      <c r="G110" s="84">
        <f>+G107+G100+G75-G57</f>
        <v>-240</v>
      </c>
      <c r="H110" s="84">
        <f>+H107+H100+H75-H57</f>
        <v>0</v>
      </c>
      <c r="I110" s="84">
        <f>+H110+G110</f>
        <v>-240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2:9" ht="12.75">
      <c r="B111" s="51" t="s">
        <v>586</v>
      </c>
      <c r="C111" s="50" t="s">
        <v>286</v>
      </c>
      <c r="D111" s="24"/>
      <c r="E111" s="24"/>
      <c r="F111" s="25">
        <f>+E111+D111</f>
        <v>0</v>
      </c>
      <c r="G111" s="24"/>
      <c r="H111" s="24"/>
      <c r="I111" s="25">
        <f>+H111+G111</f>
        <v>0</v>
      </c>
    </row>
    <row r="112" spans="2:9" ht="12.75">
      <c r="B112" s="72" t="s">
        <v>587</v>
      </c>
      <c r="C112" s="50" t="s">
        <v>296</v>
      </c>
      <c r="D112" s="24"/>
      <c r="E112" s="24"/>
      <c r="F112" s="25">
        <f>+E112+D112</f>
        <v>0</v>
      </c>
      <c r="G112" s="24"/>
      <c r="H112" s="24"/>
      <c r="I112" s="25">
        <f>+H112+G112</f>
        <v>0</v>
      </c>
    </row>
    <row r="113" spans="2:9" ht="12.75">
      <c r="B113" s="47" t="s">
        <v>297</v>
      </c>
      <c r="C113" s="47" t="s">
        <v>298</v>
      </c>
      <c r="D113" s="24"/>
      <c r="E113" s="24"/>
      <c r="F113" s="25">
        <f>+E113+D113</f>
        <v>0</v>
      </c>
      <c r="G113" s="24">
        <v>1156</v>
      </c>
      <c r="H113" s="24"/>
      <c r="I113" s="25">
        <f>+H113+G113</f>
        <v>1156</v>
      </c>
    </row>
    <row r="114" spans="2:9" ht="12.75">
      <c r="B114" s="47" t="s">
        <v>299</v>
      </c>
      <c r="C114" s="47" t="s">
        <v>298</v>
      </c>
      <c r="D114" s="24"/>
      <c r="E114" s="24"/>
      <c r="F114" s="25">
        <f>+E114+D114</f>
        <v>0</v>
      </c>
      <c r="G114" s="24"/>
      <c r="H114" s="24"/>
      <c r="I114" s="25">
        <f>+H114+G114</f>
        <v>0</v>
      </c>
    </row>
    <row r="115" spans="2:9" ht="12.75">
      <c r="B115" s="47" t="s">
        <v>300</v>
      </c>
      <c r="C115" s="47" t="s">
        <v>301</v>
      </c>
      <c r="D115" s="24"/>
      <c r="E115" s="24"/>
      <c r="F115" s="25">
        <f>+E115+D115</f>
        <v>0</v>
      </c>
      <c r="G115" s="24"/>
      <c r="H115" s="24"/>
      <c r="I115" s="25">
        <f>+H115+G115</f>
        <v>0</v>
      </c>
    </row>
    <row r="116" spans="2:9" ht="12.75">
      <c r="B116" s="47" t="s">
        <v>302</v>
      </c>
      <c r="C116" s="47" t="s">
        <v>301</v>
      </c>
      <c r="D116" s="24"/>
      <c r="E116" s="24"/>
      <c r="F116" s="25">
        <f>+E116+D116</f>
        <v>0</v>
      </c>
      <c r="G116" s="24"/>
      <c r="H116" s="24"/>
      <c r="I116" s="25">
        <f>+H116+G116</f>
        <v>0</v>
      </c>
    </row>
    <row r="117" spans="1:9" ht="12.75">
      <c r="A117" s="88" t="s">
        <v>597</v>
      </c>
      <c r="B117" s="50" t="s">
        <v>303</v>
      </c>
      <c r="C117" s="50" t="s">
        <v>304</v>
      </c>
      <c r="D117" s="25">
        <f>SUM(D113:D116)</f>
        <v>0</v>
      </c>
      <c r="E117" s="25">
        <f>SUM(E113:E116)</f>
        <v>0</v>
      </c>
      <c r="F117" s="25">
        <f>SUM(F113:F116)</f>
        <v>0</v>
      </c>
      <c r="G117" s="25">
        <f>SUM(G113:G116)</f>
        <v>1156</v>
      </c>
      <c r="H117" s="25">
        <f>SUM(H113:H116)</f>
        <v>0</v>
      </c>
      <c r="I117" s="25">
        <f>SUM(I113:I116)</f>
        <v>1156</v>
      </c>
    </row>
    <row r="118" spans="1:9" ht="12.75">
      <c r="A118" s="88" t="s">
        <v>598</v>
      </c>
      <c r="B118" s="68" t="s">
        <v>305</v>
      </c>
      <c r="C118" s="47" t="s">
        <v>306</v>
      </c>
      <c r="D118" s="24"/>
      <c r="E118" s="24"/>
      <c r="F118" s="25">
        <f>+E118+D118</f>
        <v>0</v>
      </c>
      <c r="G118" s="24"/>
      <c r="H118" s="24"/>
      <c r="I118" s="25">
        <f>+H118+G118</f>
        <v>0</v>
      </c>
    </row>
    <row r="119" spans="2:9" ht="12.75">
      <c r="B119" s="68" t="s">
        <v>307</v>
      </c>
      <c r="C119" s="47" t="s">
        <v>308</v>
      </c>
      <c r="D119" s="24"/>
      <c r="E119" s="24"/>
      <c r="F119" s="25">
        <f>+E119+D119</f>
        <v>0</v>
      </c>
      <c r="G119" s="24"/>
      <c r="H119" s="24"/>
      <c r="I119" s="25">
        <f>+H119+G119</f>
        <v>0</v>
      </c>
    </row>
    <row r="120" spans="1:9" ht="12.75">
      <c r="A120" s="30" t="s">
        <v>610</v>
      </c>
      <c r="B120" s="68" t="s">
        <v>309</v>
      </c>
      <c r="C120" s="47" t="s">
        <v>310</v>
      </c>
      <c r="D120" s="24">
        <f>364072+5715</f>
        <v>369787</v>
      </c>
      <c r="E120" s="24"/>
      <c r="F120" s="25">
        <f>+E120+D120</f>
        <v>369787</v>
      </c>
      <c r="G120" s="24">
        <v>366945</v>
      </c>
      <c r="H120" s="24"/>
      <c r="I120" s="25">
        <f>+H120+G120</f>
        <v>366945</v>
      </c>
    </row>
    <row r="121" spans="2:9" s="242" customFormat="1" ht="12.75">
      <c r="B121" s="243" t="s">
        <v>600</v>
      </c>
      <c r="C121" s="140"/>
      <c r="D121" s="100">
        <v>306537</v>
      </c>
      <c r="E121" s="100"/>
      <c r="F121" s="126">
        <f>+E121+D121</f>
        <v>306537</v>
      </c>
      <c r="G121" s="100">
        <f>+G120-G122</f>
        <v>303695</v>
      </c>
      <c r="H121" s="100"/>
      <c r="I121" s="126">
        <f>+H121+G121</f>
        <v>303695</v>
      </c>
    </row>
    <row r="122" spans="2:9" s="242" customFormat="1" ht="12.75">
      <c r="B122" s="244" t="s">
        <v>591</v>
      </c>
      <c r="C122" s="140"/>
      <c r="D122" s="100">
        <f>+D120-D121</f>
        <v>63250</v>
      </c>
      <c r="E122" s="100">
        <f>+E120-E121</f>
        <v>0</v>
      </c>
      <c r="F122" s="126">
        <f>+E122+D122</f>
        <v>63250</v>
      </c>
      <c r="G122" s="100">
        <v>63250</v>
      </c>
      <c r="H122" s="100">
        <f>+H120-H121</f>
        <v>0</v>
      </c>
      <c r="I122" s="126">
        <f>+H122+G122</f>
        <v>63250</v>
      </c>
    </row>
    <row r="123" spans="2:9" ht="12.75">
      <c r="B123" s="68" t="s">
        <v>311</v>
      </c>
      <c r="C123" s="47" t="s">
        <v>312</v>
      </c>
      <c r="D123" s="24"/>
      <c r="E123" s="24"/>
      <c r="F123" s="25">
        <f>+E123+D123</f>
        <v>0</v>
      </c>
      <c r="G123" s="24"/>
      <c r="H123" s="24"/>
      <c r="I123" s="25">
        <f>+H123+G123</f>
        <v>0</v>
      </c>
    </row>
    <row r="124" spans="2:9" ht="12.75">
      <c r="B124" s="60" t="s">
        <v>313</v>
      </c>
      <c r="C124" s="47" t="s">
        <v>314</v>
      </c>
      <c r="D124" s="24"/>
      <c r="E124" s="24"/>
      <c r="F124" s="25">
        <f>+E124+D124</f>
        <v>0</v>
      </c>
      <c r="G124" s="24"/>
      <c r="H124" s="24"/>
      <c r="I124" s="25">
        <f>+H124+G124</f>
        <v>0</v>
      </c>
    </row>
    <row r="125" spans="2:9" ht="12.75">
      <c r="B125" s="60" t="s">
        <v>315</v>
      </c>
      <c r="C125" s="47" t="s">
        <v>316</v>
      </c>
      <c r="D125" s="24"/>
      <c r="E125" s="24"/>
      <c r="F125" s="25">
        <f>+E125+D125</f>
        <v>0</v>
      </c>
      <c r="G125" s="24"/>
      <c r="H125" s="24"/>
      <c r="I125" s="25">
        <f>+H125+G125</f>
        <v>0</v>
      </c>
    </row>
    <row r="126" spans="2:9" ht="12.75">
      <c r="B126" s="51" t="s">
        <v>317</v>
      </c>
      <c r="C126" s="50" t="s">
        <v>318</v>
      </c>
      <c r="D126" s="25">
        <f>SUM(D118:D125)+D117+D112+D111-D121-D122</f>
        <v>369787</v>
      </c>
      <c r="E126" s="25">
        <f>SUM(E118:E125)+E117+E112+E111-E121-E122</f>
        <v>0</v>
      </c>
      <c r="F126" s="25">
        <f>SUM(F118:F124)+F117+F112+F111-F121-F122</f>
        <v>369787</v>
      </c>
      <c r="G126" s="25">
        <f>SUM(G118:G125)+G117+G112+G111-G121-G122</f>
        <v>368101</v>
      </c>
      <c r="H126" s="25">
        <f>SUM(H118:H125)+H117+H112+H111-H121-H122</f>
        <v>0</v>
      </c>
      <c r="I126" s="25">
        <f>SUM(I118:I124)+I117+I112+I111-I121-I122</f>
        <v>368101</v>
      </c>
    </row>
    <row r="127" spans="2:9" ht="12.75" hidden="1">
      <c r="B127" s="68" t="s">
        <v>319</v>
      </c>
      <c r="C127" s="47" t="s">
        <v>320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2:9" ht="12.75" hidden="1">
      <c r="B128" s="60" t="s">
        <v>321</v>
      </c>
      <c r="C128" s="47" t="s">
        <v>322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t="12.75" hidden="1">
      <c r="B129" s="60" t="s">
        <v>323</v>
      </c>
      <c r="C129" s="47" t="s">
        <v>324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ht="12.75">
      <c r="B130" s="73" t="s">
        <v>325</v>
      </c>
      <c r="C130" s="74" t="s">
        <v>326</v>
      </c>
      <c r="D130" s="63">
        <f>+D128+D127+D126+D129</f>
        <v>369787</v>
      </c>
      <c r="E130" s="63">
        <f>+E128+E127+E126+E129</f>
        <v>0</v>
      </c>
      <c r="F130" s="63">
        <f>+F129+F127+F126</f>
        <v>369787</v>
      </c>
      <c r="G130" s="63">
        <f>+G128+G127+G126+G129</f>
        <v>368101</v>
      </c>
      <c r="H130" s="63">
        <f>+H128+H127+H126+H129</f>
        <v>0</v>
      </c>
      <c r="I130" s="63">
        <f>+I129+I127+I126</f>
        <v>368101</v>
      </c>
    </row>
    <row r="131" spans="2:9" ht="12.75">
      <c r="B131" s="28" t="s">
        <v>327</v>
      </c>
      <c r="C131" s="28" t="s">
        <v>328</v>
      </c>
      <c r="D131" s="29">
        <f>+D108+D130</f>
        <v>457535</v>
      </c>
      <c r="E131" s="29">
        <f>+E108+E130</f>
        <v>0</v>
      </c>
      <c r="F131" s="29">
        <f>+F108+F130</f>
        <v>457535</v>
      </c>
      <c r="G131" s="29">
        <f>+G108+G130</f>
        <v>455849</v>
      </c>
      <c r="H131" s="29">
        <f>+H108+H130</f>
        <v>0</v>
      </c>
      <c r="I131" s="29">
        <f>+I108+I130</f>
        <v>455849</v>
      </c>
    </row>
    <row r="132" spans="2:9" ht="12.75">
      <c r="B132" s="13"/>
      <c r="C132" s="13"/>
      <c r="D132" s="14"/>
      <c r="E132" s="14"/>
      <c r="F132" s="85"/>
      <c r="G132" s="14"/>
      <c r="H132" s="14"/>
      <c r="I132" s="85"/>
    </row>
    <row r="133" spans="2:9" ht="12.75">
      <c r="B133" s="26" t="s">
        <v>329</v>
      </c>
      <c r="C133" s="26"/>
      <c r="D133" s="25">
        <f>+D108-D58</f>
        <v>-369787</v>
      </c>
      <c r="E133" s="25">
        <f>+E108-E58</f>
        <v>0</v>
      </c>
      <c r="F133" s="25">
        <f>+F108-F58</f>
        <v>-369787</v>
      </c>
      <c r="G133" s="25">
        <f>+G108-G58</f>
        <v>-368101</v>
      </c>
      <c r="H133" s="25">
        <f>+H108-H58</f>
        <v>0</v>
      </c>
      <c r="I133" s="25">
        <f>+I108-I58</f>
        <v>-368101</v>
      </c>
    </row>
    <row r="134" spans="2:9" ht="12.75">
      <c r="B134" s="26" t="s">
        <v>330</v>
      </c>
      <c r="C134" s="26"/>
      <c r="D134" s="25">
        <f>+D130-D63</f>
        <v>369787</v>
      </c>
      <c r="E134" s="25">
        <f>+E130-E63</f>
        <v>0</v>
      </c>
      <c r="F134" s="25">
        <f>+F130-F63</f>
        <v>369787</v>
      </c>
      <c r="G134" s="25">
        <f>+G130-G63</f>
        <v>368101</v>
      </c>
      <c r="H134" s="25">
        <f>+H130-H63</f>
        <v>0</v>
      </c>
      <c r="I134" s="25">
        <f>+I130-I63</f>
        <v>368101</v>
      </c>
    </row>
    <row r="135" spans="2:9" ht="12.75">
      <c r="B135" s="13"/>
      <c r="C135" s="13"/>
      <c r="D135" s="14"/>
      <c r="E135" s="14"/>
      <c r="F135" s="85"/>
      <c r="G135" s="14"/>
      <c r="H135" s="14"/>
      <c r="I135" s="85"/>
    </row>
    <row r="136" spans="2:9" ht="12.75">
      <c r="B136" s="87" t="s">
        <v>333</v>
      </c>
      <c r="C136" s="13"/>
      <c r="D136" s="14">
        <f>+D131-D64</f>
        <v>0</v>
      </c>
      <c r="E136" s="14">
        <f>+E131-E64</f>
        <v>0</v>
      </c>
      <c r="F136" s="14">
        <f>+F131-F64</f>
        <v>0</v>
      </c>
      <c r="G136" s="14">
        <f>+G131-G64</f>
        <v>0</v>
      </c>
      <c r="H136" s="14">
        <f>+H131-H64</f>
        <v>0</v>
      </c>
      <c r="I136" s="14">
        <f>+I131-I64</f>
        <v>0</v>
      </c>
    </row>
    <row r="137" spans="2:9" ht="12.75">
      <c r="B137" s="13"/>
      <c r="C137" s="13"/>
      <c r="D137" s="14"/>
      <c r="E137" s="14"/>
      <c r="F137" s="85"/>
      <c r="G137" s="14"/>
      <c r="H137" s="14"/>
      <c r="I137" s="85"/>
    </row>
    <row r="138" spans="2:9" ht="12.75">
      <c r="B138" s="13"/>
      <c r="C138" s="13"/>
      <c r="D138" s="14"/>
      <c r="E138" s="14"/>
      <c r="F138" s="85"/>
      <c r="G138" s="14"/>
      <c r="H138" s="14"/>
      <c r="I138" s="85"/>
    </row>
    <row r="139" spans="2:9" ht="12.75">
      <c r="B139" s="13"/>
      <c r="C139" s="13"/>
      <c r="D139" s="14"/>
      <c r="E139" s="14"/>
      <c r="F139" s="85"/>
      <c r="G139" s="14"/>
      <c r="H139" s="14"/>
      <c r="I139" s="85"/>
    </row>
    <row r="140" spans="2:9" ht="12.75">
      <c r="B140" s="13"/>
      <c r="C140" s="13"/>
      <c r="D140" s="14"/>
      <c r="E140" s="14"/>
      <c r="F140" s="85"/>
      <c r="G140" s="14"/>
      <c r="H140" s="14"/>
      <c r="I140" s="85"/>
    </row>
    <row r="141" spans="2:9" ht="12.75">
      <c r="B141" s="13"/>
      <c r="C141" s="13"/>
      <c r="D141" s="14"/>
      <c r="E141" s="14"/>
      <c r="F141" s="85"/>
      <c r="G141" s="14"/>
      <c r="H141" s="14"/>
      <c r="I141" s="85"/>
    </row>
    <row r="142" spans="2:9" ht="12.75">
      <c r="B142" s="13"/>
      <c r="C142" s="13"/>
      <c r="D142" s="14"/>
      <c r="E142" s="14"/>
      <c r="F142" s="85"/>
      <c r="G142" s="14"/>
      <c r="H142" s="14"/>
      <c r="I142" s="85"/>
    </row>
    <row r="143" spans="2:9" ht="12.75">
      <c r="B143" s="13"/>
      <c r="C143" s="13"/>
      <c r="D143" s="14"/>
      <c r="E143" s="14"/>
      <c r="F143" s="85"/>
      <c r="G143" s="14"/>
      <c r="H143" s="14"/>
      <c r="I143" s="85"/>
    </row>
    <row r="144" spans="2:9" ht="12.75">
      <c r="B144" s="13"/>
      <c r="C144" s="13"/>
      <c r="D144" s="14"/>
      <c r="E144" s="14"/>
      <c r="F144" s="85"/>
      <c r="G144" s="14"/>
      <c r="H144" s="14"/>
      <c r="I144" s="85"/>
    </row>
    <row r="145" spans="2:9" ht="12.75">
      <c r="B145" s="13"/>
      <c r="C145" s="13"/>
      <c r="D145" s="14"/>
      <c r="E145" s="14"/>
      <c r="F145" s="85"/>
      <c r="G145" s="14"/>
      <c r="H145" s="14"/>
      <c r="I145" s="85"/>
    </row>
    <row r="146" spans="2:9" ht="12.75">
      <c r="B146" s="13"/>
      <c r="C146" s="13"/>
      <c r="D146" s="14"/>
      <c r="E146" s="14"/>
      <c r="F146" s="85"/>
      <c r="G146" s="14"/>
      <c r="H146" s="14"/>
      <c r="I146" s="85"/>
    </row>
    <row r="147" spans="2:9" ht="12.75">
      <c r="B147" s="13"/>
      <c r="C147" s="13"/>
      <c r="D147" s="14"/>
      <c r="E147" s="14"/>
      <c r="F147" s="85"/>
      <c r="G147" s="14"/>
      <c r="H147" s="14"/>
      <c r="I147" s="85"/>
    </row>
    <row r="148" spans="2:9" ht="12.75">
      <c r="B148" s="13"/>
      <c r="C148" s="13"/>
      <c r="D148" s="14"/>
      <c r="E148" s="14"/>
      <c r="F148" s="85"/>
      <c r="G148" s="14"/>
      <c r="H148" s="14"/>
      <c r="I148" s="85"/>
    </row>
    <row r="149" spans="2:9" ht="12.75">
      <c r="B149" s="13"/>
      <c r="C149" s="13"/>
      <c r="D149" s="14"/>
      <c r="E149" s="14"/>
      <c r="F149" s="85"/>
      <c r="G149" s="14"/>
      <c r="H149" s="14"/>
      <c r="I149" s="85"/>
    </row>
    <row r="150" spans="2:9" ht="12.75">
      <c r="B150" s="13"/>
      <c r="C150" s="13"/>
      <c r="D150" s="14"/>
      <c r="E150" s="14"/>
      <c r="F150" s="85"/>
      <c r="G150" s="14"/>
      <c r="H150" s="14"/>
      <c r="I150" s="85"/>
    </row>
    <row r="151" spans="2:9" ht="12.75">
      <c r="B151" s="13"/>
      <c r="C151" s="13"/>
      <c r="D151" s="14"/>
      <c r="E151" s="14"/>
      <c r="F151" s="85"/>
      <c r="G151" s="14"/>
      <c r="H151" s="14"/>
      <c r="I151" s="85"/>
    </row>
    <row r="152" spans="2:9" ht="12.75">
      <c r="B152" s="13"/>
      <c r="C152" s="13"/>
      <c r="D152" s="14"/>
      <c r="E152" s="14"/>
      <c r="F152" s="85"/>
      <c r="G152" s="14"/>
      <c r="H152" s="14"/>
      <c r="I152" s="85"/>
    </row>
    <row r="153" spans="2:9" ht="12.75">
      <c r="B153" s="13"/>
      <c r="C153" s="13"/>
      <c r="D153" s="14"/>
      <c r="E153" s="14"/>
      <c r="F153" s="85"/>
      <c r="G153" s="14"/>
      <c r="H153" s="14"/>
      <c r="I153" s="85"/>
    </row>
    <row r="154" spans="2:9" ht="12.75">
      <c r="B154" s="13"/>
      <c r="C154" s="13"/>
      <c r="D154" s="14"/>
      <c r="E154" s="14"/>
      <c r="F154" s="85"/>
      <c r="G154" s="14"/>
      <c r="H154" s="14"/>
      <c r="I154" s="85"/>
    </row>
    <row r="155" spans="2:9" ht="12.75">
      <c r="B155" s="13"/>
      <c r="C155" s="13"/>
      <c r="D155" s="14"/>
      <c r="E155" s="14"/>
      <c r="F155" s="85"/>
      <c r="G155" s="14"/>
      <c r="H155" s="14"/>
      <c r="I155" s="85"/>
    </row>
    <row r="156" spans="2:9" ht="12.75">
      <c r="B156" s="13"/>
      <c r="C156" s="13"/>
      <c r="D156" s="14"/>
      <c r="E156" s="14"/>
      <c r="F156" s="85"/>
      <c r="G156" s="14"/>
      <c r="H156" s="14"/>
      <c r="I156" s="85"/>
    </row>
    <row r="157" spans="2:9" ht="12.75">
      <c r="B157" s="13"/>
      <c r="C157" s="13"/>
      <c r="D157" s="14"/>
      <c r="E157" s="14"/>
      <c r="F157" s="85"/>
      <c r="G157" s="14"/>
      <c r="H157" s="14"/>
      <c r="I157" s="85"/>
    </row>
    <row r="158" spans="2:9" ht="12.75">
      <c r="B158" s="13"/>
      <c r="C158" s="13"/>
      <c r="D158" s="14"/>
      <c r="E158" s="14"/>
      <c r="F158" s="85"/>
      <c r="G158" s="14"/>
      <c r="H158" s="14"/>
      <c r="I158" s="85"/>
    </row>
    <row r="159" spans="2:9" ht="12.75">
      <c r="B159" s="13"/>
      <c r="C159" s="13"/>
      <c r="D159" s="14"/>
      <c r="E159" s="14"/>
      <c r="F159" s="85"/>
      <c r="G159" s="14"/>
      <c r="H159" s="14"/>
      <c r="I159" s="85"/>
    </row>
    <row r="160" spans="2:9" ht="12.75">
      <c r="B160" s="13"/>
      <c r="C160" s="13"/>
      <c r="D160" s="14"/>
      <c r="E160" s="14"/>
      <c r="F160" s="85"/>
      <c r="G160" s="14"/>
      <c r="H160" s="14"/>
      <c r="I160" s="85"/>
    </row>
    <row r="161" spans="2:9" ht="12.75">
      <c r="B161" s="13"/>
      <c r="C161" s="13"/>
      <c r="D161" s="14"/>
      <c r="E161" s="14"/>
      <c r="F161" s="85"/>
      <c r="G161" s="14"/>
      <c r="H161" s="14"/>
      <c r="I161" s="85"/>
    </row>
    <row r="162" spans="2:9" ht="12.75">
      <c r="B162" s="13"/>
      <c r="C162" s="13"/>
      <c r="D162" s="14"/>
      <c r="E162" s="14"/>
      <c r="F162" s="85"/>
      <c r="G162" s="14"/>
      <c r="H162" s="14"/>
      <c r="I162" s="85"/>
    </row>
    <row r="163" spans="2:9" ht="12.75">
      <c r="B163" s="13"/>
      <c r="C163" s="13"/>
      <c r="D163" s="14"/>
      <c r="E163" s="14"/>
      <c r="F163" s="85"/>
      <c r="G163" s="14"/>
      <c r="H163" s="14"/>
      <c r="I163" s="85"/>
    </row>
    <row r="164" spans="2:9" ht="12.75">
      <c r="B164" s="13"/>
      <c r="C164" s="13"/>
      <c r="D164" s="14"/>
      <c r="E164" s="14"/>
      <c r="F164" s="85"/>
      <c r="G164" s="14"/>
      <c r="H164" s="14"/>
      <c r="I164" s="85"/>
    </row>
    <row r="165" spans="2:9" ht="12.75">
      <c r="B165" s="13"/>
      <c r="C165" s="13"/>
      <c r="D165" s="14"/>
      <c r="E165" s="14"/>
      <c r="F165" s="85"/>
      <c r="G165" s="14"/>
      <c r="H165" s="14"/>
      <c r="I165" s="85"/>
    </row>
    <row r="166" spans="2:9" ht="12.75">
      <c r="B166" s="13"/>
      <c r="C166" s="13"/>
      <c r="D166" s="14"/>
      <c r="E166" s="14"/>
      <c r="F166" s="85"/>
      <c r="G166" s="14"/>
      <c r="H166" s="14"/>
      <c r="I166" s="85"/>
    </row>
    <row r="167" spans="2:9" ht="12.75">
      <c r="B167" s="13"/>
      <c r="C167" s="13"/>
      <c r="D167" s="14"/>
      <c r="E167" s="14"/>
      <c r="F167" s="85"/>
      <c r="G167" s="14"/>
      <c r="H167" s="14"/>
      <c r="I167" s="85"/>
    </row>
    <row r="168" spans="2:9" ht="12.75">
      <c r="B168" s="13"/>
      <c r="C168" s="13"/>
      <c r="D168" s="14"/>
      <c r="E168" s="14"/>
      <c r="F168" s="85"/>
      <c r="G168" s="14"/>
      <c r="H168" s="14"/>
      <c r="I168" s="85"/>
    </row>
    <row r="169" spans="2:9" ht="12.75">
      <c r="B169" s="13"/>
      <c r="C169" s="13"/>
      <c r="D169" s="14"/>
      <c r="E169" s="14"/>
      <c r="F169" s="85"/>
      <c r="G169" s="14"/>
      <c r="H169" s="14"/>
      <c r="I169" s="85"/>
    </row>
    <row r="170" spans="2:9" ht="12.75">
      <c r="B170" s="13"/>
      <c r="C170" s="13"/>
      <c r="D170" s="14"/>
      <c r="E170" s="14"/>
      <c r="F170" s="85"/>
      <c r="G170" s="14"/>
      <c r="H170" s="14"/>
      <c r="I170" s="85"/>
    </row>
    <row r="171" spans="2:9" ht="12.75">
      <c r="B171" s="13"/>
      <c r="C171" s="13"/>
      <c r="D171" s="14"/>
      <c r="E171" s="14"/>
      <c r="F171" s="85"/>
      <c r="G171" s="14"/>
      <c r="H171" s="14"/>
      <c r="I171" s="85"/>
    </row>
    <row r="172" spans="2:9" ht="12.75">
      <c r="B172" s="13"/>
      <c r="C172" s="13"/>
      <c r="D172" s="14"/>
      <c r="E172" s="14"/>
      <c r="F172" s="85"/>
      <c r="G172" s="14"/>
      <c r="H172" s="14"/>
      <c r="I172" s="85"/>
    </row>
    <row r="173" spans="2:9" ht="12.75">
      <c r="B173" s="13"/>
      <c r="C173" s="13"/>
      <c r="D173" s="14"/>
      <c r="E173" s="14"/>
      <c r="F173" s="85"/>
      <c r="G173" s="14"/>
      <c r="H173" s="14"/>
      <c r="I173" s="85"/>
    </row>
    <row r="174" spans="2:9" ht="12.75">
      <c r="B174" s="13"/>
      <c r="C174" s="13"/>
      <c r="D174" s="14"/>
      <c r="E174" s="14"/>
      <c r="F174" s="85"/>
      <c r="G174" s="14"/>
      <c r="H174" s="14"/>
      <c r="I174" s="85"/>
    </row>
    <row r="175" spans="2:9" ht="12.75">
      <c r="B175" s="13"/>
      <c r="C175" s="13"/>
      <c r="D175" s="14"/>
      <c r="E175" s="14"/>
      <c r="F175" s="85"/>
      <c r="G175" s="14"/>
      <c r="H175" s="14"/>
      <c r="I175" s="85"/>
    </row>
    <row r="176" spans="2:9" ht="12.75">
      <c r="B176" s="13"/>
      <c r="C176" s="13"/>
      <c r="D176" s="14"/>
      <c r="E176" s="14"/>
      <c r="F176" s="85"/>
      <c r="G176" s="14"/>
      <c r="H176" s="14"/>
      <c r="I176" s="85"/>
    </row>
    <row r="177" spans="2:9" ht="12.75">
      <c r="B177" s="13"/>
      <c r="C177" s="13"/>
      <c r="D177" s="14"/>
      <c r="E177" s="14"/>
      <c r="F177" s="85"/>
      <c r="G177" s="14"/>
      <c r="H177" s="14"/>
      <c r="I177" s="85"/>
    </row>
    <row r="178" spans="2:9" ht="12.75">
      <c r="B178" s="13"/>
      <c r="C178" s="13"/>
      <c r="D178" s="14"/>
      <c r="E178" s="14"/>
      <c r="F178" s="85"/>
      <c r="G178" s="14"/>
      <c r="H178" s="14"/>
      <c r="I178" s="85"/>
    </row>
    <row r="179" spans="2:9" ht="12.75">
      <c r="B179" s="13"/>
      <c r="C179" s="13"/>
      <c r="D179" s="14"/>
      <c r="E179" s="14"/>
      <c r="F179" s="85"/>
      <c r="G179" s="14"/>
      <c r="H179" s="14"/>
      <c r="I179" s="85"/>
    </row>
    <row r="180" spans="2:9" ht="12.75">
      <c r="B180" s="13"/>
      <c r="C180" s="13"/>
      <c r="D180" s="14"/>
      <c r="E180" s="14"/>
      <c r="F180" s="85"/>
      <c r="G180" s="14"/>
      <c r="H180" s="14"/>
      <c r="I180" s="85"/>
    </row>
    <row r="181" spans="2:9" ht="12.75">
      <c r="B181" s="13"/>
      <c r="C181" s="13"/>
      <c r="D181" s="14"/>
      <c r="E181" s="14"/>
      <c r="F181" s="85"/>
      <c r="G181" s="14"/>
      <c r="H181" s="14"/>
      <c r="I181" s="85"/>
    </row>
    <row r="182" spans="2:9" ht="12.75">
      <c r="B182" s="13"/>
      <c r="C182" s="13"/>
      <c r="D182" s="14"/>
      <c r="E182" s="14"/>
      <c r="F182" s="85"/>
      <c r="G182" s="14"/>
      <c r="H182" s="14"/>
      <c r="I182" s="85"/>
    </row>
    <row r="183" spans="2:9" ht="12.75">
      <c r="B183" s="13"/>
      <c r="C183" s="13"/>
      <c r="D183" s="14"/>
      <c r="E183" s="14"/>
      <c r="F183" s="85"/>
      <c r="G183" s="14"/>
      <c r="H183" s="14"/>
      <c r="I183" s="85"/>
    </row>
    <row r="184" spans="2:9" ht="12.75">
      <c r="B184" s="13"/>
      <c r="C184" s="13"/>
      <c r="D184" s="14"/>
      <c r="E184" s="14"/>
      <c r="F184" s="85"/>
      <c r="G184" s="14"/>
      <c r="H184" s="14"/>
      <c r="I184" s="85"/>
    </row>
    <row r="185" spans="2:9" ht="12.75">
      <c r="B185" s="13"/>
      <c r="C185" s="13"/>
      <c r="D185" s="14"/>
      <c r="E185" s="14"/>
      <c r="F185" s="85"/>
      <c r="G185" s="14"/>
      <c r="H185" s="14"/>
      <c r="I185" s="85"/>
    </row>
    <row r="186" spans="2:9" ht="12.75">
      <c r="B186" s="13"/>
      <c r="C186" s="13"/>
      <c r="D186" s="14"/>
      <c r="E186" s="14"/>
      <c r="F186" s="85"/>
      <c r="G186" s="14"/>
      <c r="H186" s="14"/>
      <c r="I186" s="85"/>
    </row>
    <row r="187" spans="2:9" ht="12.75">
      <c r="B187" s="13"/>
      <c r="C187" s="13"/>
      <c r="D187" s="14"/>
      <c r="E187" s="14"/>
      <c r="F187" s="85"/>
      <c r="G187" s="14"/>
      <c r="H187" s="14"/>
      <c r="I187" s="85"/>
    </row>
    <row r="188" spans="2:9" ht="12.75">
      <c r="B188" s="13"/>
      <c r="C188" s="13"/>
      <c r="D188" s="14"/>
      <c r="E188" s="14"/>
      <c r="F188" s="85"/>
      <c r="G188" s="14"/>
      <c r="H188" s="14"/>
      <c r="I188" s="85"/>
    </row>
    <row r="189" spans="2:9" ht="12.75">
      <c r="B189" s="13"/>
      <c r="C189" s="13"/>
      <c r="D189" s="14"/>
      <c r="E189" s="14"/>
      <c r="F189" s="85"/>
      <c r="G189" s="14"/>
      <c r="H189" s="14"/>
      <c r="I189" s="85"/>
    </row>
    <row r="190" spans="2:9" ht="12.75">
      <c r="B190" s="13"/>
      <c r="C190" s="13"/>
      <c r="D190" s="14"/>
      <c r="E190" s="14"/>
      <c r="F190" s="85"/>
      <c r="G190" s="14"/>
      <c r="H190" s="14"/>
      <c r="I190" s="85"/>
    </row>
    <row r="191" spans="2:9" ht="12.75">
      <c r="B191" s="13"/>
      <c r="C191" s="13"/>
      <c r="D191" s="14"/>
      <c r="E191" s="14"/>
      <c r="F191" s="85"/>
      <c r="G191" s="14"/>
      <c r="H191" s="14"/>
      <c r="I191" s="85"/>
    </row>
    <row r="192" spans="2:9" ht="12.75">
      <c r="B192" s="13"/>
      <c r="C192" s="13"/>
      <c r="D192" s="14"/>
      <c r="E192" s="14"/>
      <c r="F192" s="85"/>
      <c r="G192" s="14"/>
      <c r="H192" s="14"/>
      <c r="I192" s="85"/>
    </row>
    <row r="193" spans="2:9" ht="12.75">
      <c r="B193" s="13"/>
      <c r="C193" s="13"/>
      <c r="D193" s="14"/>
      <c r="E193" s="14"/>
      <c r="F193" s="85"/>
      <c r="G193" s="14"/>
      <c r="H193" s="14"/>
      <c r="I193" s="85"/>
    </row>
    <row r="194" spans="2:9" ht="12.75">
      <c r="B194" s="13"/>
      <c r="C194" s="13"/>
      <c r="D194" s="14"/>
      <c r="E194" s="14"/>
      <c r="F194" s="85"/>
      <c r="G194" s="14"/>
      <c r="H194" s="14"/>
      <c r="I194" s="85"/>
    </row>
    <row r="195" spans="2:9" ht="12.75">
      <c r="B195" s="13"/>
      <c r="C195" s="13"/>
      <c r="D195" s="13"/>
      <c r="E195" s="13"/>
      <c r="F195" s="27"/>
      <c r="G195" s="13"/>
      <c r="H195" s="13"/>
      <c r="I195" s="27"/>
    </row>
    <row r="196" spans="2:9" ht="12.75">
      <c r="B196" s="13"/>
      <c r="C196" s="13"/>
      <c r="D196" s="13"/>
      <c r="E196" s="13"/>
      <c r="F196" s="27"/>
      <c r="G196" s="13"/>
      <c r="H196" s="13"/>
      <c r="I196" s="27"/>
    </row>
    <row r="197" spans="2:9" ht="12.75">
      <c r="B197" s="13"/>
      <c r="C197" s="13"/>
      <c r="D197" s="13"/>
      <c r="E197" s="13"/>
      <c r="F197" s="27"/>
      <c r="G197" s="13"/>
      <c r="H197" s="13"/>
      <c r="I197" s="27"/>
    </row>
    <row r="198" spans="2:9" ht="12.75">
      <c r="B198" s="13"/>
      <c r="C198" s="13"/>
      <c r="D198" s="13"/>
      <c r="E198" s="13"/>
      <c r="F198" s="27"/>
      <c r="G198" s="13"/>
      <c r="H198" s="13"/>
      <c r="I198" s="27"/>
    </row>
    <row r="199" spans="2:9" ht="12.75">
      <c r="B199" s="13"/>
      <c r="C199" s="13"/>
      <c r="D199" s="13"/>
      <c r="E199" s="13"/>
      <c r="F199" s="27"/>
      <c r="G199" s="13"/>
      <c r="H199" s="13"/>
      <c r="I199" s="27"/>
    </row>
    <row r="200" spans="2:9" ht="12.75">
      <c r="B200" s="13"/>
      <c r="C200" s="13"/>
      <c r="D200" s="13"/>
      <c r="E200" s="13"/>
      <c r="F200" s="27"/>
      <c r="G200" s="13"/>
      <c r="H200" s="13"/>
      <c r="I200" s="27"/>
    </row>
    <row r="201" spans="2:9" ht="12.75">
      <c r="B201" s="13"/>
      <c r="C201" s="13"/>
      <c r="D201" s="13"/>
      <c r="E201" s="13"/>
      <c r="F201" s="27"/>
      <c r="G201" s="13"/>
      <c r="H201" s="13"/>
      <c r="I201" s="27"/>
    </row>
    <row r="202" spans="2:9" ht="12.75">
      <c r="B202" s="13"/>
      <c r="C202" s="13"/>
      <c r="D202" s="13"/>
      <c r="E202" s="13"/>
      <c r="F202" s="27"/>
      <c r="G202" s="13"/>
      <c r="H202" s="13"/>
      <c r="I202" s="27"/>
    </row>
    <row r="203" spans="2:9" ht="12.75">
      <c r="B203" s="13"/>
      <c r="C203" s="13"/>
      <c r="D203" s="13"/>
      <c r="E203" s="13"/>
      <c r="F203" s="27"/>
      <c r="G203" s="13"/>
      <c r="H203" s="13"/>
      <c r="I203" s="27"/>
    </row>
    <row r="204" spans="2:9" ht="12.75">
      <c r="B204" s="13"/>
      <c r="C204" s="13"/>
      <c r="D204" s="13"/>
      <c r="E204" s="13"/>
      <c r="F204" s="27"/>
      <c r="G204" s="13"/>
      <c r="H204" s="13"/>
      <c r="I204" s="27"/>
    </row>
    <row r="205" spans="2:9" ht="12.75">
      <c r="B205" s="13"/>
      <c r="C205" s="13"/>
      <c r="D205" s="13"/>
      <c r="E205" s="13"/>
      <c r="F205" s="27"/>
      <c r="G205" s="13"/>
      <c r="H205" s="13"/>
      <c r="I205" s="27"/>
    </row>
    <row r="206" spans="2:9" ht="12.75">
      <c r="B206" s="13"/>
      <c r="C206" s="13"/>
      <c r="D206" s="13"/>
      <c r="E206" s="13"/>
      <c r="F206" s="27"/>
      <c r="G206" s="13"/>
      <c r="H206" s="13"/>
      <c r="I206" s="27"/>
    </row>
    <row r="207" spans="2:9" ht="12.75">
      <c r="B207" s="13"/>
      <c r="C207" s="13"/>
      <c r="D207" s="13"/>
      <c r="E207" s="13"/>
      <c r="F207" s="27"/>
      <c r="G207" s="13"/>
      <c r="H207" s="13"/>
      <c r="I207" s="27"/>
    </row>
    <row r="208" spans="2:9" ht="12.75">
      <c r="B208" s="13"/>
      <c r="C208" s="13"/>
      <c r="D208" s="13"/>
      <c r="E208" s="13"/>
      <c r="F208" s="27"/>
      <c r="G208" s="13"/>
      <c r="H208" s="13"/>
      <c r="I208" s="27"/>
    </row>
    <row r="209" spans="2:9" ht="12.75">
      <c r="B209" s="13"/>
      <c r="C209" s="13"/>
      <c r="D209" s="13"/>
      <c r="E209" s="13"/>
      <c r="F209" s="27"/>
      <c r="G209" s="13"/>
      <c r="H209" s="13"/>
      <c r="I209" s="27"/>
    </row>
    <row r="210" spans="2:9" ht="12.75">
      <c r="B210" s="13"/>
      <c r="C210" s="13"/>
      <c r="D210" s="13"/>
      <c r="E210" s="13"/>
      <c r="F210" s="27"/>
      <c r="G210" s="13"/>
      <c r="H210" s="13"/>
      <c r="I210" s="27"/>
    </row>
    <row r="211" spans="2:9" ht="12.75">
      <c r="B211" s="13"/>
      <c r="C211" s="13"/>
      <c r="D211" s="13"/>
      <c r="E211" s="13"/>
      <c r="F211" s="27"/>
      <c r="G211" s="13"/>
      <c r="H211" s="13"/>
      <c r="I211" s="27"/>
    </row>
    <row r="212" spans="2:9" ht="12.75">
      <c r="B212" s="13"/>
      <c r="C212" s="13"/>
      <c r="D212" s="13"/>
      <c r="E212" s="13"/>
      <c r="F212" s="27"/>
      <c r="G212" s="13"/>
      <c r="H212" s="13"/>
      <c r="I212" s="27"/>
    </row>
    <row r="213" spans="2:9" ht="12.75">
      <c r="B213" s="13"/>
      <c r="C213" s="13"/>
      <c r="D213" s="13"/>
      <c r="E213" s="13"/>
      <c r="F213" s="27"/>
      <c r="G213" s="13"/>
      <c r="H213" s="13"/>
      <c r="I213" s="27"/>
    </row>
    <row r="214" spans="2:9" ht="12.75">
      <c r="B214" s="13"/>
      <c r="C214" s="13"/>
      <c r="D214" s="13"/>
      <c r="E214" s="13"/>
      <c r="F214" s="27"/>
      <c r="G214" s="13"/>
      <c r="H214" s="13"/>
      <c r="I214" s="27"/>
    </row>
    <row r="215" spans="2:9" ht="12.75">
      <c r="B215" s="13"/>
      <c r="C215" s="13"/>
      <c r="D215" s="13"/>
      <c r="E215" s="13"/>
      <c r="F215" s="27"/>
      <c r="G215" s="13"/>
      <c r="H215" s="13"/>
      <c r="I215" s="27"/>
    </row>
    <row r="216" spans="2:9" ht="12.75">
      <c r="B216" s="13"/>
      <c r="C216" s="13"/>
      <c r="D216" s="13"/>
      <c r="E216" s="13"/>
      <c r="F216" s="27"/>
      <c r="G216" s="13"/>
      <c r="H216" s="13"/>
      <c r="I216" s="27"/>
    </row>
    <row r="217" spans="2:9" ht="12.75">
      <c r="B217" s="13"/>
      <c r="C217" s="13"/>
      <c r="D217" s="13"/>
      <c r="E217" s="13"/>
      <c r="F217" s="27"/>
      <c r="G217" s="13"/>
      <c r="H217" s="13"/>
      <c r="I217" s="27"/>
    </row>
    <row r="218" spans="2:9" ht="12.75">
      <c r="B218" s="13"/>
      <c r="C218" s="13"/>
      <c r="D218" s="13"/>
      <c r="E218" s="13"/>
      <c r="F218" s="27"/>
      <c r="G218" s="13"/>
      <c r="H218" s="13"/>
      <c r="I218" s="27"/>
    </row>
    <row r="219" spans="2:9" ht="12.75">
      <c r="B219" s="13"/>
      <c r="C219" s="13"/>
      <c r="D219" s="13"/>
      <c r="E219" s="13"/>
      <c r="F219" s="27"/>
      <c r="G219" s="13"/>
      <c r="H219" s="13"/>
      <c r="I219" s="27"/>
    </row>
    <row r="220" spans="2:9" ht="12.75">
      <c r="B220" s="13"/>
      <c r="C220" s="13"/>
      <c r="D220" s="13"/>
      <c r="E220" s="13"/>
      <c r="F220" s="27"/>
      <c r="G220" s="13"/>
      <c r="H220" s="13"/>
      <c r="I220" s="27"/>
    </row>
    <row r="221" spans="2:9" ht="12.75">
      <c r="B221" s="13"/>
      <c r="C221" s="13"/>
      <c r="D221" s="13"/>
      <c r="E221" s="13"/>
      <c r="F221" s="27"/>
      <c r="G221" s="13"/>
      <c r="H221" s="13"/>
      <c r="I221" s="27"/>
    </row>
    <row r="222" spans="2:9" ht="12.75">
      <c r="B222" s="13"/>
      <c r="C222" s="13"/>
      <c r="D222" s="13"/>
      <c r="E222" s="13"/>
      <c r="F222" s="27"/>
      <c r="G222" s="13"/>
      <c r="H222" s="13"/>
      <c r="I222" s="27"/>
    </row>
    <row r="223" spans="2:9" ht="12.75">
      <c r="B223" s="13"/>
      <c r="C223" s="13"/>
      <c r="D223" s="13"/>
      <c r="E223" s="13"/>
      <c r="F223" s="27"/>
      <c r="G223" s="13"/>
      <c r="H223" s="13"/>
      <c r="I223" s="27"/>
    </row>
    <row r="224" spans="2:9" ht="12.75">
      <c r="B224" s="13"/>
      <c r="C224" s="13"/>
      <c r="D224" s="13"/>
      <c r="E224" s="13"/>
      <c r="F224" s="27"/>
      <c r="G224" s="13"/>
      <c r="H224" s="13"/>
      <c r="I224" s="27"/>
    </row>
    <row r="225" spans="2:9" ht="12.75">
      <c r="B225" s="13"/>
      <c r="C225" s="13"/>
      <c r="D225" s="13"/>
      <c r="E225" s="13"/>
      <c r="F225" s="27"/>
      <c r="G225" s="13"/>
      <c r="H225" s="13"/>
      <c r="I225" s="27"/>
    </row>
    <row r="226" spans="2:9" ht="12.75">
      <c r="B226" s="13"/>
      <c r="C226" s="13"/>
      <c r="D226" s="13"/>
      <c r="E226" s="13"/>
      <c r="F226" s="27"/>
      <c r="G226" s="13"/>
      <c r="H226" s="13"/>
      <c r="I226" s="27"/>
    </row>
    <row r="227" spans="2:9" ht="12.75">
      <c r="B227" s="13"/>
      <c r="C227" s="13"/>
      <c r="D227" s="13"/>
      <c r="E227" s="13"/>
      <c r="F227" s="27"/>
      <c r="G227" s="13"/>
      <c r="H227" s="13"/>
      <c r="I227" s="27"/>
    </row>
    <row r="228" spans="2:9" ht="12.75">
      <c r="B228" s="13"/>
      <c r="C228" s="13"/>
      <c r="D228" s="13"/>
      <c r="E228" s="13"/>
      <c r="F228" s="27"/>
      <c r="G228" s="13"/>
      <c r="H228" s="13"/>
      <c r="I228" s="27"/>
    </row>
    <row r="229" spans="2:9" ht="12.75">
      <c r="B229" s="13"/>
      <c r="C229" s="13"/>
      <c r="D229" s="13"/>
      <c r="E229" s="13"/>
      <c r="F229" s="27"/>
      <c r="G229" s="13"/>
      <c r="H229" s="13"/>
      <c r="I229" s="27"/>
    </row>
    <row r="230" spans="2:9" ht="12.75">
      <c r="B230" s="13"/>
      <c r="C230" s="13"/>
      <c r="D230" s="13"/>
      <c r="E230" s="13"/>
      <c r="F230" s="27"/>
      <c r="G230" s="13"/>
      <c r="H230" s="13"/>
      <c r="I230" s="27"/>
    </row>
    <row r="231" spans="2:9" ht="12.75">
      <c r="B231" s="13"/>
      <c r="C231" s="13"/>
      <c r="D231" s="13"/>
      <c r="E231" s="13"/>
      <c r="F231" s="27"/>
      <c r="G231" s="13"/>
      <c r="H231" s="13"/>
      <c r="I231" s="27"/>
    </row>
    <row r="232" spans="2:9" ht="12.75">
      <c r="B232" s="13"/>
      <c r="C232" s="13"/>
      <c r="D232" s="13"/>
      <c r="E232" s="13"/>
      <c r="F232" s="27"/>
      <c r="G232" s="13"/>
      <c r="H232" s="13"/>
      <c r="I232" s="27"/>
    </row>
    <row r="233" spans="2:9" ht="12.75">
      <c r="B233" s="13"/>
      <c r="C233" s="13"/>
      <c r="D233" s="13"/>
      <c r="E233" s="13"/>
      <c r="F233" s="27"/>
      <c r="G233" s="13"/>
      <c r="H233" s="13"/>
      <c r="I233" s="27"/>
    </row>
    <row r="234" spans="2:9" ht="12.75">
      <c r="B234" s="13"/>
      <c r="C234" s="13"/>
      <c r="D234" s="13"/>
      <c r="E234" s="13"/>
      <c r="F234" s="27"/>
      <c r="G234" s="13"/>
      <c r="H234" s="13"/>
      <c r="I234" s="27"/>
    </row>
    <row r="235" spans="2:9" ht="12.75">
      <c r="B235" s="13"/>
      <c r="C235" s="13"/>
      <c r="D235" s="13"/>
      <c r="E235" s="13"/>
      <c r="F235" s="27"/>
      <c r="G235" s="13"/>
      <c r="H235" s="13"/>
      <c r="I235" s="27"/>
    </row>
    <row r="236" spans="2:9" ht="12.75">
      <c r="B236" s="13"/>
      <c r="C236" s="13"/>
      <c r="D236" s="13"/>
      <c r="E236" s="13"/>
      <c r="F236" s="27"/>
      <c r="G236" s="13"/>
      <c r="H236" s="13"/>
      <c r="I236" s="27"/>
    </row>
    <row r="237" spans="2:9" ht="12.75">
      <c r="B237" s="13"/>
      <c r="C237" s="13"/>
      <c r="D237" s="13"/>
      <c r="E237" s="13"/>
      <c r="F237" s="27"/>
      <c r="G237" s="13"/>
      <c r="H237" s="13"/>
      <c r="I237" s="27"/>
    </row>
    <row r="238" spans="2:9" ht="12.75">
      <c r="B238" s="13"/>
      <c r="C238" s="13"/>
      <c r="D238" s="13"/>
      <c r="E238" s="13"/>
      <c r="F238" s="27"/>
      <c r="G238" s="13"/>
      <c r="H238" s="13"/>
      <c r="I238" s="27"/>
    </row>
    <row r="239" spans="2:9" ht="12.75">
      <c r="B239" s="13"/>
      <c r="C239" s="13"/>
      <c r="D239" s="13"/>
      <c r="E239" s="13"/>
      <c r="F239" s="27"/>
      <c r="G239" s="13"/>
      <c r="H239" s="13"/>
      <c r="I239" s="27"/>
    </row>
    <row r="240" spans="2:9" ht="12.75">
      <c r="B240" s="13"/>
      <c r="C240" s="13"/>
      <c r="D240" s="13"/>
      <c r="E240" s="13"/>
      <c r="F240" s="27"/>
      <c r="G240" s="13"/>
      <c r="H240" s="13"/>
      <c r="I240" s="27"/>
    </row>
    <row r="241" spans="2:9" ht="12.75">
      <c r="B241" s="13"/>
      <c r="C241" s="13"/>
      <c r="D241" s="13"/>
      <c r="E241" s="13"/>
      <c r="F241" s="27"/>
      <c r="G241" s="13"/>
      <c r="H241" s="13"/>
      <c r="I241" s="27"/>
    </row>
    <row r="242" spans="2:9" ht="12.75">
      <c r="B242" s="13"/>
      <c r="C242" s="13"/>
      <c r="D242" s="13"/>
      <c r="E242" s="13"/>
      <c r="F242" s="27"/>
      <c r="G242" s="13"/>
      <c r="H242" s="13"/>
      <c r="I242" s="27"/>
    </row>
    <row r="243" spans="2:9" ht="12.75">
      <c r="B243" s="13"/>
      <c r="C243" s="13"/>
      <c r="D243" s="13"/>
      <c r="E243" s="13"/>
      <c r="F243" s="27"/>
      <c r="G243" s="13"/>
      <c r="H243" s="13"/>
      <c r="I243" s="27"/>
    </row>
    <row r="244" spans="2:9" ht="12.75">
      <c r="B244" s="13"/>
      <c r="C244" s="13"/>
      <c r="D244" s="13"/>
      <c r="E244" s="13"/>
      <c r="F244" s="27"/>
      <c r="G244" s="13"/>
      <c r="H244" s="13"/>
      <c r="I244" s="27"/>
    </row>
    <row r="245" spans="2:9" ht="12.75">
      <c r="B245" s="13"/>
      <c r="C245" s="13"/>
      <c r="D245" s="13"/>
      <c r="E245" s="13"/>
      <c r="F245" s="27"/>
      <c r="G245" s="13"/>
      <c r="H245" s="13"/>
      <c r="I245" s="27"/>
    </row>
    <row r="246" spans="2:9" ht="12.75">
      <c r="B246" s="13"/>
      <c r="C246" s="13"/>
      <c r="D246" s="13"/>
      <c r="E246" s="13"/>
      <c r="F246" s="27"/>
      <c r="G246" s="13"/>
      <c r="H246" s="13"/>
      <c r="I246" s="27"/>
    </row>
    <row r="247" spans="2:9" ht="12.75">
      <c r="B247" s="13"/>
      <c r="C247" s="13"/>
      <c r="D247" s="13"/>
      <c r="E247" s="13"/>
      <c r="F247" s="27"/>
      <c r="G247" s="13"/>
      <c r="H247" s="13"/>
      <c r="I247" s="27"/>
    </row>
    <row r="248" spans="2:9" ht="12.75">
      <c r="B248" s="13"/>
      <c r="C248" s="13"/>
      <c r="D248" s="13"/>
      <c r="E248" s="13"/>
      <c r="F248" s="27"/>
      <c r="G248" s="13"/>
      <c r="H248" s="13"/>
      <c r="I248" s="27"/>
    </row>
    <row r="249" spans="2:9" ht="12.75">
      <c r="B249" s="13"/>
      <c r="C249" s="13"/>
      <c r="D249" s="13"/>
      <c r="E249" s="13"/>
      <c r="F249" s="27"/>
      <c r="G249" s="13"/>
      <c r="H249" s="13"/>
      <c r="I249" s="27"/>
    </row>
    <row r="250" spans="2:9" ht="12.75">
      <c r="B250" s="13"/>
      <c r="C250" s="13"/>
      <c r="D250" s="13"/>
      <c r="E250" s="13"/>
      <c r="F250" s="27"/>
      <c r="G250" s="13"/>
      <c r="H250" s="13"/>
      <c r="I250" s="27"/>
    </row>
    <row r="251" spans="2:9" ht="12.75">
      <c r="B251" s="13"/>
      <c r="C251" s="13"/>
      <c r="D251" s="13"/>
      <c r="E251" s="13"/>
      <c r="F251" s="27"/>
      <c r="G251" s="13"/>
      <c r="H251" s="13"/>
      <c r="I251" s="27"/>
    </row>
    <row r="252" spans="2:9" ht="12.75">
      <c r="B252" s="13"/>
      <c r="C252" s="13"/>
      <c r="D252" s="13"/>
      <c r="E252" s="13"/>
      <c r="F252" s="27"/>
      <c r="G252" s="13"/>
      <c r="H252" s="13"/>
      <c r="I252" s="27"/>
    </row>
    <row r="253" spans="2:9" ht="12.75">
      <c r="B253" s="13"/>
      <c r="C253" s="13"/>
      <c r="D253" s="13"/>
      <c r="E253" s="13"/>
      <c r="F253" s="27"/>
      <c r="G253" s="13"/>
      <c r="H253" s="13"/>
      <c r="I253" s="27"/>
    </row>
    <row r="254" spans="2:9" ht="12.75">
      <c r="B254" s="13"/>
      <c r="C254" s="13"/>
      <c r="D254" s="13"/>
      <c r="E254" s="13"/>
      <c r="F254" s="27"/>
      <c r="G254" s="13"/>
      <c r="H254" s="13"/>
      <c r="I254" s="27"/>
    </row>
    <row r="255" spans="2:9" ht="12.75">
      <c r="B255" s="13"/>
      <c r="C255" s="13"/>
      <c r="D255" s="13"/>
      <c r="E255" s="13"/>
      <c r="F255" s="27"/>
      <c r="G255" s="13"/>
      <c r="H255" s="13"/>
      <c r="I255" s="27"/>
    </row>
    <row r="256" spans="2:9" ht="12.75">
      <c r="B256" s="13"/>
      <c r="C256" s="13"/>
      <c r="D256" s="13"/>
      <c r="E256" s="13"/>
      <c r="F256" s="27"/>
      <c r="G256" s="13"/>
      <c r="H256" s="13"/>
      <c r="I256" s="27"/>
    </row>
    <row r="257" spans="2:9" ht="12.75">
      <c r="B257" s="13"/>
      <c r="C257" s="13"/>
      <c r="D257" s="13"/>
      <c r="E257" s="13"/>
      <c r="F257" s="27"/>
      <c r="G257" s="13"/>
      <c r="H257" s="13"/>
      <c r="I257" s="27"/>
    </row>
    <row r="258" spans="2:9" ht="12.75">
      <c r="B258" s="13"/>
      <c r="C258" s="13"/>
      <c r="D258" s="13"/>
      <c r="E258" s="13"/>
      <c r="F258" s="27"/>
      <c r="G258" s="13"/>
      <c r="H258" s="13"/>
      <c r="I258" s="27"/>
    </row>
    <row r="259" spans="2:9" ht="12.75">
      <c r="B259" s="13"/>
      <c r="C259" s="13"/>
      <c r="D259" s="13"/>
      <c r="E259" s="13"/>
      <c r="F259" s="27"/>
      <c r="G259" s="13"/>
      <c r="H259" s="13"/>
      <c r="I259" s="27"/>
    </row>
    <row r="260" spans="2:9" ht="12.7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298611111111111" right="0.39375" top="0.5902777777777778" bottom="0.5118055555555555" header="0.5118055555555555" footer="0.31527777777777777"/>
  <pageSetup horizontalDpi="300" verticalDpi="300" orientation="portrait" paperSize="9" scale="61"/>
  <headerFooter alignWithMargins="0">
    <oddFooter>&amp;R&amp;P</oddFooter>
  </headerFooter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B1">
      <selection activeCell="I1" sqref="I1"/>
    </sheetView>
  </sheetViews>
  <sheetFormatPr defaultColWidth="9.140625" defaultRowHeight="15"/>
  <cols>
    <col min="1" max="1" width="10.7109375" style="30" customWidth="1"/>
    <col min="2" max="2" width="72.28125" style="30" customWidth="1"/>
    <col min="3" max="3" width="10.00390625" style="30" customWidth="1"/>
    <col min="4" max="4" width="10.8515625" style="30" customWidth="1"/>
    <col min="5" max="5" width="11.00390625" style="30" customWidth="1"/>
    <col min="6" max="6" width="10.57421875" style="31" customWidth="1"/>
    <col min="7" max="7" width="10.8515625" style="30" customWidth="1"/>
    <col min="8" max="8" width="11.00390625" style="30" customWidth="1"/>
    <col min="9" max="9" width="10.57421875" style="31" customWidth="1"/>
    <col min="10" max="16384" width="9.140625" style="30" customWidth="1"/>
  </cols>
  <sheetData>
    <row r="1" spans="6:9" s="13" customFormat="1" ht="12.75">
      <c r="F1" s="32"/>
      <c r="I1" s="32" t="s">
        <v>611</v>
      </c>
    </row>
    <row r="2" spans="2:9" s="13" customFormat="1" ht="12.75">
      <c r="B2" s="240" t="s">
        <v>7</v>
      </c>
      <c r="F2" s="15"/>
      <c r="I2" s="15" t="s">
        <v>10</v>
      </c>
    </row>
    <row r="3" spans="2:9" s="13" customFormat="1" ht="12.75">
      <c r="B3" s="40" t="s">
        <v>593</v>
      </c>
      <c r="C3" s="36"/>
      <c r="D3" s="36"/>
      <c r="E3" s="36"/>
      <c r="F3" s="37"/>
      <c r="G3" s="36"/>
      <c r="H3" s="36"/>
      <c r="I3" s="37"/>
    </row>
    <row r="4" spans="2:9" s="13" customFormat="1" ht="12.75">
      <c r="B4" s="38" t="s">
        <v>41</v>
      </c>
      <c r="C4" s="39"/>
      <c r="D4" s="39"/>
      <c r="E4" s="39"/>
      <c r="F4" s="40"/>
      <c r="G4" s="39"/>
      <c r="H4" s="39"/>
      <c r="I4" s="40"/>
    </row>
    <row r="5" spans="2:9" ht="15.75" customHeight="1">
      <c r="B5" s="41"/>
      <c r="D5" s="92" t="s">
        <v>13</v>
      </c>
      <c r="E5" s="92"/>
      <c r="F5" s="92"/>
      <c r="G5" s="92" t="s">
        <v>14</v>
      </c>
      <c r="H5" s="92"/>
      <c r="I5" s="92"/>
    </row>
    <row r="6" spans="2:9" ht="12.75">
      <c r="B6" s="19" t="s">
        <v>15</v>
      </c>
      <c r="C6" s="42" t="s">
        <v>42</v>
      </c>
      <c r="D6" s="43" t="s">
        <v>16</v>
      </c>
      <c r="E6" s="43" t="s">
        <v>17</v>
      </c>
      <c r="F6" s="162" t="s">
        <v>528</v>
      </c>
      <c r="G6" s="43" t="s">
        <v>16</v>
      </c>
      <c r="H6" s="43" t="s">
        <v>17</v>
      </c>
      <c r="I6" s="162" t="s">
        <v>528</v>
      </c>
    </row>
    <row r="7" spans="2:9" ht="12.75">
      <c r="B7" s="45" t="s">
        <v>43</v>
      </c>
      <c r="C7" s="46" t="s">
        <v>44</v>
      </c>
      <c r="D7" s="24">
        <v>18270</v>
      </c>
      <c r="E7" s="24"/>
      <c r="F7" s="25">
        <f>+D7+E7</f>
        <v>18270</v>
      </c>
      <c r="G7" s="24">
        <v>18260</v>
      </c>
      <c r="H7" s="24"/>
      <c r="I7" s="25">
        <f>+G7+H7</f>
        <v>18260</v>
      </c>
    </row>
    <row r="8" spans="2:9" ht="12.75">
      <c r="B8" s="47" t="s">
        <v>45</v>
      </c>
      <c r="C8" s="46" t="s">
        <v>46</v>
      </c>
      <c r="D8" s="24">
        <v>1503</v>
      </c>
      <c r="E8" s="24"/>
      <c r="F8" s="25">
        <f>+D8+E8</f>
        <v>1503</v>
      </c>
      <c r="G8" s="24">
        <v>1725</v>
      </c>
      <c r="H8" s="24"/>
      <c r="I8" s="25">
        <f>+G8+H8</f>
        <v>1725</v>
      </c>
    </row>
    <row r="9" spans="2:9" ht="12.75">
      <c r="B9" s="48" t="s">
        <v>47</v>
      </c>
      <c r="C9" s="49" t="s">
        <v>48</v>
      </c>
      <c r="D9" s="25">
        <f>SUM(D7:D8)</f>
        <v>19773</v>
      </c>
      <c r="E9" s="25">
        <f>SUM(E7:E8)</f>
        <v>0</v>
      </c>
      <c r="F9" s="25">
        <f>SUM(F7:F8)</f>
        <v>19773</v>
      </c>
      <c r="G9" s="25">
        <f>SUM(G7:G8)</f>
        <v>19985</v>
      </c>
      <c r="H9" s="25">
        <f>SUM(H7:H8)</f>
        <v>0</v>
      </c>
      <c r="I9" s="25">
        <f>SUM(I7:I8)</f>
        <v>19985</v>
      </c>
    </row>
    <row r="10" spans="2:9" ht="12.75">
      <c r="B10" s="50" t="s">
        <v>603</v>
      </c>
      <c r="C10" s="49" t="s">
        <v>50</v>
      </c>
      <c r="D10" s="24">
        <v>5222</v>
      </c>
      <c r="E10" s="24"/>
      <c r="F10" s="25">
        <f>+D10+E10</f>
        <v>5222</v>
      </c>
      <c r="G10" s="24">
        <v>5279</v>
      </c>
      <c r="H10" s="24"/>
      <c r="I10" s="25">
        <f>+G10+H10</f>
        <v>5279</v>
      </c>
    </row>
    <row r="11" spans="2:9" ht="12.75">
      <c r="B11" s="47" t="s">
        <v>51</v>
      </c>
      <c r="C11" s="46" t="s">
        <v>52</v>
      </c>
      <c r="D11" s="24">
        <v>922</v>
      </c>
      <c r="E11" s="24"/>
      <c r="F11" s="25">
        <f>+D11+E11</f>
        <v>922</v>
      </c>
      <c r="G11" s="24">
        <v>922</v>
      </c>
      <c r="H11" s="24"/>
      <c r="I11" s="25">
        <f>+G11+H11</f>
        <v>922</v>
      </c>
    </row>
    <row r="12" spans="2:9" ht="12.75">
      <c r="B12" s="47" t="s">
        <v>53</v>
      </c>
      <c r="C12" s="46" t="s">
        <v>54</v>
      </c>
      <c r="D12" s="24">
        <v>670</v>
      </c>
      <c r="E12" s="24"/>
      <c r="F12" s="25">
        <f>+D12+E12</f>
        <v>670</v>
      </c>
      <c r="G12" s="24">
        <v>670</v>
      </c>
      <c r="H12" s="24"/>
      <c r="I12" s="25">
        <f>+G12+H12</f>
        <v>670</v>
      </c>
    </row>
    <row r="13" spans="2:9" ht="12.75">
      <c r="B13" s="47" t="s">
        <v>55</v>
      </c>
      <c r="C13" s="46" t="s">
        <v>56</v>
      </c>
      <c r="D13" s="24">
        <v>13490</v>
      </c>
      <c r="E13" s="24"/>
      <c r="F13" s="25">
        <f>+D13+E13</f>
        <v>13490</v>
      </c>
      <c r="G13" s="24">
        <v>14618</v>
      </c>
      <c r="H13" s="24"/>
      <c r="I13" s="25">
        <f>+G13+H13</f>
        <v>14618</v>
      </c>
    </row>
    <row r="14" spans="2:9" ht="12.75">
      <c r="B14" s="47" t="s">
        <v>57</v>
      </c>
      <c r="C14" s="46" t="s">
        <v>58</v>
      </c>
      <c r="D14" s="24">
        <v>230</v>
      </c>
      <c r="E14" s="24"/>
      <c r="F14" s="25">
        <f>+D14+E14</f>
        <v>230</v>
      </c>
      <c r="G14" s="24">
        <v>230</v>
      </c>
      <c r="H14" s="24"/>
      <c r="I14" s="25">
        <f>+G14+H14</f>
        <v>230</v>
      </c>
    </row>
    <row r="15" spans="2:9" ht="12.75">
      <c r="B15" s="47" t="s">
        <v>59</v>
      </c>
      <c r="C15" s="46" t="s">
        <v>60</v>
      </c>
      <c r="D15" s="24">
        <v>7597</v>
      </c>
      <c r="E15" s="24"/>
      <c r="F15" s="25">
        <f>+D15+E15</f>
        <v>7597</v>
      </c>
      <c r="G15" s="24">
        <v>7597</v>
      </c>
      <c r="H15" s="24"/>
      <c r="I15" s="25">
        <f>+G15+H15</f>
        <v>7597</v>
      </c>
    </row>
    <row r="16" spans="2:9" ht="12.75">
      <c r="B16" s="50" t="s">
        <v>61</v>
      </c>
      <c r="C16" s="49" t="s">
        <v>62</v>
      </c>
      <c r="D16" s="25">
        <f>SUM(D11:D15)</f>
        <v>22909</v>
      </c>
      <c r="E16" s="25">
        <f>SUM(E11:E15)</f>
        <v>0</v>
      </c>
      <c r="F16" s="25">
        <f>SUM(F11:F15)</f>
        <v>22909</v>
      </c>
      <c r="G16" s="25">
        <f>SUM(G11:G15)</f>
        <v>24037</v>
      </c>
      <c r="H16" s="25">
        <f>SUM(H11:H15)</f>
        <v>0</v>
      </c>
      <c r="I16" s="25">
        <f>SUM(I11:I15)</f>
        <v>24037</v>
      </c>
    </row>
    <row r="17" spans="2:9" ht="12.75">
      <c r="B17" s="51" t="s">
        <v>63</v>
      </c>
      <c r="C17" s="49" t="s">
        <v>64</v>
      </c>
      <c r="D17" s="24"/>
      <c r="E17" s="24"/>
      <c r="F17" s="25">
        <f>+D17+E17</f>
        <v>0</v>
      </c>
      <c r="G17" s="24"/>
      <c r="H17" s="24"/>
      <c r="I17" s="25">
        <f>+G17+H17</f>
        <v>0</v>
      </c>
    </row>
    <row r="18" spans="2:9" ht="12.75">
      <c r="B18" s="52" t="s">
        <v>65</v>
      </c>
      <c r="C18" s="46" t="s">
        <v>66</v>
      </c>
      <c r="D18" s="24"/>
      <c r="E18" s="24"/>
      <c r="F18" s="25">
        <f>+D18+E18</f>
        <v>0</v>
      </c>
      <c r="G18" s="24"/>
      <c r="H18" s="24"/>
      <c r="I18" s="25">
        <f>+G18+H18</f>
        <v>0</v>
      </c>
    </row>
    <row r="19" spans="2:9" ht="12.75">
      <c r="B19" s="52" t="s">
        <v>67</v>
      </c>
      <c r="C19" s="46" t="s">
        <v>68</v>
      </c>
      <c r="D19" s="24"/>
      <c r="E19" s="24"/>
      <c r="F19" s="25">
        <f>+D19+E19</f>
        <v>0</v>
      </c>
      <c r="G19" s="24"/>
      <c r="H19" s="24"/>
      <c r="I19" s="25">
        <f>+G19+H19</f>
        <v>0</v>
      </c>
    </row>
    <row r="20" spans="2:9" ht="12.75">
      <c r="B20" s="52" t="s">
        <v>69</v>
      </c>
      <c r="C20" s="46" t="s">
        <v>70</v>
      </c>
      <c r="D20" s="24"/>
      <c r="E20" s="24"/>
      <c r="F20" s="25">
        <f>+D20+E20</f>
        <v>0</v>
      </c>
      <c r="G20" s="24"/>
      <c r="H20" s="24"/>
      <c r="I20" s="25">
        <f>+G20+H20</f>
        <v>0</v>
      </c>
    </row>
    <row r="21" spans="2:9" ht="12.75">
      <c r="B21" s="52" t="s">
        <v>71</v>
      </c>
      <c r="C21" s="46" t="s">
        <v>72</v>
      </c>
      <c r="D21" s="24"/>
      <c r="E21" s="24"/>
      <c r="F21" s="25">
        <f>+D21+E21</f>
        <v>0</v>
      </c>
      <c r="G21" s="24"/>
      <c r="H21" s="24"/>
      <c r="I21" s="25">
        <f>+G21+H21</f>
        <v>0</v>
      </c>
    </row>
    <row r="22" spans="2:9" ht="12.75">
      <c r="B22" s="52" t="s">
        <v>73</v>
      </c>
      <c r="C22" s="46" t="s">
        <v>74</v>
      </c>
      <c r="D22" s="24"/>
      <c r="E22" s="24"/>
      <c r="F22" s="25">
        <f>+D22+E22</f>
        <v>0</v>
      </c>
      <c r="G22" s="24"/>
      <c r="H22" s="24"/>
      <c r="I22" s="25">
        <f>+G22+H22</f>
        <v>0</v>
      </c>
    </row>
    <row r="23" spans="2:9" ht="12.75">
      <c r="B23" s="52" t="s">
        <v>75</v>
      </c>
      <c r="C23" s="46" t="s">
        <v>76</v>
      </c>
      <c r="D23" s="24"/>
      <c r="E23" s="24"/>
      <c r="F23" s="25">
        <f>+D23+E23</f>
        <v>0</v>
      </c>
      <c r="G23" s="24"/>
      <c r="H23" s="24"/>
      <c r="I23" s="25">
        <f>+G23+H23</f>
        <v>0</v>
      </c>
    </row>
    <row r="24" spans="2:9" ht="12.75">
      <c r="B24" s="52" t="s">
        <v>77</v>
      </c>
      <c r="C24" s="46" t="s">
        <v>78</v>
      </c>
      <c r="D24" s="24"/>
      <c r="E24" s="24"/>
      <c r="F24" s="25">
        <f>+D24+E24</f>
        <v>0</v>
      </c>
      <c r="G24" s="24"/>
      <c r="H24" s="24"/>
      <c r="I24" s="25">
        <f>+G24+H24</f>
        <v>0</v>
      </c>
    </row>
    <row r="25" spans="2:9" ht="12.75">
      <c r="B25" s="52" t="s">
        <v>79</v>
      </c>
      <c r="C25" s="46" t="s">
        <v>80</v>
      </c>
      <c r="D25" s="24"/>
      <c r="E25" s="24"/>
      <c r="F25" s="25">
        <f>+D25+E25</f>
        <v>0</v>
      </c>
      <c r="G25" s="24"/>
      <c r="H25" s="24"/>
      <c r="I25" s="25">
        <f>+G25+H25</f>
        <v>0</v>
      </c>
    </row>
    <row r="26" spans="2:9" ht="12.75">
      <c r="B26" s="52" t="s">
        <v>81</v>
      </c>
      <c r="C26" s="46" t="s">
        <v>82</v>
      </c>
      <c r="D26" s="24"/>
      <c r="E26" s="24"/>
      <c r="F26" s="25">
        <f>+D26+E26</f>
        <v>0</v>
      </c>
      <c r="G26" s="24"/>
      <c r="H26" s="24"/>
      <c r="I26" s="25">
        <f>+G26+H26</f>
        <v>0</v>
      </c>
    </row>
    <row r="27" spans="2:9" ht="12.75">
      <c r="B27" s="53" t="s">
        <v>83</v>
      </c>
      <c r="C27" s="46" t="s">
        <v>84</v>
      </c>
      <c r="D27" s="24"/>
      <c r="E27" s="24"/>
      <c r="F27" s="25">
        <f>+D27+E27</f>
        <v>0</v>
      </c>
      <c r="G27" s="24"/>
      <c r="H27" s="24"/>
      <c r="I27" s="25">
        <f>+G27+H27</f>
        <v>0</v>
      </c>
    </row>
    <row r="28" spans="2:9" ht="12.75">
      <c r="B28" s="53" t="s">
        <v>595</v>
      </c>
      <c r="C28" s="46" t="s">
        <v>86</v>
      </c>
      <c r="D28" s="24"/>
      <c r="E28" s="24"/>
      <c r="F28" s="25">
        <f>+D28+E28</f>
        <v>0</v>
      </c>
      <c r="G28" s="24"/>
      <c r="H28" s="24"/>
      <c r="I28" s="25">
        <f>+G28+H28</f>
        <v>0</v>
      </c>
    </row>
    <row r="29" spans="2:9" ht="12.75">
      <c r="B29" s="52" t="s">
        <v>87</v>
      </c>
      <c r="C29" s="46" t="s">
        <v>88</v>
      </c>
      <c r="D29" s="24"/>
      <c r="E29" s="24"/>
      <c r="F29" s="25">
        <f>+D29+E29</f>
        <v>0</v>
      </c>
      <c r="G29" s="24"/>
      <c r="H29" s="24"/>
      <c r="I29" s="25">
        <f>+G29+H29</f>
        <v>0</v>
      </c>
    </row>
    <row r="30" spans="2:9" ht="12.75">
      <c r="B30" s="53" t="s">
        <v>89</v>
      </c>
      <c r="C30" s="46" t="s">
        <v>90</v>
      </c>
      <c r="D30" s="24"/>
      <c r="E30" s="24"/>
      <c r="F30" s="25">
        <f>+D30+E30</f>
        <v>0</v>
      </c>
      <c r="G30" s="24"/>
      <c r="H30" s="24"/>
      <c r="I30" s="25">
        <f>+G30+H30</f>
        <v>0</v>
      </c>
    </row>
    <row r="31" spans="2:9" ht="12.75">
      <c r="B31" s="53" t="s">
        <v>91</v>
      </c>
      <c r="C31" s="46" t="s">
        <v>90</v>
      </c>
      <c r="D31" s="24"/>
      <c r="E31" s="24"/>
      <c r="F31" s="25">
        <f>+D31+E31</f>
        <v>0</v>
      </c>
      <c r="G31" s="24"/>
      <c r="H31" s="24"/>
      <c r="I31" s="25">
        <f>+G31+H31</f>
        <v>0</v>
      </c>
    </row>
    <row r="32" spans="2:9" s="31" customFormat="1" ht="12.75">
      <c r="B32" s="51" t="s">
        <v>92</v>
      </c>
      <c r="C32" s="49" t="s">
        <v>93</v>
      </c>
      <c r="D32" s="25">
        <f>SUM(D18:D31)</f>
        <v>0</v>
      </c>
      <c r="E32" s="25">
        <f>SUM(E18:E31)</f>
        <v>0</v>
      </c>
      <c r="F32" s="25">
        <f>SUM(F18:F31)</f>
        <v>0</v>
      </c>
      <c r="G32" s="25">
        <f>SUM(G18:G31)</f>
        <v>0</v>
      </c>
      <c r="H32" s="25">
        <f>SUM(H18:H31)</f>
        <v>0</v>
      </c>
      <c r="I32" s="25">
        <f>SUM(I18:I31)</f>
        <v>0</v>
      </c>
    </row>
    <row r="33" spans="2:9" ht="12.75">
      <c r="B33" s="54" t="s">
        <v>94</v>
      </c>
      <c r="C33" s="55" t="s">
        <v>95</v>
      </c>
      <c r="D33" s="56">
        <f>+D32+D17+D16+D10+D9</f>
        <v>47904</v>
      </c>
      <c r="E33" s="56">
        <f>+E32+E17+E16+E10+E9</f>
        <v>0</v>
      </c>
      <c r="F33" s="56">
        <f>+F32+F17+F16+F10+F9</f>
        <v>47904</v>
      </c>
      <c r="G33" s="56">
        <f>+G32+G17+G16+G10+G9</f>
        <v>49301</v>
      </c>
      <c r="H33" s="56">
        <f>+H32+H17+H16+H10+H9</f>
        <v>0</v>
      </c>
      <c r="I33" s="56">
        <f>+I32+I17+I16+I10+I9</f>
        <v>49301</v>
      </c>
    </row>
    <row r="34" spans="2:9" ht="12.75">
      <c r="B34" s="57" t="s">
        <v>96</v>
      </c>
      <c r="C34" s="46" t="s">
        <v>97</v>
      </c>
      <c r="D34" s="24">
        <v>40</v>
      </c>
      <c r="E34" s="24"/>
      <c r="F34" s="25">
        <f>+D34+E34</f>
        <v>40</v>
      </c>
      <c r="G34" s="24">
        <v>40</v>
      </c>
      <c r="H34" s="24"/>
      <c r="I34" s="25">
        <f>+G34+H34</f>
        <v>40</v>
      </c>
    </row>
    <row r="35" spans="2:9" ht="12.75">
      <c r="B35" s="57" t="s">
        <v>98</v>
      </c>
      <c r="C35" s="46" t="s">
        <v>99</v>
      </c>
      <c r="D35" s="24"/>
      <c r="E35" s="24"/>
      <c r="F35" s="25">
        <f>+D35+E35</f>
        <v>0</v>
      </c>
      <c r="G35" s="24"/>
      <c r="H35" s="24"/>
      <c r="I35" s="25">
        <f>+G35+H35</f>
        <v>0</v>
      </c>
    </row>
    <row r="36" spans="2:9" ht="12.75">
      <c r="B36" s="57" t="s">
        <v>100</v>
      </c>
      <c r="C36" s="46" t="s">
        <v>101</v>
      </c>
      <c r="D36" s="24">
        <v>100</v>
      </c>
      <c r="E36" s="24"/>
      <c r="F36" s="25">
        <f>+D36+E36</f>
        <v>100</v>
      </c>
      <c r="G36" s="24">
        <v>100</v>
      </c>
      <c r="H36" s="24"/>
      <c r="I36" s="25">
        <f>+G36+H36</f>
        <v>100</v>
      </c>
    </row>
    <row r="37" spans="2:9" ht="12.75">
      <c r="B37" s="57" t="s">
        <v>102</v>
      </c>
      <c r="C37" s="46" t="s">
        <v>103</v>
      </c>
      <c r="D37" s="24">
        <v>195</v>
      </c>
      <c r="E37" s="24"/>
      <c r="F37" s="25">
        <f>+D37+E37</f>
        <v>195</v>
      </c>
      <c r="G37" s="24">
        <v>195</v>
      </c>
      <c r="H37" s="24"/>
      <c r="I37" s="25">
        <f>+G37+H37</f>
        <v>195</v>
      </c>
    </row>
    <row r="38" spans="2:9" ht="12.75">
      <c r="B38" s="58" t="s">
        <v>104</v>
      </c>
      <c r="C38" s="46" t="s">
        <v>105</v>
      </c>
      <c r="D38" s="24"/>
      <c r="E38" s="24"/>
      <c r="F38" s="25">
        <f>+D38+E38</f>
        <v>0</v>
      </c>
      <c r="G38" s="24"/>
      <c r="H38" s="24"/>
      <c r="I38" s="25">
        <f>+G38+H38</f>
        <v>0</v>
      </c>
    </row>
    <row r="39" spans="2:9" ht="12.75">
      <c r="B39" s="58" t="s">
        <v>106</v>
      </c>
      <c r="C39" s="46" t="s">
        <v>107</v>
      </c>
      <c r="D39" s="24"/>
      <c r="E39" s="24"/>
      <c r="F39" s="25">
        <f>+D39+E39</f>
        <v>0</v>
      </c>
      <c r="G39" s="24"/>
      <c r="H39" s="24"/>
      <c r="I39" s="25">
        <f>+G39+H39</f>
        <v>0</v>
      </c>
    </row>
    <row r="40" spans="2:9" ht="12.75">
      <c r="B40" s="58" t="s">
        <v>108</v>
      </c>
      <c r="C40" s="46" t="s">
        <v>109</v>
      </c>
      <c r="D40" s="24">
        <v>91</v>
      </c>
      <c r="E40" s="24"/>
      <c r="F40" s="25">
        <f>+D40+E40</f>
        <v>91</v>
      </c>
      <c r="G40" s="24">
        <v>91</v>
      </c>
      <c r="H40" s="24"/>
      <c r="I40" s="25">
        <f>+G40+H40</f>
        <v>91</v>
      </c>
    </row>
    <row r="41" spans="2:9" s="31" customFormat="1" ht="12.75">
      <c r="B41" s="59" t="s">
        <v>110</v>
      </c>
      <c r="C41" s="49" t="s">
        <v>111</v>
      </c>
      <c r="D41" s="25">
        <f>SUM(D34:D40)</f>
        <v>426</v>
      </c>
      <c r="E41" s="25">
        <f>SUM(E34:E40)</f>
        <v>0</v>
      </c>
      <c r="F41" s="25">
        <f>SUM(F34:F40)</f>
        <v>426</v>
      </c>
      <c r="G41" s="25">
        <f>SUM(G34:G40)</f>
        <v>426</v>
      </c>
      <c r="H41" s="25">
        <f>SUM(H34:H40)</f>
        <v>0</v>
      </c>
      <c r="I41" s="25">
        <f>SUM(I34:I40)</f>
        <v>426</v>
      </c>
    </row>
    <row r="42" spans="2:9" ht="12.75">
      <c r="B42" s="60" t="s">
        <v>112</v>
      </c>
      <c r="C42" s="46" t="s">
        <v>113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ht="12.75">
      <c r="B43" s="60" t="s">
        <v>114</v>
      </c>
      <c r="C43" s="46" t="s">
        <v>115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ht="12.75">
      <c r="B44" s="60" t="s">
        <v>116</v>
      </c>
      <c r="C44" s="46" t="s">
        <v>117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ht="12.75">
      <c r="B45" s="60" t="s">
        <v>118</v>
      </c>
      <c r="C45" s="46" t="s">
        <v>119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ht="12.75">
      <c r="B46" s="50" t="s">
        <v>120</v>
      </c>
      <c r="C46" s="49" t="s">
        <v>121</v>
      </c>
      <c r="D46" s="25">
        <f>SUM(D42:D45)</f>
        <v>0</v>
      </c>
      <c r="E46" s="25">
        <f>SUM(E42:E45)</f>
        <v>0</v>
      </c>
      <c r="F46" s="25">
        <f>SUM(F42:F45)</f>
        <v>0</v>
      </c>
      <c r="G46" s="25">
        <f>SUM(G42:G45)</f>
        <v>0</v>
      </c>
      <c r="H46" s="25">
        <f>SUM(H42:H45)</f>
        <v>0</v>
      </c>
      <c r="I46" s="25">
        <f>SUM(I42:I45)</f>
        <v>0</v>
      </c>
    </row>
    <row r="47" spans="2:9" ht="12.75">
      <c r="B47" s="60" t="s">
        <v>122</v>
      </c>
      <c r="C47" s="46" t="s">
        <v>123</v>
      </c>
      <c r="D47" s="24"/>
      <c r="E47" s="24"/>
      <c r="F47" s="25">
        <f>+D47+E47</f>
        <v>0</v>
      </c>
      <c r="G47" s="24"/>
      <c r="H47" s="24"/>
      <c r="I47" s="25">
        <f>+G47+H47</f>
        <v>0</v>
      </c>
    </row>
    <row r="48" spans="2:9" ht="12.75">
      <c r="B48" s="60" t="s">
        <v>124</v>
      </c>
      <c r="C48" s="46" t="s">
        <v>125</v>
      </c>
      <c r="D48" s="24"/>
      <c r="E48" s="24"/>
      <c r="F48" s="25">
        <f>+D48+E48</f>
        <v>0</v>
      </c>
      <c r="G48" s="24"/>
      <c r="H48" s="24"/>
      <c r="I48" s="25">
        <f>+G48+H48</f>
        <v>0</v>
      </c>
    </row>
    <row r="49" spans="2:9" ht="12.75">
      <c r="B49" s="60" t="s">
        <v>126</v>
      </c>
      <c r="C49" s="46" t="s">
        <v>127</v>
      </c>
      <c r="D49" s="24"/>
      <c r="E49" s="24"/>
      <c r="F49" s="25">
        <f>+D49+E49</f>
        <v>0</v>
      </c>
      <c r="G49" s="24"/>
      <c r="H49" s="24"/>
      <c r="I49" s="25">
        <f>+G49+H49</f>
        <v>0</v>
      </c>
    </row>
    <row r="50" spans="2:9" ht="12.75">
      <c r="B50" s="60" t="s">
        <v>128</v>
      </c>
      <c r="C50" s="46" t="s">
        <v>129</v>
      </c>
      <c r="D50" s="24"/>
      <c r="E50" s="24"/>
      <c r="F50" s="25">
        <f>+D50+E50</f>
        <v>0</v>
      </c>
      <c r="G50" s="24"/>
      <c r="H50" s="24"/>
      <c r="I50" s="25">
        <f>+G50+H50</f>
        <v>0</v>
      </c>
    </row>
    <row r="51" spans="2:9" ht="12.75">
      <c r="B51" s="60" t="s">
        <v>130</v>
      </c>
      <c r="C51" s="46" t="s">
        <v>131</v>
      </c>
      <c r="D51" s="24"/>
      <c r="E51" s="24"/>
      <c r="F51" s="25">
        <f>+D51+E51</f>
        <v>0</v>
      </c>
      <c r="G51" s="24"/>
      <c r="H51" s="24"/>
      <c r="I51" s="25">
        <f>+G51+H51</f>
        <v>0</v>
      </c>
    </row>
    <row r="52" spans="2:9" ht="12.75">
      <c r="B52" s="60" t="s">
        <v>132</v>
      </c>
      <c r="C52" s="46" t="s">
        <v>133</v>
      </c>
      <c r="D52" s="24"/>
      <c r="E52" s="24"/>
      <c r="F52" s="25">
        <f>+D52+E52</f>
        <v>0</v>
      </c>
      <c r="G52" s="24"/>
      <c r="H52" s="24"/>
      <c r="I52" s="25">
        <f>+G52+H52</f>
        <v>0</v>
      </c>
    </row>
    <row r="53" spans="2:9" ht="12.75">
      <c r="B53" s="60" t="s">
        <v>134</v>
      </c>
      <c r="C53" s="46" t="s">
        <v>135</v>
      </c>
      <c r="D53" s="24"/>
      <c r="E53" s="24"/>
      <c r="F53" s="25">
        <f>+D53+E53</f>
        <v>0</v>
      </c>
      <c r="G53" s="24"/>
      <c r="H53" s="24"/>
      <c r="I53" s="25">
        <f>+G53+H53</f>
        <v>0</v>
      </c>
    </row>
    <row r="54" spans="2:9" ht="12.75">
      <c r="B54" s="53" t="s">
        <v>596</v>
      </c>
      <c r="C54" s="46" t="s">
        <v>137</v>
      </c>
      <c r="D54" s="24"/>
      <c r="E54" s="24"/>
      <c r="F54" s="25">
        <f>+D54+E54</f>
        <v>0</v>
      </c>
      <c r="G54" s="24"/>
      <c r="H54" s="24"/>
      <c r="I54" s="25">
        <f>+G54+H54</f>
        <v>0</v>
      </c>
    </row>
    <row r="55" spans="2:9" ht="12.75">
      <c r="B55" s="60" t="s">
        <v>138</v>
      </c>
      <c r="C55" s="46" t="s">
        <v>139</v>
      </c>
      <c r="D55" s="24"/>
      <c r="E55" s="24"/>
      <c r="F55" s="25">
        <f>+D55+E55</f>
        <v>0</v>
      </c>
      <c r="G55" s="24"/>
      <c r="H55" s="24"/>
      <c r="I55" s="25">
        <f>+G55+H55</f>
        <v>0</v>
      </c>
    </row>
    <row r="56" spans="2:9" s="31" customFormat="1" ht="12.75">
      <c r="B56" s="51" t="s">
        <v>140</v>
      </c>
      <c r="C56" s="49" t="s">
        <v>141</v>
      </c>
      <c r="D56" s="25">
        <f>SUM(D47:D55)</f>
        <v>0</v>
      </c>
      <c r="E56" s="25">
        <f>SUM(E47:E55)</f>
        <v>0</v>
      </c>
      <c r="F56" s="25">
        <f>SUM(F47:F55)</f>
        <v>0</v>
      </c>
      <c r="G56" s="25">
        <f>SUM(G47:G55)</f>
        <v>0</v>
      </c>
      <c r="H56" s="25">
        <f>SUM(H47:H55)</f>
        <v>0</v>
      </c>
      <c r="I56" s="25">
        <f>SUM(I47:I55)</f>
        <v>0</v>
      </c>
    </row>
    <row r="57" spans="2:9" ht="12.75">
      <c r="B57" s="54" t="s">
        <v>142</v>
      </c>
      <c r="C57" s="55" t="s">
        <v>143</v>
      </c>
      <c r="D57" s="56">
        <f>+D56+D46+D41</f>
        <v>426</v>
      </c>
      <c r="E57" s="56">
        <f>+E56+E46+E41</f>
        <v>0</v>
      </c>
      <c r="F57" s="56">
        <f>+F56+F46+F41</f>
        <v>426</v>
      </c>
      <c r="G57" s="56">
        <f>+G56+G46+G41</f>
        <v>426</v>
      </c>
      <c r="H57" s="56">
        <f>+H56+H46+H41</f>
        <v>0</v>
      </c>
      <c r="I57" s="56">
        <f>+I56+I46+I41</f>
        <v>426</v>
      </c>
    </row>
    <row r="58" spans="2:9" ht="12.75">
      <c r="B58" s="61" t="s">
        <v>144</v>
      </c>
      <c r="C58" s="62" t="s">
        <v>145</v>
      </c>
      <c r="D58" s="63">
        <f>+D56+D46+D41+D32+D17+D16+D10+D9</f>
        <v>48330</v>
      </c>
      <c r="E58" s="63">
        <f>+E56+E46+E41+E32+E17+E16+E10+E9</f>
        <v>0</v>
      </c>
      <c r="F58" s="63">
        <f>+F56+F46+F41+F32+F17+F16+F10+F9</f>
        <v>48330</v>
      </c>
      <c r="G58" s="63">
        <f>+G56+G46+G41+G32+G17+G16+G10+G9</f>
        <v>49727</v>
      </c>
      <c r="H58" s="63">
        <f>+H56+H46+H41+H32+H17+H16+H10+H9</f>
        <v>0</v>
      </c>
      <c r="I58" s="63">
        <f>+I56+I46+I41+I32+I17+I16+I10+I9</f>
        <v>49727</v>
      </c>
    </row>
    <row r="59" spans="2:22" ht="12.75">
      <c r="B59" s="68" t="s">
        <v>582</v>
      </c>
      <c r="C59" s="47" t="s">
        <v>171</v>
      </c>
      <c r="D59" s="241"/>
      <c r="E59" s="241"/>
      <c r="F59" s="24">
        <f>+D59+E59</f>
        <v>0</v>
      </c>
      <c r="G59" s="241"/>
      <c r="H59" s="241"/>
      <c r="I59" s="24">
        <f>+G59+H59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/>
      <c r="V59" s="65"/>
    </row>
    <row r="60" spans="2:22" ht="12.75">
      <c r="B60" s="68" t="s">
        <v>172</v>
      </c>
      <c r="C60" s="47" t="s">
        <v>173</v>
      </c>
      <c r="D60" s="241"/>
      <c r="E60" s="241"/>
      <c r="F60" s="24">
        <f>+D60+E60</f>
        <v>0</v>
      </c>
      <c r="G60" s="241"/>
      <c r="H60" s="241"/>
      <c r="I60" s="24">
        <f>+G60+H60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/>
      <c r="V60" s="65"/>
    </row>
    <row r="61" spans="2:22" ht="12.75">
      <c r="B61" s="60" t="s">
        <v>174</v>
      </c>
      <c r="C61" s="47" t="s">
        <v>175</v>
      </c>
      <c r="D61" s="241"/>
      <c r="E61" s="241"/>
      <c r="F61" s="24">
        <f>+D61+E61</f>
        <v>0</v>
      </c>
      <c r="G61" s="241"/>
      <c r="H61" s="241"/>
      <c r="I61" s="24">
        <f>+G61+H61</f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5"/>
    </row>
    <row r="62" spans="2:22" ht="12.75">
      <c r="B62" s="60" t="s">
        <v>176</v>
      </c>
      <c r="C62" s="47" t="s">
        <v>177</v>
      </c>
      <c r="D62" s="241"/>
      <c r="E62" s="241"/>
      <c r="F62" s="24">
        <f>+D62+E62</f>
        <v>0</v>
      </c>
      <c r="G62" s="241"/>
      <c r="H62" s="241"/>
      <c r="I62" s="24">
        <f>+G62+H62</f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5"/>
    </row>
    <row r="63" spans="2:22" ht="12.75">
      <c r="B63" s="73" t="s">
        <v>178</v>
      </c>
      <c r="C63" s="74" t="s">
        <v>179</v>
      </c>
      <c r="D63" s="75">
        <f>+D61+D60+D59+D62</f>
        <v>0</v>
      </c>
      <c r="E63" s="75">
        <f>+E61+E60+E59+E62</f>
        <v>0</v>
      </c>
      <c r="F63" s="75">
        <f>+F61+F60+F59+F62</f>
        <v>0</v>
      </c>
      <c r="G63" s="75">
        <f>+G61+G60+G59+G62</f>
        <v>0</v>
      </c>
      <c r="H63" s="75">
        <f>+H61+H60+H59+H62</f>
        <v>0</v>
      </c>
      <c r="I63" s="75">
        <f>+I61+I60+I59+I62</f>
        <v>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5"/>
      <c r="V63" s="65"/>
    </row>
    <row r="64" spans="2:22" ht="12.75">
      <c r="B64" s="28" t="s">
        <v>180</v>
      </c>
      <c r="C64" s="28" t="s">
        <v>181</v>
      </c>
      <c r="D64" s="29">
        <f>+D58+D63</f>
        <v>48330</v>
      </c>
      <c r="E64" s="29">
        <f>+E58+E63</f>
        <v>0</v>
      </c>
      <c r="F64" s="29">
        <f>+F58+F63</f>
        <v>48330</v>
      </c>
      <c r="G64" s="29">
        <f>+G58+G63</f>
        <v>49727</v>
      </c>
      <c r="H64" s="29">
        <f>+H58+H63</f>
        <v>0</v>
      </c>
      <c r="I64" s="29">
        <f>+I58+I63</f>
        <v>49727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13"/>
      <c r="C65" s="76"/>
      <c r="D65" s="77"/>
      <c r="E65" s="77"/>
      <c r="F65" s="78"/>
      <c r="G65" s="77"/>
      <c r="H65" s="77"/>
      <c r="I65" s="7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2:22" ht="15.75" customHeight="1" hidden="1">
      <c r="B66" s="13"/>
      <c r="C66" s="76"/>
      <c r="D66" s="92" t="s">
        <v>14</v>
      </c>
      <c r="E66" s="92"/>
      <c r="F66" s="92"/>
      <c r="G66" s="92" t="s">
        <v>14</v>
      </c>
      <c r="H66" s="92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2:22" ht="12.75">
      <c r="B67" s="19" t="s">
        <v>15</v>
      </c>
      <c r="C67" s="42" t="s">
        <v>182</v>
      </c>
      <c r="D67" s="43" t="s">
        <v>16</v>
      </c>
      <c r="E67" s="43" t="s">
        <v>17</v>
      </c>
      <c r="F67" s="162" t="s">
        <v>528</v>
      </c>
      <c r="G67" s="43" t="s">
        <v>16</v>
      </c>
      <c r="H67" s="43" t="s">
        <v>17</v>
      </c>
      <c r="I67" s="162" t="s">
        <v>528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2:22" ht="12.75">
      <c r="B68" s="50" t="s">
        <v>584</v>
      </c>
      <c r="C68" s="59" t="s">
        <v>196</v>
      </c>
      <c r="D68" s="25"/>
      <c r="E68" s="25"/>
      <c r="F68" s="25">
        <f>+E68+D68</f>
        <v>0</v>
      </c>
      <c r="G68" s="25"/>
      <c r="H68" s="25"/>
      <c r="I68" s="25">
        <f>+H68+G68</f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2:22" ht="12.75">
      <c r="B69" s="47" t="s">
        <v>197</v>
      </c>
      <c r="C69" s="58" t="s">
        <v>198</v>
      </c>
      <c r="D69" s="25"/>
      <c r="E69" s="25"/>
      <c r="F69" s="25">
        <f>+E69+D69</f>
        <v>0</v>
      </c>
      <c r="G69" s="25"/>
      <c r="H69" s="25"/>
      <c r="I69" s="25">
        <f>+H69+G69</f>
        <v>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2:22" ht="12.75">
      <c r="B70" s="47" t="s">
        <v>199</v>
      </c>
      <c r="C70" s="58" t="s">
        <v>200</v>
      </c>
      <c r="D70" s="25"/>
      <c r="E70" s="25"/>
      <c r="F70" s="25">
        <f>+E70+D70</f>
        <v>0</v>
      </c>
      <c r="G70" s="25"/>
      <c r="H70" s="25"/>
      <c r="I70" s="25">
        <f>+H70+G70</f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2:22" ht="12.75">
      <c r="B71" s="47" t="s">
        <v>201</v>
      </c>
      <c r="C71" s="58" t="s">
        <v>202</v>
      </c>
      <c r="D71" s="25"/>
      <c r="E71" s="25"/>
      <c r="F71" s="25">
        <f>+E71+D71</f>
        <v>0</v>
      </c>
      <c r="G71" s="25"/>
      <c r="H71" s="25"/>
      <c r="I71" s="25">
        <f>+H71+G71</f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2:22" ht="12.75">
      <c r="B72" s="47" t="s">
        <v>203</v>
      </c>
      <c r="C72" s="58" t="s">
        <v>204</v>
      </c>
      <c r="D72" s="25"/>
      <c r="E72" s="25"/>
      <c r="F72" s="25">
        <f>+E72+D72</f>
        <v>0</v>
      </c>
      <c r="G72" s="25"/>
      <c r="H72" s="25"/>
      <c r="I72" s="25">
        <f>+H72+G72</f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2:22" ht="12.75">
      <c r="B73" s="47" t="s">
        <v>205</v>
      </c>
      <c r="C73" s="58" t="s">
        <v>206</v>
      </c>
      <c r="D73" s="24">
        <v>1280</v>
      </c>
      <c r="E73" s="24"/>
      <c r="F73" s="25">
        <f>+E73+D73</f>
        <v>1280</v>
      </c>
      <c r="G73" s="24">
        <v>1280</v>
      </c>
      <c r="H73" s="24"/>
      <c r="I73" s="25">
        <f>+H73+G73</f>
        <v>1280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2.75">
      <c r="B74" s="50" t="s">
        <v>207</v>
      </c>
      <c r="C74" s="59" t="s">
        <v>208</v>
      </c>
      <c r="D74" s="25">
        <f>+D73+D72+D71+D70+D69+D68</f>
        <v>1280</v>
      </c>
      <c r="E74" s="25">
        <f>+E73+E72+E71+E70+E69+E68</f>
        <v>0</v>
      </c>
      <c r="F74" s="25">
        <f>+F73+F72+F71+F70+F69+F68</f>
        <v>1280</v>
      </c>
      <c r="G74" s="25">
        <f>+G73+G72+G71+G70+G69+G68</f>
        <v>1280</v>
      </c>
      <c r="H74" s="25">
        <f>+H73+H72+H71+H70+H69+H68</f>
        <v>0</v>
      </c>
      <c r="I74" s="25">
        <f>+I73+I72+I71+I70+I69+I68</f>
        <v>1280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2.75">
      <c r="B75" s="50" t="s">
        <v>209</v>
      </c>
      <c r="C75" s="59" t="s">
        <v>210</v>
      </c>
      <c r="D75" s="24"/>
      <c r="E75" s="24"/>
      <c r="F75" s="25">
        <f>+E75+D75</f>
        <v>0</v>
      </c>
      <c r="G75" s="24"/>
      <c r="H75" s="24"/>
      <c r="I75" s="25">
        <f>+H75+G75</f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2:22" ht="12.75" hidden="1">
      <c r="B76" s="47" t="s">
        <v>211</v>
      </c>
      <c r="C76" s="58" t="s">
        <v>212</v>
      </c>
      <c r="D76" s="24"/>
      <c r="E76" s="24"/>
      <c r="F76" s="25">
        <f>+E76+D76</f>
        <v>0</v>
      </c>
      <c r="G76" s="24"/>
      <c r="H76" s="24"/>
      <c r="I76" s="25">
        <f>+H76+G76</f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2.75" hidden="1">
      <c r="B77" s="47" t="s">
        <v>213</v>
      </c>
      <c r="C77" s="58" t="s">
        <v>214</v>
      </c>
      <c r="D77" s="24"/>
      <c r="E77" s="24"/>
      <c r="F77" s="25">
        <f>+E77+D77</f>
        <v>0</v>
      </c>
      <c r="G77" s="24"/>
      <c r="H77" s="24"/>
      <c r="I77" s="25">
        <f>+H77+G77</f>
        <v>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2:22" ht="12.75" hidden="1">
      <c r="B78" s="47" t="s">
        <v>215</v>
      </c>
      <c r="C78" s="58" t="s">
        <v>216</v>
      </c>
      <c r="D78" s="24"/>
      <c r="E78" s="24"/>
      <c r="F78" s="25">
        <f>+E78+D78</f>
        <v>0</v>
      </c>
      <c r="G78" s="24"/>
      <c r="H78" s="24"/>
      <c r="I78" s="25">
        <f>+H78+G78</f>
        <v>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2:22" ht="12.75" hidden="1">
      <c r="B79" s="47" t="s">
        <v>217</v>
      </c>
      <c r="C79" s="58" t="s">
        <v>218</v>
      </c>
      <c r="D79" s="24"/>
      <c r="E79" s="24"/>
      <c r="F79" s="25">
        <f>+E79+D79</f>
        <v>0</v>
      </c>
      <c r="G79" s="24"/>
      <c r="H79" s="24"/>
      <c r="I79" s="25">
        <f>+H79+G79</f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2:22" ht="12.75" hidden="1">
      <c r="B80" s="47" t="s">
        <v>219</v>
      </c>
      <c r="C80" s="58" t="s">
        <v>220</v>
      </c>
      <c r="D80" s="24"/>
      <c r="E80" s="24"/>
      <c r="F80" s="25">
        <f>+E80+D80</f>
        <v>0</v>
      </c>
      <c r="G80" s="24"/>
      <c r="H80" s="24"/>
      <c r="I80" s="25">
        <f>+H80+G80</f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2:22" ht="12.75" hidden="1">
      <c r="B81" s="47" t="s">
        <v>221</v>
      </c>
      <c r="C81" s="58" t="s">
        <v>222</v>
      </c>
      <c r="D81" s="24"/>
      <c r="E81" s="24"/>
      <c r="F81" s="25">
        <f>+E81+D81</f>
        <v>0</v>
      </c>
      <c r="G81" s="24"/>
      <c r="H81" s="24"/>
      <c r="I81" s="25">
        <f>+H81+G81</f>
        <v>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2:22" ht="12.75">
      <c r="B82" s="50" t="s">
        <v>223</v>
      </c>
      <c r="C82" s="59" t="s">
        <v>224</v>
      </c>
      <c r="D82" s="25">
        <f>SUM(D76:D81)</f>
        <v>0</v>
      </c>
      <c r="E82" s="25">
        <f>SUM(E76:E81)</f>
        <v>0</v>
      </c>
      <c r="F82" s="25">
        <f>SUM(F76:F81)</f>
        <v>0</v>
      </c>
      <c r="G82" s="25">
        <f>SUM(G76:G81)</f>
        <v>0</v>
      </c>
      <c r="H82" s="25">
        <f>SUM(H76:H81)</f>
        <v>0</v>
      </c>
      <c r="I82" s="25">
        <f>SUM(I76:I81)</f>
        <v>0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2:22" ht="12.75">
      <c r="B83" s="60" t="s">
        <v>585</v>
      </c>
      <c r="C83" s="58" t="s">
        <v>226</v>
      </c>
      <c r="D83" s="24"/>
      <c r="E83" s="24"/>
      <c r="F83" s="25">
        <f>+E83+D83</f>
        <v>0</v>
      </c>
      <c r="G83" s="24"/>
      <c r="H83" s="24"/>
      <c r="I83" s="25">
        <f>+H83+G83</f>
        <v>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2:22" ht="12.75">
      <c r="B84" s="60" t="s">
        <v>227</v>
      </c>
      <c r="C84" s="58" t="s">
        <v>228</v>
      </c>
      <c r="D84" s="24">
        <v>8470</v>
      </c>
      <c r="E84" s="24"/>
      <c r="F84" s="25">
        <f>+E84+D84</f>
        <v>8470</v>
      </c>
      <c r="G84" s="24">
        <v>8470</v>
      </c>
      <c r="H84" s="24"/>
      <c r="I84" s="25">
        <f>+H84+G84</f>
        <v>8470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2:22" ht="12.75">
      <c r="B85" s="60" t="s">
        <v>229</v>
      </c>
      <c r="C85" s="58" t="s">
        <v>230</v>
      </c>
      <c r="D85" s="24"/>
      <c r="E85" s="24"/>
      <c r="F85" s="25">
        <f>+E85+D85</f>
        <v>0</v>
      </c>
      <c r="G85" s="24"/>
      <c r="H85" s="24"/>
      <c r="I85" s="25">
        <f>+H85+G85</f>
        <v>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2:22" ht="12.75">
      <c r="B86" s="60" t="s">
        <v>231</v>
      </c>
      <c r="C86" s="58" t="s">
        <v>232</v>
      </c>
      <c r="D86" s="24"/>
      <c r="E86" s="24"/>
      <c r="F86" s="25">
        <f>+E86+D86</f>
        <v>0</v>
      </c>
      <c r="G86" s="24"/>
      <c r="H86" s="24"/>
      <c r="I86" s="25">
        <f>+H86+G86</f>
        <v>0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2:22" ht="12.75">
      <c r="B87" s="60" t="s">
        <v>233</v>
      </c>
      <c r="C87" s="58" t="s">
        <v>234</v>
      </c>
      <c r="D87" s="24"/>
      <c r="E87" s="24"/>
      <c r="F87" s="25">
        <f>+E87+D87</f>
        <v>0</v>
      </c>
      <c r="G87" s="24"/>
      <c r="H87" s="24"/>
      <c r="I87" s="25">
        <f>+H87+G87</f>
        <v>0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2:22" ht="12.75">
      <c r="B88" s="60" t="s">
        <v>235</v>
      </c>
      <c r="C88" s="58" t="s">
        <v>236</v>
      </c>
      <c r="D88" s="24">
        <v>667</v>
      </c>
      <c r="E88" s="24"/>
      <c r="F88" s="25">
        <f>+E88+D88</f>
        <v>667</v>
      </c>
      <c r="G88" s="24">
        <v>667</v>
      </c>
      <c r="H88" s="24"/>
      <c r="I88" s="25">
        <f>+H88+G88</f>
        <v>667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2:22" ht="12.75">
      <c r="B89" s="60" t="s">
        <v>237</v>
      </c>
      <c r="C89" s="58" t="s">
        <v>238</v>
      </c>
      <c r="D89" s="24"/>
      <c r="E89" s="24"/>
      <c r="F89" s="25">
        <f>+E89+D89</f>
        <v>0</v>
      </c>
      <c r="G89" s="24"/>
      <c r="H89" s="24"/>
      <c r="I89" s="25">
        <f>+H89+G89</f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2:22" ht="12.75">
      <c r="B90" s="60" t="s">
        <v>239</v>
      </c>
      <c r="C90" s="58" t="s">
        <v>240</v>
      </c>
      <c r="D90" s="24"/>
      <c r="E90" s="24"/>
      <c r="F90" s="25">
        <f>+E90+D90</f>
        <v>0</v>
      </c>
      <c r="G90" s="24"/>
      <c r="H90" s="24"/>
      <c r="I90" s="25">
        <f>+H90+G90</f>
        <v>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2:22" ht="12.75">
      <c r="B91" s="60" t="s">
        <v>241</v>
      </c>
      <c r="C91" s="58" t="s">
        <v>242</v>
      </c>
      <c r="D91" s="24"/>
      <c r="E91" s="24"/>
      <c r="F91" s="25">
        <f>+E91+D91</f>
        <v>0</v>
      </c>
      <c r="G91" s="24"/>
      <c r="H91" s="24"/>
      <c r="I91" s="25">
        <f>+H91+G91</f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2:22" ht="12.75">
      <c r="B92" s="60" t="s">
        <v>243</v>
      </c>
      <c r="C92" s="58" t="s">
        <v>244</v>
      </c>
      <c r="D92" s="24"/>
      <c r="E92" s="24"/>
      <c r="F92" s="25">
        <f>+E92+D92</f>
        <v>0</v>
      </c>
      <c r="G92" s="24"/>
      <c r="H92" s="24"/>
      <c r="I92" s="25">
        <f>+H92+G92</f>
        <v>0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2:22" ht="12.75">
      <c r="B93" s="60" t="s">
        <v>245</v>
      </c>
      <c r="C93" s="58" t="s">
        <v>246</v>
      </c>
      <c r="D93" s="24"/>
      <c r="E93" s="24"/>
      <c r="F93" s="25">
        <f>+E93+D93</f>
        <v>0</v>
      </c>
      <c r="G93" s="24"/>
      <c r="H93" s="24"/>
      <c r="I93" s="25">
        <f>+H93+G93</f>
        <v>0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2:22" ht="12.75">
      <c r="B94" s="51" t="s">
        <v>247</v>
      </c>
      <c r="C94" s="59" t="s">
        <v>248</v>
      </c>
      <c r="D94" s="25">
        <f>SUM(D83:D93)</f>
        <v>9137</v>
      </c>
      <c r="E94" s="25">
        <f>SUM(E83:E93)</f>
        <v>0</v>
      </c>
      <c r="F94" s="25">
        <f>SUM(F83:F93)</f>
        <v>9137</v>
      </c>
      <c r="G94" s="25">
        <f>SUM(G83:G93)</f>
        <v>9137</v>
      </c>
      <c r="H94" s="25">
        <f>SUM(H83:H93)</f>
        <v>0</v>
      </c>
      <c r="I94" s="25">
        <f>SUM(I83:I93)</f>
        <v>9137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2:22" ht="12.75">
      <c r="B95" s="60" t="s">
        <v>249</v>
      </c>
      <c r="C95" s="58" t="s">
        <v>250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2:22" ht="12.75">
      <c r="B96" s="60" t="s">
        <v>251</v>
      </c>
      <c r="C96" s="58" t="s">
        <v>252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2:22" ht="12.75">
      <c r="B97" s="60" t="s">
        <v>253</v>
      </c>
      <c r="C97" s="58" t="s">
        <v>254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2:22" ht="12.75">
      <c r="B98" s="60" t="s">
        <v>255</v>
      </c>
      <c r="C98" s="58" t="s">
        <v>256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2:22" ht="12.75">
      <c r="B99" s="60" t="s">
        <v>257</v>
      </c>
      <c r="C99" s="58" t="s">
        <v>258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2:22" ht="12.75">
      <c r="B100" s="50" t="s">
        <v>259</v>
      </c>
      <c r="C100" s="59" t="s">
        <v>260</v>
      </c>
      <c r="D100" s="25">
        <f>SUM(D95:D99)</f>
        <v>0</v>
      </c>
      <c r="E100" s="25">
        <f>SUM(E95:E99)</f>
        <v>0</v>
      </c>
      <c r="F100" s="25">
        <f>SUM(F95:F99)</f>
        <v>0</v>
      </c>
      <c r="G100" s="25">
        <f>SUM(G95:G99)</f>
        <v>0</v>
      </c>
      <c r="H100" s="25">
        <f>SUM(H95:H99)</f>
        <v>0</v>
      </c>
      <c r="I100" s="25">
        <f>SUM(I95:I99)</f>
        <v>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2:22" ht="12.75">
      <c r="B101" s="50" t="s">
        <v>261</v>
      </c>
      <c r="C101" s="59" t="s">
        <v>262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2:22" ht="12.75">
      <c r="B102" s="60" t="s">
        <v>263</v>
      </c>
      <c r="C102" s="58" t="s">
        <v>264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2:22" ht="12.75">
      <c r="B103" s="47" t="s">
        <v>265</v>
      </c>
      <c r="C103" s="58" t="s">
        <v>266</v>
      </c>
      <c r="D103" s="24"/>
      <c r="E103" s="24"/>
      <c r="F103" s="25"/>
      <c r="G103" s="24"/>
      <c r="H103" s="24"/>
      <c r="I103" s="2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2:22" ht="12.75">
      <c r="B104" s="60" t="s">
        <v>267</v>
      </c>
      <c r="C104" s="58" t="s">
        <v>268</v>
      </c>
      <c r="D104" s="24"/>
      <c r="E104" s="24"/>
      <c r="F104" s="25"/>
      <c r="G104" s="24"/>
      <c r="H104" s="24"/>
      <c r="I104" s="2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2:22" ht="12.75">
      <c r="B105" s="60" t="s">
        <v>269</v>
      </c>
      <c r="C105" s="58" t="s">
        <v>270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22" ht="12.75">
      <c r="B106" s="60" t="s">
        <v>271</v>
      </c>
      <c r="C106" s="58" t="s">
        <v>272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22" ht="12.75">
      <c r="B107" s="50" t="s">
        <v>273</v>
      </c>
      <c r="C107" s="59" t="s">
        <v>274</v>
      </c>
      <c r="D107" s="25">
        <f>SUM(D102:D106)</f>
        <v>0</v>
      </c>
      <c r="E107" s="25">
        <f>SUM(E102:E106)</f>
        <v>0</v>
      </c>
      <c r="F107" s="25">
        <f>SUM(F102:F106)</f>
        <v>0</v>
      </c>
      <c r="G107" s="25">
        <f>SUM(G102:G106)</f>
        <v>0</v>
      </c>
      <c r="H107" s="25">
        <f>SUM(H102:H106)</f>
        <v>0</v>
      </c>
      <c r="I107" s="25">
        <f>SUM(I102:I106)</f>
        <v>0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22" ht="12.75">
      <c r="B108" s="81" t="s">
        <v>275</v>
      </c>
      <c r="C108" s="61" t="s">
        <v>276</v>
      </c>
      <c r="D108" s="63">
        <f>+D107+D101+D100+D94+D82+D75+D74</f>
        <v>10417</v>
      </c>
      <c r="E108" s="63">
        <f>+E107+E101+E100+E94+E82+E75+E74</f>
        <v>0</v>
      </c>
      <c r="F108" s="63">
        <f>+F107+F101+F100+F94+F82+F75+F74</f>
        <v>10417</v>
      </c>
      <c r="G108" s="63">
        <f>+G107+G101+G100+G94+G82+G75+G74</f>
        <v>10417</v>
      </c>
      <c r="H108" s="63">
        <f>+H107+H101+H100+H94+H82+H75+H74</f>
        <v>0</v>
      </c>
      <c r="I108" s="63">
        <f>+I107+I101+I100+I94+I82+I75+I74</f>
        <v>10417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22" ht="12.75">
      <c r="B109" s="82" t="s">
        <v>277</v>
      </c>
      <c r="C109" s="83"/>
      <c r="D109" s="84">
        <f>+D101+D94+D82+D74-D33</f>
        <v>-37487</v>
      </c>
      <c r="E109" s="84">
        <f>+E101+E94+E82+E74-E33</f>
        <v>0</v>
      </c>
      <c r="F109" s="84">
        <f>+E109+D109</f>
        <v>-37487</v>
      </c>
      <c r="G109" s="84">
        <f>+G101+G94+G82+G74-G33</f>
        <v>-38884</v>
      </c>
      <c r="H109" s="84">
        <f>+H101+H94+H82+H74-H33</f>
        <v>0</v>
      </c>
      <c r="I109" s="84">
        <f>+H109+G109</f>
        <v>-38884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22" ht="12.75">
      <c r="B110" s="82" t="s">
        <v>278</v>
      </c>
      <c r="C110" s="83"/>
      <c r="D110" s="84">
        <f>+D107+D100+D75-D57</f>
        <v>-426</v>
      </c>
      <c r="E110" s="84">
        <f>+E107+E100+E75-E57</f>
        <v>0</v>
      </c>
      <c r="F110" s="84">
        <f>+E110+D110</f>
        <v>-426</v>
      </c>
      <c r="G110" s="84">
        <f>+G107+G100+G75-G57</f>
        <v>-426</v>
      </c>
      <c r="H110" s="84">
        <f>+H107+H100+H75-H57</f>
        <v>0</v>
      </c>
      <c r="I110" s="84">
        <f>+H110+G110</f>
        <v>-426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2:9" ht="12.75">
      <c r="B111" s="51" t="s">
        <v>586</v>
      </c>
      <c r="C111" s="50" t="s">
        <v>286</v>
      </c>
      <c r="D111" s="24"/>
      <c r="E111" s="24"/>
      <c r="F111" s="25">
        <f>+E111+D111</f>
        <v>0</v>
      </c>
      <c r="G111" s="24"/>
      <c r="H111" s="24"/>
      <c r="I111" s="25">
        <f>+H111+G111</f>
        <v>0</v>
      </c>
    </row>
    <row r="112" spans="2:9" ht="12.75">
      <c r="B112" s="72" t="s">
        <v>587</v>
      </c>
      <c r="C112" s="50" t="s">
        <v>296</v>
      </c>
      <c r="D112" s="24"/>
      <c r="E112" s="24"/>
      <c r="F112" s="25">
        <f>+E112+D112</f>
        <v>0</v>
      </c>
      <c r="G112" s="24"/>
      <c r="H112" s="24"/>
      <c r="I112" s="25">
        <f>+H112+G112</f>
        <v>0</v>
      </c>
    </row>
    <row r="113" spans="2:9" ht="12.75">
      <c r="B113" s="47" t="s">
        <v>297</v>
      </c>
      <c r="C113" s="47" t="s">
        <v>298</v>
      </c>
      <c r="D113" s="24"/>
      <c r="E113" s="24"/>
      <c r="F113" s="25">
        <f>+E113+D113</f>
        <v>0</v>
      </c>
      <c r="G113" s="24">
        <v>1128</v>
      </c>
      <c r="H113" s="24"/>
      <c r="I113" s="25">
        <f>+H113+G113</f>
        <v>1128</v>
      </c>
    </row>
    <row r="114" spans="2:9" ht="12.75">
      <c r="B114" s="47" t="s">
        <v>299</v>
      </c>
      <c r="C114" s="47" t="s">
        <v>298</v>
      </c>
      <c r="D114" s="24"/>
      <c r="E114" s="24"/>
      <c r="F114" s="25">
        <f>+E114+D114</f>
        <v>0</v>
      </c>
      <c r="G114" s="24"/>
      <c r="H114" s="24"/>
      <c r="I114" s="25">
        <f>+H114+G114</f>
        <v>0</v>
      </c>
    </row>
    <row r="115" spans="2:9" ht="12.75">
      <c r="B115" s="47" t="s">
        <v>300</v>
      </c>
      <c r="C115" s="47" t="s">
        <v>301</v>
      </c>
      <c r="D115" s="24"/>
      <c r="E115" s="24"/>
      <c r="F115" s="25">
        <f>+E115+D115</f>
        <v>0</v>
      </c>
      <c r="G115" s="24"/>
      <c r="H115" s="24"/>
      <c r="I115" s="25">
        <f>+H115+G115</f>
        <v>0</v>
      </c>
    </row>
    <row r="116" spans="2:9" ht="12.75">
      <c r="B116" s="47" t="s">
        <v>302</v>
      </c>
      <c r="C116" s="47" t="s">
        <v>301</v>
      </c>
      <c r="D116" s="24"/>
      <c r="E116" s="24"/>
      <c r="F116" s="25">
        <f>+E116+D116</f>
        <v>0</v>
      </c>
      <c r="G116" s="24"/>
      <c r="H116" s="24"/>
      <c r="I116" s="25">
        <f>+H116+G116</f>
        <v>0</v>
      </c>
    </row>
    <row r="117" spans="1:9" ht="12.75">
      <c r="A117" s="88" t="s">
        <v>597</v>
      </c>
      <c r="B117" s="50" t="s">
        <v>303</v>
      </c>
      <c r="C117" s="50" t="s">
        <v>304</v>
      </c>
      <c r="D117" s="25">
        <f>SUM(D113:D116)</f>
        <v>0</v>
      </c>
      <c r="E117" s="25">
        <f>SUM(E113:E116)</f>
        <v>0</v>
      </c>
      <c r="F117" s="25">
        <f>SUM(F113:F116)</f>
        <v>0</v>
      </c>
      <c r="G117" s="25">
        <f>SUM(G113:G116)</f>
        <v>1128</v>
      </c>
      <c r="H117" s="25">
        <f>SUM(H113:H116)</f>
        <v>0</v>
      </c>
      <c r="I117" s="25">
        <f>SUM(I113:I116)</f>
        <v>1128</v>
      </c>
    </row>
    <row r="118" spans="1:9" ht="12.75">
      <c r="A118" s="88" t="s">
        <v>598</v>
      </c>
      <c r="B118" s="68" t="s">
        <v>305</v>
      </c>
      <c r="C118" s="47" t="s">
        <v>306</v>
      </c>
      <c r="D118" s="24"/>
      <c r="E118" s="24"/>
      <c r="F118" s="25">
        <f>+E118+D118</f>
        <v>0</v>
      </c>
      <c r="G118" s="24"/>
      <c r="H118" s="24"/>
      <c r="I118" s="25">
        <f>+H118+G118</f>
        <v>0</v>
      </c>
    </row>
    <row r="119" spans="2:9" ht="12.75">
      <c r="B119" s="68" t="s">
        <v>307</v>
      </c>
      <c r="C119" s="47" t="s">
        <v>308</v>
      </c>
      <c r="D119" s="24"/>
      <c r="E119" s="24"/>
      <c r="F119" s="25">
        <f>+E119+D119</f>
        <v>0</v>
      </c>
      <c r="G119" s="24"/>
      <c r="H119" s="24"/>
      <c r="I119" s="25">
        <f>+H119+G119</f>
        <v>0</v>
      </c>
    </row>
    <row r="120" spans="1:9" ht="12.75">
      <c r="A120" s="30" t="s">
        <v>612</v>
      </c>
      <c r="B120" s="68" t="s">
        <v>309</v>
      </c>
      <c r="C120" s="47" t="s">
        <v>310</v>
      </c>
      <c r="D120" s="24">
        <f>32058+5855</f>
        <v>37913</v>
      </c>
      <c r="E120" s="24"/>
      <c r="F120" s="25">
        <f>+E120+D120</f>
        <v>37913</v>
      </c>
      <c r="G120" s="24">
        <v>38182</v>
      </c>
      <c r="H120" s="24"/>
      <c r="I120" s="25">
        <f>+H120+G120</f>
        <v>38182</v>
      </c>
    </row>
    <row r="121" spans="2:9" s="242" customFormat="1" ht="12.75">
      <c r="B121" s="243" t="s">
        <v>600</v>
      </c>
      <c r="C121" s="140"/>
      <c r="D121" s="100">
        <v>5855</v>
      </c>
      <c r="E121" s="100"/>
      <c r="F121" s="126">
        <f>+E121+D121</f>
        <v>5855</v>
      </c>
      <c r="G121" s="100">
        <f>+G120-G122</f>
        <v>6124</v>
      </c>
      <c r="H121" s="100"/>
      <c r="I121" s="126">
        <f>+H121+G121</f>
        <v>6124</v>
      </c>
    </row>
    <row r="122" spans="2:9" s="242" customFormat="1" ht="12.75">
      <c r="B122" s="244" t="s">
        <v>591</v>
      </c>
      <c r="C122" s="140"/>
      <c r="D122" s="100">
        <f>+D120-D121</f>
        <v>32058</v>
      </c>
      <c r="E122" s="100">
        <f>+E120-E121</f>
        <v>0</v>
      </c>
      <c r="F122" s="126">
        <f>+E122+D122</f>
        <v>32058</v>
      </c>
      <c r="G122" s="100">
        <v>32058</v>
      </c>
      <c r="H122" s="100">
        <f>+H120-H121</f>
        <v>0</v>
      </c>
      <c r="I122" s="126">
        <f>+H122+G122</f>
        <v>32058</v>
      </c>
    </row>
    <row r="123" spans="2:9" ht="12.75">
      <c r="B123" s="68" t="s">
        <v>311</v>
      </c>
      <c r="C123" s="47" t="s">
        <v>312</v>
      </c>
      <c r="D123" s="24"/>
      <c r="E123" s="24"/>
      <c r="F123" s="25">
        <f>+E123+D123</f>
        <v>0</v>
      </c>
      <c r="G123" s="24"/>
      <c r="H123" s="24"/>
      <c r="I123" s="25">
        <f>+H123+G123</f>
        <v>0</v>
      </c>
    </row>
    <row r="124" spans="2:9" ht="12.75">
      <c r="B124" s="60" t="s">
        <v>313</v>
      </c>
      <c r="C124" s="47" t="s">
        <v>314</v>
      </c>
      <c r="D124" s="24"/>
      <c r="E124" s="24"/>
      <c r="F124" s="25">
        <f>+E124+D124</f>
        <v>0</v>
      </c>
      <c r="G124" s="24"/>
      <c r="H124" s="24"/>
      <c r="I124" s="25">
        <f>+H124+G124</f>
        <v>0</v>
      </c>
    </row>
    <row r="125" spans="2:9" ht="12.75">
      <c r="B125" s="60" t="s">
        <v>315</v>
      </c>
      <c r="C125" s="47" t="s">
        <v>316</v>
      </c>
      <c r="D125" s="24"/>
      <c r="E125" s="24"/>
      <c r="F125" s="25">
        <f>+E125+D125</f>
        <v>0</v>
      </c>
      <c r="G125" s="24"/>
      <c r="H125" s="24"/>
      <c r="I125" s="25">
        <f>+H125+G125</f>
        <v>0</v>
      </c>
    </row>
    <row r="126" spans="2:9" ht="12.75">
      <c r="B126" s="51" t="s">
        <v>317</v>
      </c>
      <c r="C126" s="50" t="s">
        <v>318</v>
      </c>
      <c r="D126" s="25">
        <f>SUM(D118:D125)+D117+D112+D111-D121-D122</f>
        <v>37913</v>
      </c>
      <c r="E126" s="25">
        <f>SUM(E118:E125)+E117+E112+E111-E121-E122</f>
        <v>0</v>
      </c>
      <c r="F126" s="25">
        <f>SUM(F118:F124)+F117+F112+F111-F121-F122</f>
        <v>37913</v>
      </c>
      <c r="G126" s="25">
        <f>SUM(G118:G125)+G117+G112+G111-G121-G122</f>
        <v>39310</v>
      </c>
      <c r="H126" s="25">
        <f>SUM(H118:H125)+H117+H112+H111-H121-H122</f>
        <v>0</v>
      </c>
      <c r="I126" s="25">
        <f>SUM(I118:I124)+I117+I112+I111-I121-I122</f>
        <v>39310</v>
      </c>
    </row>
    <row r="127" spans="2:9" ht="12.75" hidden="1">
      <c r="B127" s="68" t="s">
        <v>319</v>
      </c>
      <c r="C127" s="47" t="s">
        <v>320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2:9" ht="12.75" hidden="1">
      <c r="B128" s="60" t="s">
        <v>321</v>
      </c>
      <c r="C128" s="47" t="s">
        <v>322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t="12.75" hidden="1">
      <c r="B129" s="60" t="s">
        <v>323</v>
      </c>
      <c r="C129" s="47" t="s">
        <v>324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ht="12.75">
      <c r="B130" s="73" t="s">
        <v>325</v>
      </c>
      <c r="C130" s="74" t="s">
        <v>326</v>
      </c>
      <c r="D130" s="63">
        <f>+D128+D127+D126+D129</f>
        <v>37913</v>
      </c>
      <c r="E130" s="63">
        <f>+E128+E127+E126+E129</f>
        <v>0</v>
      </c>
      <c r="F130" s="63">
        <f>+F129+F127+F126</f>
        <v>37913</v>
      </c>
      <c r="G130" s="63">
        <f>+G128+G127+G126+G129</f>
        <v>39310</v>
      </c>
      <c r="H130" s="63">
        <f>+H128+H127+H126+H129</f>
        <v>0</v>
      </c>
      <c r="I130" s="63">
        <f>+I129+I127+I126</f>
        <v>39310</v>
      </c>
    </row>
    <row r="131" spans="2:9" ht="12.75">
      <c r="B131" s="28" t="s">
        <v>327</v>
      </c>
      <c r="C131" s="28" t="s">
        <v>328</v>
      </c>
      <c r="D131" s="29">
        <f>+D108+D130</f>
        <v>48330</v>
      </c>
      <c r="E131" s="29">
        <f>+E108+E130</f>
        <v>0</v>
      </c>
      <c r="F131" s="29">
        <f>+F108+F130</f>
        <v>48330</v>
      </c>
      <c r="G131" s="29">
        <f>+G108+G130</f>
        <v>49727</v>
      </c>
      <c r="H131" s="29">
        <f>+H108+H130</f>
        <v>0</v>
      </c>
      <c r="I131" s="29">
        <f>+I108+I130</f>
        <v>49727</v>
      </c>
    </row>
    <row r="132" spans="2:9" ht="12.75">
      <c r="B132" s="13"/>
      <c r="C132" s="13"/>
      <c r="D132" s="14"/>
      <c r="E132" s="14"/>
      <c r="F132" s="85"/>
      <c r="G132" s="14"/>
      <c r="H132" s="14"/>
      <c r="I132" s="85"/>
    </row>
    <row r="133" spans="2:9" ht="12.75">
      <c r="B133" s="26" t="s">
        <v>329</v>
      </c>
      <c r="C133" s="26"/>
      <c r="D133" s="25">
        <f>+D108-D58</f>
        <v>-37913</v>
      </c>
      <c r="E133" s="25">
        <f>+E108-E58</f>
        <v>0</v>
      </c>
      <c r="F133" s="25">
        <f>+F108-F58</f>
        <v>-37913</v>
      </c>
      <c r="G133" s="25">
        <f>+G108-G58</f>
        <v>-39310</v>
      </c>
      <c r="H133" s="25">
        <f>+H108-H58</f>
        <v>0</v>
      </c>
      <c r="I133" s="25">
        <f>+I108-I58</f>
        <v>-39310</v>
      </c>
    </row>
    <row r="134" spans="2:9" ht="12.75">
      <c r="B134" s="26" t="s">
        <v>330</v>
      </c>
      <c r="C134" s="26"/>
      <c r="D134" s="25">
        <f>+D130-D63</f>
        <v>37913</v>
      </c>
      <c r="E134" s="25">
        <f>+E130-E63</f>
        <v>0</v>
      </c>
      <c r="F134" s="25">
        <f>+F130-F63</f>
        <v>37913</v>
      </c>
      <c r="G134" s="25">
        <f>+G130-G63</f>
        <v>39310</v>
      </c>
      <c r="H134" s="25">
        <f>+H130-H63</f>
        <v>0</v>
      </c>
      <c r="I134" s="25">
        <f>+I130-I63</f>
        <v>39310</v>
      </c>
    </row>
    <row r="135" spans="2:9" ht="12.75">
      <c r="B135" s="13"/>
      <c r="C135" s="13"/>
      <c r="D135" s="14"/>
      <c r="E135" s="14"/>
      <c r="F135" s="85"/>
      <c r="G135" s="14"/>
      <c r="H135" s="14"/>
      <c r="I135" s="85"/>
    </row>
    <row r="136" spans="2:9" ht="12.75">
      <c r="B136" s="87" t="s">
        <v>333</v>
      </c>
      <c r="C136" s="13"/>
      <c r="D136" s="14">
        <f>+D131-D64</f>
        <v>0</v>
      </c>
      <c r="E136" s="14">
        <f>+E131-E64</f>
        <v>0</v>
      </c>
      <c r="F136" s="14">
        <f>+F131-F64</f>
        <v>0</v>
      </c>
      <c r="G136" s="14">
        <f>+G131-G64</f>
        <v>0</v>
      </c>
      <c r="H136" s="14">
        <f>+H131-H64</f>
        <v>0</v>
      </c>
      <c r="I136" s="14">
        <f>+I131-I64</f>
        <v>0</v>
      </c>
    </row>
    <row r="137" spans="2:9" ht="12.75">
      <c r="B137" s="13"/>
      <c r="C137" s="13"/>
      <c r="D137" s="14"/>
      <c r="E137" s="14"/>
      <c r="F137" s="85"/>
      <c r="G137" s="14"/>
      <c r="H137" s="14"/>
      <c r="I137" s="85"/>
    </row>
    <row r="138" spans="2:9" ht="12.75">
      <c r="B138" s="13"/>
      <c r="C138" s="13"/>
      <c r="D138" s="14"/>
      <c r="E138" s="14"/>
      <c r="F138" s="85"/>
      <c r="G138" s="14"/>
      <c r="H138" s="14"/>
      <c r="I138" s="85"/>
    </row>
    <row r="139" spans="2:9" ht="12.75">
      <c r="B139" s="13"/>
      <c r="C139" s="13"/>
      <c r="D139" s="14"/>
      <c r="E139" s="14"/>
      <c r="F139" s="85"/>
      <c r="G139" s="14"/>
      <c r="H139" s="14"/>
      <c r="I139" s="85"/>
    </row>
    <row r="140" spans="2:9" ht="12.75">
      <c r="B140" s="13"/>
      <c r="C140" s="13"/>
      <c r="D140" s="14"/>
      <c r="E140" s="14"/>
      <c r="F140" s="85"/>
      <c r="G140" s="14"/>
      <c r="H140" s="14"/>
      <c r="I140" s="85"/>
    </row>
    <row r="141" spans="2:9" ht="12.75">
      <c r="B141" s="13"/>
      <c r="C141" s="13"/>
      <c r="D141" s="14"/>
      <c r="E141" s="14"/>
      <c r="F141" s="85"/>
      <c r="G141" s="14"/>
      <c r="H141" s="14"/>
      <c r="I141" s="85"/>
    </row>
    <row r="142" spans="2:9" ht="12.75">
      <c r="B142" s="13"/>
      <c r="C142" s="13"/>
      <c r="D142" s="14"/>
      <c r="E142" s="14"/>
      <c r="F142" s="85"/>
      <c r="G142" s="14"/>
      <c r="H142" s="14"/>
      <c r="I142" s="85"/>
    </row>
    <row r="143" spans="2:9" ht="12.75">
      <c r="B143" s="13"/>
      <c r="C143" s="13"/>
      <c r="D143" s="14"/>
      <c r="E143" s="14"/>
      <c r="F143" s="85"/>
      <c r="G143" s="14"/>
      <c r="H143" s="14"/>
      <c r="I143" s="85"/>
    </row>
    <row r="144" spans="2:9" ht="12.75">
      <c r="B144" s="13"/>
      <c r="C144" s="13"/>
      <c r="D144" s="14"/>
      <c r="E144" s="14"/>
      <c r="F144" s="85"/>
      <c r="G144" s="14"/>
      <c r="H144" s="14"/>
      <c r="I144" s="85"/>
    </row>
    <row r="145" spans="2:9" ht="12.75">
      <c r="B145" s="13"/>
      <c r="C145" s="13"/>
      <c r="D145" s="14"/>
      <c r="E145" s="14"/>
      <c r="F145" s="85"/>
      <c r="G145" s="14"/>
      <c r="H145" s="14"/>
      <c r="I145" s="85"/>
    </row>
    <row r="146" spans="2:9" ht="12.75">
      <c r="B146" s="13"/>
      <c r="C146" s="13"/>
      <c r="D146" s="14"/>
      <c r="E146" s="14"/>
      <c r="F146" s="85"/>
      <c r="G146" s="14"/>
      <c r="H146" s="14"/>
      <c r="I146" s="85"/>
    </row>
    <row r="147" spans="2:9" ht="12.75">
      <c r="B147" s="13"/>
      <c r="C147" s="13"/>
      <c r="D147" s="14"/>
      <c r="E147" s="14"/>
      <c r="F147" s="85"/>
      <c r="G147" s="14"/>
      <c r="H147" s="14"/>
      <c r="I147" s="85"/>
    </row>
    <row r="148" spans="2:9" ht="12.75">
      <c r="B148" s="13"/>
      <c r="C148" s="13"/>
      <c r="D148" s="14"/>
      <c r="E148" s="14"/>
      <c r="F148" s="85"/>
      <c r="G148" s="14"/>
      <c r="H148" s="14"/>
      <c r="I148" s="85"/>
    </row>
    <row r="149" spans="2:9" ht="12.75">
      <c r="B149" s="13"/>
      <c r="C149" s="13"/>
      <c r="D149" s="14"/>
      <c r="E149" s="14"/>
      <c r="F149" s="85"/>
      <c r="G149" s="14"/>
      <c r="H149" s="14"/>
      <c r="I149" s="85"/>
    </row>
    <row r="150" spans="2:9" ht="12.75">
      <c r="B150" s="13"/>
      <c r="C150" s="13"/>
      <c r="D150" s="14"/>
      <c r="E150" s="14"/>
      <c r="F150" s="85"/>
      <c r="G150" s="14"/>
      <c r="H150" s="14"/>
      <c r="I150" s="85"/>
    </row>
    <row r="151" spans="2:9" ht="12.75">
      <c r="B151" s="13"/>
      <c r="C151" s="13"/>
      <c r="D151" s="14"/>
      <c r="E151" s="14"/>
      <c r="F151" s="85"/>
      <c r="G151" s="14"/>
      <c r="H151" s="14"/>
      <c r="I151" s="85"/>
    </row>
    <row r="152" spans="2:9" ht="12.75">
      <c r="B152" s="13"/>
      <c r="C152" s="13"/>
      <c r="D152" s="14"/>
      <c r="E152" s="14"/>
      <c r="F152" s="85"/>
      <c r="G152" s="14"/>
      <c r="H152" s="14"/>
      <c r="I152" s="85"/>
    </row>
    <row r="153" spans="2:9" ht="12.75">
      <c r="B153" s="13"/>
      <c r="C153" s="13"/>
      <c r="D153" s="14"/>
      <c r="E153" s="14"/>
      <c r="F153" s="85"/>
      <c r="G153" s="14"/>
      <c r="H153" s="14"/>
      <c r="I153" s="85"/>
    </row>
    <row r="154" spans="2:9" ht="12.75">
      <c r="B154" s="13"/>
      <c r="C154" s="13"/>
      <c r="D154" s="14"/>
      <c r="E154" s="14"/>
      <c r="F154" s="85"/>
      <c r="G154" s="14"/>
      <c r="H154" s="14"/>
      <c r="I154" s="85"/>
    </row>
    <row r="155" spans="2:9" ht="12.75">
      <c r="B155" s="13"/>
      <c r="C155" s="13"/>
      <c r="D155" s="14"/>
      <c r="E155" s="14"/>
      <c r="F155" s="85"/>
      <c r="G155" s="14"/>
      <c r="H155" s="14"/>
      <c r="I155" s="85"/>
    </row>
    <row r="156" spans="2:9" ht="12.75">
      <c r="B156" s="13"/>
      <c r="C156" s="13"/>
      <c r="D156" s="14"/>
      <c r="E156" s="14"/>
      <c r="F156" s="85"/>
      <c r="G156" s="14"/>
      <c r="H156" s="14"/>
      <c r="I156" s="85"/>
    </row>
    <row r="157" spans="2:9" ht="12.75">
      <c r="B157" s="13"/>
      <c r="C157" s="13"/>
      <c r="D157" s="14"/>
      <c r="E157" s="14"/>
      <c r="F157" s="85"/>
      <c r="G157" s="14"/>
      <c r="H157" s="14"/>
      <c r="I157" s="85"/>
    </row>
    <row r="158" spans="2:9" ht="12.75">
      <c r="B158" s="13"/>
      <c r="C158" s="13"/>
      <c r="D158" s="14"/>
      <c r="E158" s="14"/>
      <c r="F158" s="85"/>
      <c r="G158" s="14"/>
      <c r="H158" s="14"/>
      <c r="I158" s="85"/>
    </row>
    <row r="159" spans="2:9" ht="12.75">
      <c r="B159" s="13"/>
      <c r="C159" s="13"/>
      <c r="D159" s="14"/>
      <c r="E159" s="14"/>
      <c r="F159" s="85"/>
      <c r="G159" s="14"/>
      <c r="H159" s="14"/>
      <c r="I159" s="85"/>
    </row>
    <row r="160" spans="2:9" ht="12.75">
      <c r="B160" s="13"/>
      <c r="C160" s="13"/>
      <c r="D160" s="14"/>
      <c r="E160" s="14"/>
      <c r="F160" s="85"/>
      <c r="G160" s="14"/>
      <c r="H160" s="14"/>
      <c r="I160" s="85"/>
    </row>
    <row r="161" spans="2:9" ht="12.75">
      <c r="B161" s="13"/>
      <c r="C161" s="13"/>
      <c r="D161" s="14"/>
      <c r="E161" s="14"/>
      <c r="F161" s="85"/>
      <c r="G161" s="14"/>
      <c r="H161" s="14"/>
      <c r="I161" s="85"/>
    </row>
    <row r="162" spans="2:9" ht="12.75">
      <c r="B162" s="13"/>
      <c r="C162" s="13"/>
      <c r="D162" s="14"/>
      <c r="E162" s="14"/>
      <c r="F162" s="85"/>
      <c r="G162" s="14"/>
      <c r="H162" s="14"/>
      <c r="I162" s="85"/>
    </row>
    <row r="163" spans="2:9" ht="12.75">
      <c r="B163" s="13"/>
      <c r="C163" s="13"/>
      <c r="D163" s="14"/>
      <c r="E163" s="14"/>
      <c r="F163" s="85"/>
      <c r="G163" s="14"/>
      <c r="H163" s="14"/>
      <c r="I163" s="85"/>
    </row>
    <row r="164" spans="2:9" ht="12.75">
      <c r="B164" s="13"/>
      <c r="C164" s="13"/>
      <c r="D164" s="14"/>
      <c r="E164" s="14"/>
      <c r="F164" s="85"/>
      <c r="G164" s="14"/>
      <c r="H164" s="14"/>
      <c r="I164" s="85"/>
    </row>
    <row r="165" spans="2:9" ht="12.75">
      <c r="B165" s="13"/>
      <c r="C165" s="13"/>
      <c r="D165" s="14"/>
      <c r="E165" s="14"/>
      <c r="F165" s="85"/>
      <c r="G165" s="14"/>
      <c r="H165" s="14"/>
      <c r="I165" s="85"/>
    </row>
    <row r="166" spans="2:9" ht="12.75">
      <c r="B166" s="13"/>
      <c r="C166" s="13"/>
      <c r="D166" s="14"/>
      <c r="E166" s="14"/>
      <c r="F166" s="85"/>
      <c r="G166" s="14"/>
      <c r="H166" s="14"/>
      <c r="I166" s="85"/>
    </row>
    <row r="167" spans="2:9" ht="12.75">
      <c r="B167" s="13"/>
      <c r="C167" s="13"/>
      <c r="D167" s="14"/>
      <c r="E167" s="14"/>
      <c r="F167" s="85"/>
      <c r="G167" s="14"/>
      <c r="H167" s="14"/>
      <c r="I167" s="85"/>
    </row>
    <row r="168" spans="2:9" ht="12.75">
      <c r="B168" s="13"/>
      <c r="C168" s="13"/>
      <c r="D168" s="14"/>
      <c r="E168" s="14"/>
      <c r="F168" s="85"/>
      <c r="G168" s="14"/>
      <c r="H168" s="14"/>
      <c r="I168" s="85"/>
    </row>
    <row r="169" spans="2:9" ht="12.75">
      <c r="B169" s="13"/>
      <c r="C169" s="13"/>
      <c r="D169" s="14"/>
      <c r="E169" s="14"/>
      <c r="F169" s="85"/>
      <c r="G169" s="14"/>
      <c r="H169" s="14"/>
      <c r="I169" s="85"/>
    </row>
    <row r="170" spans="2:9" ht="12.75">
      <c r="B170" s="13"/>
      <c r="C170" s="13"/>
      <c r="D170" s="14"/>
      <c r="E170" s="14"/>
      <c r="F170" s="85"/>
      <c r="G170" s="14"/>
      <c r="H170" s="14"/>
      <c r="I170" s="85"/>
    </row>
    <row r="171" spans="2:9" ht="12.75">
      <c r="B171" s="13"/>
      <c r="C171" s="13"/>
      <c r="D171" s="14"/>
      <c r="E171" s="14"/>
      <c r="F171" s="85"/>
      <c r="G171" s="14"/>
      <c r="H171" s="14"/>
      <c r="I171" s="85"/>
    </row>
    <row r="172" spans="2:9" ht="12.75">
      <c r="B172" s="13"/>
      <c r="C172" s="13"/>
      <c r="D172" s="14"/>
      <c r="E172" s="14"/>
      <c r="F172" s="85"/>
      <c r="G172" s="14"/>
      <c r="H172" s="14"/>
      <c r="I172" s="85"/>
    </row>
    <row r="173" spans="2:9" ht="12.75">
      <c r="B173" s="13"/>
      <c r="C173" s="13"/>
      <c r="D173" s="14"/>
      <c r="E173" s="14"/>
      <c r="F173" s="85"/>
      <c r="G173" s="14"/>
      <c r="H173" s="14"/>
      <c r="I173" s="85"/>
    </row>
    <row r="174" spans="2:9" ht="12.75">
      <c r="B174" s="13"/>
      <c r="C174" s="13"/>
      <c r="D174" s="14"/>
      <c r="E174" s="14"/>
      <c r="F174" s="85"/>
      <c r="G174" s="14"/>
      <c r="H174" s="14"/>
      <c r="I174" s="85"/>
    </row>
    <row r="175" spans="2:9" ht="12.75">
      <c r="B175" s="13"/>
      <c r="C175" s="13"/>
      <c r="D175" s="14"/>
      <c r="E175" s="14"/>
      <c r="F175" s="85"/>
      <c r="G175" s="14"/>
      <c r="H175" s="14"/>
      <c r="I175" s="85"/>
    </row>
    <row r="176" spans="2:9" ht="12.75">
      <c r="B176" s="13"/>
      <c r="C176" s="13"/>
      <c r="D176" s="14"/>
      <c r="E176" s="14"/>
      <c r="F176" s="85"/>
      <c r="G176" s="14"/>
      <c r="H176" s="14"/>
      <c r="I176" s="85"/>
    </row>
    <row r="177" spans="2:9" ht="12.75">
      <c r="B177" s="13"/>
      <c r="C177" s="13"/>
      <c r="D177" s="14"/>
      <c r="E177" s="14"/>
      <c r="F177" s="85"/>
      <c r="G177" s="14"/>
      <c r="H177" s="14"/>
      <c r="I177" s="85"/>
    </row>
    <row r="178" spans="2:9" ht="12.75">
      <c r="B178" s="13"/>
      <c r="C178" s="13"/>
      <c r="D178" s="14"/>
      <c r="E178" s="14"/>
      <c r="F178" s="85"/>
      <c r="G178" s="14"/>
      <c r="H178" s="14"/>
      <c r="I178" s="85"/>
    </row>
    <row r="179" spans="2:9" ht="12.75">
      <c r="B179" s="13"/>
      <c r="C179" s="13"/>
      <c r="D179" s="14"/>
      <c r="E179" s="14"/>
      <c r="F179" s="85"/>
      <c r="G179" s="14"/>
      <c r="H179" s="14"/>
      <c r="I179" s="85"/>
    </row>
    <row r="180" spans="2:9" ht="12.75">
      <c r="B180" s="13"/>
      <c r="C180" s="13"/>
      <c r="D180" s="14"/>
      <c r="E180" s="14"/>
      <c r="F180" s="85"/>
      <c r="G180" s="14"/>
      <c r="H180" s="14"/>
      <c r="I180" s="85"/>
    </row>
    <row r="181" spans="2:9" ht="12.75">
      <c r="B181" s="13"/>
      <c r="C181" s="13"/>
      <c r="D181" s="14"/>
      <c r="E181" s="14"/>
      <c r="F181" s="85"/>
      <c r="G181" s="14"/>
      <c r="H181" s="14"/>
      <c r="I181" s="85"/>
    </row>
    <row r="182" spans="2:9" ht="12.75">
      <c r="B182" s="13"/>
      <c r="C182" s="13"/>
      <c r="D182" s="14"/>
      <c r="E182" s="14"/>
      <c r="F182" s="85"/>
      <c r="G182" s="14"/>
      <c r="H182" s="14"/>
      <c r="I182" s="85"/>
    </row>
    <row r="183" spans="2:9" ht="12.75">
      <c r="B183" s="13"/>
      <c r="C183" s="13"/>
      <c r="D183" s="14"/>
      <c r="E183" s="14"/>
      <c r="F183" s="85"/>
      <c r="G183" s="14"/>
      <c r="H183" s="14"/>
      <c r="I183" s="85"/>
    </row>
    <row r="184" spans="2:9" ht="12.75">
      <c r="B184" s="13"/>
      <c r="C184" s="13"/>
      <c r="D184" s="14"/>
      <c r="E184" s="14"/>
      <c r="F184" s="85"/>
      <c r="G184" s="14"/>
      <c r="H184" s="14"/>
      <c r="I184" s="85"/>
    </row>
    <row r="185" spans="2:9" ht="12.75">
      <c r="B185" s="13"/>
      <c r="C185" s="13"/>
      <c r="D185" s="14"/>
      <c r="E185" s="14"/>
      <c r="F185" s="85"/>
      <c r="G185" s="14"/>
      <c r="H185" s="14"/>
      <c r="I185" s="85"/>
    </row>
    <row r="186" spans="2:9" ht="12.75">
      <c r="B186" s="13"/>
      <c r="C186" s="13"/>
      <c r="D186" s="14"/>
      <c r="E186" s="14"/>
      <c r="F186" s="85"/>
      <c r="G186" s="14"/>
      <c r="H186" s="14"/>
      <c r="I186" s="85"/>
    </row>
    <row r="187" spans="2:9" ht="12.75">
      <c r="B187" s="13"/>
      <c r="C187" s="13"/>
      <c r="D187" s="14"/>
      <c r="E187" s="14"/>
      <c r="F187" s="85"/>
      <c r="G187" s="14"/>
      <c r="H187" s="14"/>
      <c r="I187" s="85"/>
    </row>
    <row r="188" spans="2:9" ht="12.75">
      <c r="B188" s="13"/>
      <c r="C188" s="13"/>
      <c r="D188" s="14"/>
      <c r="E188" s="14"/>
      <c r="F188" s="85"/>
      <c r="G188" s="14"/>
      <c r="H188" s="14"/>
      <c r="I188" s="85"/>
    </row>
    <row r="189" spans="2:9" ht="12.75">
      <c r="B189" s="13"/>
      <c r="C189" s="13"/>
      <c r="D189" s="14"/>
      <c r="E189" s="14"/>
      <c r="F189" s="85"/>
      <c r="G189" s="14"/>
      <c r="H189" s="14"/>
      <c r="I189" s="85"/>
    </row>
    <row r="190" spans="2:9" ht="12.75">
      <c r="B190" s="13"/>
      <c r="C190" s="13"/>
      <c r="D190" s="14"/>
      <c r="E190" s="14"/>
      <c r="F190" s="85"/>
      <c r="G190" s="14"/>
      <c r="H190" s="14"/>
      <c r="I190" s="85"/>
    </row>
    <row r="191" spans="2:9" ht="12.75">
      <c r="B191" s="13"/>
      <c r="C191" s="13"/>
      <c r="D191" s="14"/>
      <c r="E191" s="14"/>
      <c r="F191" s="85"/>
      <c r="G191" s="14"/>
      <c r="H191" s="14"/>
      <c r="I191" s="85"/>
    </row>
    <row r="192" spans="2:9" ht="12.75">
      <c r="B192" s="13"/>
      <c r="C192" s="13"/>
      <c r="D192" s="14"/>
      <c r="E192" s="14"/>
      <c r="F192" s="85"/>
      <c r="G192" s="14"/>
      <c r="H192" s="14"/>
      <c r="I192" s="85"/>
    </row>
    <row r="193" spans="2:9" ht="12.75">
      <c r="B193" s="13"/>
      <c r="C193" s="13"/>
      <c r="D193" s="14"/>
      <c r="E193" s="14"/>
      <c r="F193" s="85"/>
      <c r="G193" s="14"/>
      <c r="H193" s="14"/>
      <c r="I193" s="85"/>
    </row>
    <row r="194" spans="2:9" ht="12.75">
      <c r="B194" s="13"/>
      <c r="C194" s="13"/>
      <c r="D194" s="14"/>
      <c r="E194" s="14"/>
      <c r="F194" s="85"/>
      <c r="G194" s="14"/>
      <c r="H194" s="14"/>
      <c r="I194" s="85"/>
    </row>
    <row r="195" spans="2:9" ht="12.75">
      <c r="B195" s="13"/>
      <c r="C195" s="13"/>
      <c r="D195" s="13"/>
      <c r="E195" s="13"/>
      <c r="F195" s="27"/>
      <c r="G195" s="13"/>
      <c r="H195" s="13"/>
      <c r="I195" s="27"/>
    </row>
    <row r="196" spans="2:9" ht="12.75">
      <c r="B196" s="13"/>
      <c r="C196" s="13"/>
      <c r="D196" s="13"/>
      <c r="E196" s="13"/>
      <c r="F196" s="27"/>
      <c r="G196" s="13"/>
      <c r="H196" s="13"/>
      <c r="I196" s="27"/>
    </row>
    <row r="197" spans="2:9" ht="12.75">
      <c r="B197" s="13"/>
      <c r="C197" s="13"/>
      <c r="D197" s="13"/>
      <c r="E197" s="13"/>
      <c r="F197" s="27"/>
      <c r="G197" s="13"/>
      <c r="H197" s="13"/>
      <c r="I197" s="27"/>
    </row>
    <row r="198" spans="2:9" ht="12.75">
      <c r="B198" s="13"/>
      <c r="C198" s="13"/>
      <c r="D198" s="13"/>
      <c r="E198" s="13"/>
      <c r="F198" s="27"/>
      <c r="G198" s="13"/>
      <c r="H198" s="13"/>
      <c r="I198" s="27"/>
    </row>
    <row r="199" spans="2:9" ht="12.75">
      <c r="B199" s="13"/>
      <c r="C199" s="13"/>
      <c r="D199" s="13"/>
      <c r="E199" s="13"/>
      <c r="F199" s="27"/>
      <c r="G199" s="13"/>
      <c r="H199" s="13"/>
      <c r="I199" s="27"/>
    </row>
    <row r="200" spans="2:9" ht="12.75">
      <c r="B200" s="13"/>
      <c r="C200" s="13"/>
      <c r="D200" s="13"/>
      <c r="E200" s="13"/>
      <c r="F200" s="27"/>
      <c r="G200" s="13"/>
      <c r="H200" s="13"/>
      <c r="I200" s="27"/>
    </row>
    <row r="201" spans="2:9" ht="12.75">
      <c r="B201" s="13"/>
      <c r="C201" s="13"/>
      <c r="D201" s="13"/>
      <c r="E201" s="13"/>
      <c r="F201" s="27"/>
      <c r="G201" s="13"/>
      <c r="H201" s="13"/>
      <c r="I201" s="27"/>
    </row>
    <row r="202" spans="2:9" ht="12.75">
      <c r="B202" s="13"/>
      <c r="C202" s="13"/>
      <c r="D202" s="13"/>
      <c r="E202" s="13"/>
      <c r="F202" s="27"/>
      <c r="G202" s="13"/>
      <c r="H202" s="13"/>
      <c r="I202" s="27"/>
    </row>
    <row r="203" spans="2:9" ht="12.75">
      <c r="B203" s="13"/>
      <c r="C203" s="13"/>
      <c r="D203" s="13"/>
      <c r="E203" s="13"/>
      <c r="F203" s="27"/>
      <c r="G203" s="13"/>
      <c r="H203" s="13"/>
      <c r="I203" s="27"/>
    </row>
    <row r="204" spans="2:9" ht="12.75">
      <c r="B204" s="13"/>
      <c r="C204" s="13"/>
      <c r="D204" s="13"/>
      <c r="E204" s="13"/>
      <c r="F204" s="27"/>
      <c r="G204" s="13"/>
      <c r="H204" s="13"/>
      <c r="I204" s="27"/>
    </row>
    <row r="205" spans="2:9" ht="12.75">
      <c r="B205" s="13"/>
      <c r="C205" s="13"/>
      <c r="D205" s="13"/>
      <c r="E205" s="13"/>
      <c r="F205" s="27"/>
      <c r="G205" s="13"/>
      <c r="H205" s="13"/>
      <c r="I205" s="27"/>
    </row>
    <row r="206" spans="2:9" ht="12.75">
      <c r="B206" s="13"/>
      <c r="C206" s="13"/>
      <c r="D206" s="13"/>
      <c r="E206" s="13"/>
      <c r="F206" s="27"/>
      <c r="G206" s="13"/>
      <c r="H206" s="13"/>
      <c r="I206" s="27"/>
    </row>
    <row r="207" spans="2:9" ht="12.75">
      <c r="B207" s="13"/>
      <c r="C207" s="13"/>
      <c r="D207" s="13"/>
      <c r="E207" s="13"/>
      <c r="F207" s="27"/>
      <c r="G207" s="13"/>
      <c r="H207" s="13"/>
      <c r="I207" s="27"/>
    </row>
    <row r="208" spans="2:9" ht="12.75">
      <c r="B208" s="13"/>
      <c r="C208" s="13"/>
      <c r="D208" s="13"/>
      <c r="E208" s="13"/>
      <c r="F208" s="27"/>
      <c r="G208" s="13"/>
      <c r="H208" s="13"/>
      <c r="I208" s="27"/>
    </row>
    <row r="209" spans="2:9" ht="12.75">
      <c r="B209" s="13"/>
      <c r="C209" s="13"/>
      <c r="D209" s="13"/>
      <c r="E209" s="13"/>
      <c r="F209" s="27"/>
      <c r="G209" s="13"/>
      <c r="H209" s="13"/>
      <c r="I209" s="27"/>
    </row>
    <row r="210" spans="2:9" ht="12.75">
      <c r="B210" s="13"/>
      <c r="C210" s="13"/>
      <c r="D210" s="13"/>
      <c r="E210" s="13"/>
      <c r="F210" s="27"/>
      <c r="G210" s="13"/>
      <c r="H210" s="13"/>
      <c r="I210" s="27"/>
    </row>
    <row r="211" spans="2:9" ht="12.75">
      <c r="B211" s="13"/>
      <c r="C211" s="13"/>
      <c r="D211" s="13"/>
      <c r="E211" s="13"/>
      <c r="F211" s="27"/>
      <c r="G211" s="13"/>
      <c r="H211" s="13"/>
      <c r="I211" s="27"/>
    </row>
    <row r="212" spans="2:9" ht="12.75">
      <c r="B212" s="13"/>
      <c r="C212" s="13"/>
      <c r="D212" s="13"/>
      <c r="E212" s="13"/>
      <c r="F212" s="27"/>
      <c r="G212" s="13"/>
      <c r="H212" s="13"/>
      <c r="I212" s="27"/>
    </row>
    <row r="213" spans="2:9" ht="12.75">
      <c r="B213" s="13"/>
      <c r="C213" s="13"/>
      <c r="D213" s="13"/>
      <c r="E213" s="13"/>
      <c r="F213" s="27"/>
      <c r="G213" s="13"/>
      <c r="H213" s="13"/>
      <c r="I213" s="27"/>
    </row>
    <row r="214" spans="2:9" ht="12.75">
      <c r="B214" s="13"/>
      <c r="C214" s="13"/>
      <c r="D214" s="13"/>
      <c r="E214" s="13"/>
      <c r="F214" s="27"/>
      <c r="G214" s="13"/>
      <c r="H214" s="13"/>
      <c r="I214" s="27"/>
    </row>
    <row r="215" spans="2:9" ht="12.75">
      <c r="B215" s="13"/>
      <c r="C215" s="13"/>
      <c r="D215" s="13"/>
      <c r="E215" s="13"/>
      <c r="F215" s="27"/>
      <c r="G215" s="13"/>
      <c r="H215" s="13"/>
      <c r="I215" s="27"/>
    </row>
    <row r="216" spans="2:9" ht="12.75">
      <c r="B216" s="13"/>
      <c r="C216" s="13"/>
      <c r="D216" s="13"/>
      <c r="E216" s="13"/>
      <c r="F216" s="27"/>
      <c r="G216" s="13"/>
      <c r="H216" s="13"/>
      <c r="I216" s="27"/>
    </row>
    <row r="217" spans="2:9" ht="12.75">
      <c r="B217" s="13"/>
      <c r="C217" s="13"/>
      <c r="D217" s="13"/>
      <c r="E217" s="13"/>
      <c r="F217" s="27"/>
      <c r="G217" s="13"/>
      <c r="H217" s="13"/>
      <c r="I217" s="27"/>
    </row>
    <row r="218" spans="2:9" ht="12.75">
      <c r="B218" s="13"/>
      <c r="C218" s="13"/>
      <c r="D218" s="13"/>
      <c r="E218" s="13"/>
      <c r="F218" s="27"/>
      <c r="G218" s="13"/>
      <c r="H218" s="13"/>
      <c r="I218" s="27"/>
    </row>
    <row r="219" spans="2:9" ht="12.75">
      <c r="B219" s="13"/>
      <c r="C219" s="13"/>
      <c r="D219" s="13"/>
      <c r="E219" s="13"/>
      <c r="F219" s="27"/>
      <c r="G219" s="13"/>
      <c r="H219" s="13"/>
      <c r="I219" s="27"/>
    </row>
    <row r="220" spans="2:9" ht="12.75">
      <c r="B220" s="13"/>
      <c r="C220" s="13"/>
      <c r="D220" s="13"/>
      <c r="E220" s="13"/>
      <c r="F220" s="27"/>
      <c r="G220" s="13"/>
      <c r="H220" s="13"/>
      <c r="I220" s="27"/>
    </row>
    <row r="221" spans="2:9" ht="12.75">
      <c r="B221" s="13"/>
      <c r="C221" s="13"/>
      <c r="D221" s="13"/>
      <c r="E221" s="13"/>
      <c r="F221" s="27"/>
      <c r="G221" s="13"/>
      <c r="H221" s="13"/>
      <c r="I221" s="27"/>
    </row>
    <row r="222" spans="2:9" ht="12.75">
      <c r="B222" s="13"/>
      <c r="C222" s="13"/>
      <c r="D222" s="13"/>
      <c r="E222" s="13"/>
      <c r="F222" s="27"/>
      <c r="G222" s="13"/>
      <c r="H222" s="13"/>
      <c r="I222" s="27"/>
    </row>
    <row r="223" spans="2:9" ht="12.75">
      <c r="B223" s="13"/>
      <c r="C223" s="13"/>
      <c r="D223" s="13"/>
      <c r="E223" s="13"/>
      <c r="F223" s="27"/>
      <c r="G223" s="13"/>
      <c r="H223" s="13"/>
      <c r="I223" s="27"/>
    </row>
    <row r="224" spans="2:9" ht="12.75">
      <c r="B224" s="13"/>
      <c r="C224" s="13"/>
      <c r="D224" s="13"/>
      <c r="E224" s="13"/>
      <c r="F224" s="27"/>
      <c r="G224" s="13"/>
      <c r="H224" s="13"/>
      <c r="I224" s="27"/>
    </row>
    <row r="225" spans="2:9" ht="12.75">
      <c r="B225" s="13"/>
      <c r="C225" s="13"/>
      <c r="D225" s="13"/>
      <c r="E225" s="13"/>
      <c r="F225" s="27"/>
      <c r="G225" s="13"/>
      <c r="H225" s="13"/>
      <c r="I225" s="27"/>
    </row>
    <row r="226" spans="2:9" ht="12.75">
      <c r="B226" s="13"/>
      <c r="C226" s="13"/>
      <c r="D226" s="13"/>
      <c r="E226" s="13"/>
      <c r="F226" s="27"/>
      <c r="G226" s="13"/>
      <c r="H226" s="13"/>
      <c r="I226" s="27"/>
    </row>
    <row r="227" spans="2:9" ht="12.75">
      <c r="B227" s="13"/>
      <c r="C227" s="13"/>
      <c r="D227" s="13"/>
      <c r="E227" s="13"/>
      <c r="F227" s="27"/>
      <c r="G227" s="13"/>
      <c r="H227" s="13"/>
      <c r="I227" s="27"/>
    </row>
    <row r="228" spans="2:9" ht="12.75">
      <c r="B228" s="13"/>
      <c r="C228" s="13"/>
      <c r="D228" s="13"/>
      <c r="E228" s="13"/>
      <c r="F228" s="27"/>
      <c r="G228" s="13"/>
      <c r="H228" s="13"/>
      <c r="I228" s="27"/>
    </row>
    <row r="229" spans="2:9" ht="12.75">
      <c r="B229" s="13"/>
      <c r="C229" s="13"/>
      <c r="D229" s="13"/>
      <c r="E229" s="13"/>
      <c r="F229" s="27"/>
      <c r="G229" s="13"/>
      <c r="H229" s="13"/>
      <c r="I229" s="27"/>
    </row>
    <row r="230" spans="2:9" ht="12.75">
      <c r="B230" s="13"/>
      <c r="C230" s="13"/>
      <c r="D230" s="13"/>
      <c r="E230" s="13"/>
      <c r="F230" s="27"/>
      <c r="G230" s="13"/>
      <c r="H230" s="13"/>
      <c r="I230" s="27"/>
    </row>
    <row r="231" spans="2:9" ht="12.75">
      <c r="B231" s="13"/>
      <c r="C231" s="13"/>
      <c r="D231" s="13"/>
      <c r="E231" s="13"/>
      <c r="F231" s="27"/>
      <c r="G231" s="13"/>
      <c r="H231" s="13"/>
      <c r="I231" s="27"/>
    </row>
    <row r="232" spans="2:9" ht="12.75">
      <c r="B232" s="13"/>
      <c r="C232" s="13"/>
      <c r="D232" s="13"/>
      <c r="E232" s="13"/>
      <c r="F232" s="27"/>
      <c r="G232" s="13"/>
      <c r="H232" s="13"/>
      <c r="I232" s="27"/>
    </row>
    <row r="233" spans="2:9" ht="12.75">
      <c r="B233" s="13"/>
      <c r="C233" s="13"/>
      <c r="D233" s="13"/>
      <c r="E233" s="13"/>
      <c r="F233" s="27"/>
      <c r="G233" s="13"/>
      <c r="H233" s="13"/>
      <c r="I233" s="27"/>
    </row>
    <row r="234" spans="2:9" ht="12.75">
      <c r="B234" s="13"/>
      <c r="C234" s="13"/>
      <c r="D234" s="13"/>
      <c r="E234" s="13"/>
      <c r="F234" s="27"/>
      <c r="G234" s="13"/>
      <c r="H234" s="13"/>
      <c r="I234" s="27"/>
    </row>
    <row r="235" spans="2:9" ht="12.75">
      <c r="B235" s="13"/>
      <c r="C235" s="13"/>
      <c r="D235" s="13"/>
      <c r="E235" s="13"/>
      <c r="F235" s="27"/>
      <c r="G235" s="13"/>
      <c r="H235" s="13"/>
      <c r="I235" s="27"/>
    </row>
    <row r="236" spans="2:9" ht="12.75">
      <c r="B236" s="13"/>
      <c r="C236" s="13"/>
      <c r="D236" s="13"/>
      <c r="E236" s="13"/>
      <c r="F236" s="27"/>
      <c r="G236" s="13"/>
      <c r="H236" s="13"/>
      <c r="I236" s="27"/>
    </row>
    <row r="237" spans="2:9" ht="12.75">
      <c r="B237" s="13"/>
      <c r="C237" s="13"/>
      <c r="D237" s="13"/>
      <c r="E237" s="13"/>
      <c r="F237" s="27"/>
      <c r="G237" s="13"/>
      <c r="H237" s="13"/>
      <c r="I237" s="27"/>
    </row>
    <row r="238" spans="2:9" ht="12.75">
      <c r="B238" s="13"/>
      <c r="C238" s="13"/>
      <c r="D238" s="13"/>
      <c r="E238" s="13"/>
      <c r="F238" s="27"/>
      <c r="G238" s="13"/>
      <c r="H238" s="13"/>
      <c r="I238" s="27"/>
    </row>
    <row r="239" spans="2:9" ht="12.75">
      <c r="B239" s="13"/>
      <c r="C239" s="13"/>
      <c r="D239" s="13"/>
      <c r="E239" s="13"/>
      <c r="F239" s="27"/>
      <c r="G239" s="13"/>
      <c r="H239" s="13"/>
      <c r="I239" s="27"/>
    </row>
    <row r="240" spans="2:9" ht="12.75">
      <c r="B240" s="13"/>
      <c r="C240" s="13"/>
      <c r="D240" s="13"/>
      <c r="E240" s="13"/>
      <c r="F240" s="27"/>
      <c r="G240" s="13"/>
      <c r="H240" s="13"/>
      <c r="I240" s="27"/>
    </row>
    <row r="241" spans="2:9" ht="12.75">
      <c r="B241" s="13"/>
      <c r="C241" s="13"/>
      <c r="D241" s="13"/>
      <c r="E241" s="13"/>
      <c r="F241" s="27"/>
      <c r="G241" s="13"/>
      <c r="H241" s="13"/>
      <c r="I241" s="27"/>
    </row>
    <row r="242" spans="2:9" ht="12.75">
      <c r="B242" s="13"/>
      <c r="C242" s="13"/>
      <c r="D242" s="13"/>
      <c r="E242" s="13"/>
      <c r="F242" s="27"/>
      <c r="G242" s="13"/>
      <c r="H242" s="13"/>
      <c r="I242" s="27"/>
    </row>
    <row r="243" spans="2:9" ht="12.75">
      <c r="B243" s="13"/>
      <c r="C243" s="13"/>
      <c r="D243" s="13"/>
      <c r="E243" s="13"/>
      <c r="F243" s="27"/>
      <c r="G243" s="13"/>
      <c r="H243" s="13"/>
      <c r="I243" s="27"/>
    </row>
    <row r="244" spans="2:9" ht="12.75">
      <c r="B244" s="13"/>
      <c r="C244" s="13"/>
      <c r="D244" s="13"/>
      <c r="E244" s="13"/>
      <c r="F244" s="27"/>
      <c r="G244" s="13"/>
      <c r="H244" s="13"/>
      <c r="I244" s="27"/>
    </row>
    <row r="245" spans="2:9" ht="12.75">
      <c r="B245" s="13"/>
      <c r="C245" s="13"/>
      <c r="D245" s="13"/>
      <c r="E245" s="13"/>
      <c r="F245" s="27"/>
      <c r="G245" s="13"/>
      <c r="H245" s="13"/>
      <c r="I245" s="27"/>
    </row>
    <row r="246" spans="2:9" ht="12.75">
      <c r="B246" s="13"/>
      <c r="C246" s="13"/>
      <c r="D246" s="13"/>
      <c r="E246" s="13"/>
      <c r="F246" s="27"/>
      <c r="G246" s="13"/>
      <c r="H246" s="13"/>
      <c r="I246" s="27"/>
    </row>
    <row r="247" spans="2:9" ht="12.75">
      <c r="B247" s="13"/>
      <c r="C247" s="13"/>
      <c r="D247" s="13"/>
      <c r="E247" s="13"/>
      <c r="F247" s="27"/>
      <c r="G247" s="13"/>
      <c r="H247" s="13"/>
      <c r="I247" s="27"/>
    </row>
    <row r="248" spans="2:9" ht="12.75">
      <c r="B248" s="13"/>
      <c r="C248" s="13"/>
      <c r="D248" s="13"/>
      <c r="E248" s="13"/>
      <c r="F248" s="27"/>
      <c r="G248" s="13"/>
      <c r="H248" s="13"/>
      <c r="I248" s="27"/>
    </row>
    <row r="249" spans="2:9" ht="12.75">
      <c r="B249" s="13"/>
      <c r="C249" s="13"/>
      <c r="D249" s="13"/>
      <c r="E249" s="13"/>
      <c r="F249" s="27"/>
      <c r="G249" s="13"/>
      <c r="H249" s="13"/>
      <c r="I249" s="27"/>
    </row>
    <row r="250" spans="2:9" ht="12.75">
      <c r="B250" s="13"/>
      <c r="C250" s="13"/>
      <c r="D250" s="13"/>
      <c r="E250" s="13"/>
      <c r="F250" s="27"/>
      <c r="G250" s="13"/>
      <c r="H250" s="13"/>
      <c r="I250" s="27"/>
    </row>
    <row r="251" spans="2:9" ht="12.75">
      <c r="B251" s="13"/>
      <c r="C251" s="13"/>
      <c r="D251" s="13"/>
      <c r="E251" s="13"/>
      <c r="F251" s="27"/>
      <c r="G251" s="13"/>
      <c r="H251" s="13"/>
      <c r="I251" s="27"/>
    </row>
    <row r="252" spans="2:9" ht="12.75">
      <c r="B252" s="13"/>
      <c r="C252" s="13"/>
      <c r="D252" s="13"/>
      <c r="E252" s="13"/>
      <c r="F252" s="27"/>
      <c r="G252" s="13"/>
      <c r="H252" s="13"/>
      <c r="I252" s="27"/>
    </row>
    <row r="253" spans="2:9" ht="12.75">
      <c r="B253" s="13"/>
      <c r="C253" s="13"/>
      <c r="D253" s="13"/>
      <c r="E253" s="13"/>
      <c r="F253" s="27"/>
      <c r="G253" s="13"/>
      <c r="H253" s="13"/>
      <c r="I253" s="27"/>
    </row>
    <row r="254" spans="2:9" ht="12.75">
      <c r="B254" s="13"/>
      <c r="C254" s="13"/>
      <c r="D254" s="13"/>
      <c r="E254" s="13"/>
      <c r="F254" s="27"/>
      <c r="G254" s="13"/>
      <c r="H254" s="13"/>
      <c r="I254" s="27"/>
    </row>
    <row r="255" spans="2:9" ht="12.75">
      <c r="B255" s="13"/>
      <c r="C255" s="13"/>
      <c r="D255" s="13"/>
      <c r="E255" s="13"/>
      <c r="F255" s="27"/>
      <c r="G255" s="13"/>
      <c r="H255" s="13"/>
      <c r="I255" s="27"/>
    </row>
    <row r="256" spans="2:9" ht="12.75">
      <c r="B256" s="13"/>
      <c r="C256" s="13"/>
      <c r="D256" s="13"/>
      <c r="E256" s="13"/>
      <c r="F256" s="27"/>
      <c r="G256" s="13"/>
      <c r="H256" s="13"/>
      <c r="I256" s="27"/>
    </row>
    <row r="257" spans="2:9" ht="12.75">
      <c r="B257" s="13"/>
      <c r="C257" s="13"/>
      <c r="D257" s="13"/>
      <c r="E257" s="13"/>
      <c r="F257" s="27"/>
      <c r="G257" s="13"/>
      <c r="H257" s="13"/>
      <c r="I257" s="27"/>
    </row>
    <row r="258" spans="2:9" ht="12.75">
      <c r="B258" s="13"/>
      <c r="C258" s="13"/>
      <c r="D258" s="13"/>
      <c r="E258" s="13"/>
      <c r="F258" s="27"/>
      <c r="G258" s="13"/>
      <c r="H258" s="13"/>
      <c r="I258" s="27"/>
    </row>
    <row r="259" spans="2:9" ht="12.75">
      <c r="B259" s="13"/>
      <c r="C259" s="13"/>
      <c r="D259" s="13"/>
      <c r="E259" s="13"/>
      <c r="F259" s="27"/>
      <c r="G259" s="13"/>
      <c r="H259" s="13"/>
      <c r="I259" s="27"/>
    </row>
    <row r="260" spans="2:9" ht="12.7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" right="0.39375" top="0.5902777777777778" bottom="0.5118055555555555" header="0.5118055555555555" footer="0.31527777777777777"/>
  <pageSetup horizontalDpi="300" verticalDpi="300" orientation="portrait" paperSize="9" scale="64"/>
  <headerFooter alignWithMargins="0">
    <oddFooter>&amp;R&amp;P</oddFooter>
  </headerFooter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A1">
      <selection activeCell="I1" sqref="I1"/>
    </sheetView>
  </sheetViews>
  <sheetFormatPr defaultColWidth="9.140625" defaultRowHeight="15"/>
  <cols>
    <col min="1" max="1" width="10.7109375" style="30" customWidth="1"/>
    <col min="2" max="2" width="73.00390625" style="30" customWidth="1"/>
    <col min="3" max="3" width="9.8515625" style="30" customWidth="1"/>
    <col min="4" max="5" width="10.8515625" style="30" customWidth="1"/>
    <col min="6" max="6" width="11.28125" style="31" customWidth="1"/>
    <col min="7" max="8" width="10.8515625" style="30" customWidth="1"/>
    <col min="9" max="9" width="11.28125" style="31" customWidth="1"/>
    <col min="10" max="16384" width="9.140625" style="30" customWidth="1"/>
  </cols>
  <sheetData>
    <row r="1" spans="6:9" s="13" customFormat="1" ht="12.75">
      <c r="F1" s="32"/>
      <c r="I1" s="32" t="s">
        <v>613</v>
      </c>
    </row>
    <row r="2" spans="2:9" s="13" customFormat="1" ht="12.75">
      <c r="B2" s="240" t="s">
        <v>8</v>
      </c>
      <c r="F2" s="15"/>
      <c r="I2" s="15" t="s">
        <v>10</v>
      </c>
    </row>
    <row r="3" spans="2:9" s="13" customFormat="1" ht="12.75">
      <c r="B3" s="40" t="s">
        <v>593</v>
      </c>
      <c r="C3" s="36"/>
      <c r="D3" s="36"/>
      <c r="E3" s="36"/>
      <c r="F3" s="37"/>
      <c r="G3" s="36"/>
      <c r="H3" s="36"/>
      <c r="I3" s="37"/>
    </row>
    <row r="4" spans="2:9" s="13" customFormat="1" ht="12.75">
      <c r="B4" s="38" t="s">
        <v>41</v>
      </c>
      <c r="C4" s="39"/>
      <c r="D4" s="39"/>
      <c r="E4" s="39"/>
      <c r="F4" s="40"/>
      <c r="G4" s="39"/>
      <c r="H4" s="39"/>
      <c r="I4" s="40"/>
    </row>
    <row r="5" spans="2:9" ht="15.75" customHeight="1">
      <c r="B5" s="41"/>
      <c r="D5" s="92" t="s">
        <v>13</v>
      </c>
      <c r="E5" s="92"/>
      <c r="F5" s="92"/>
      <c r="G5" s="92" t="s">
        <v>14</v>
      </c>
      <c r="H5" s="92"/>
      <c r="I5" s="92"/>
    </row>
    <row r="6" spans="2:9" ht="12.75">
      <c r="B6" s="19" t="s">
        <v>15</v>
      </c>
      <c r="C6" s="42" t="s">
        <v>42</v>
      </c>
      <c r="D6" s="43" t="s">
        <v>16</v>
      </c>
      <c r="E6" s="43" t="s">
        <v>17</v>
      </c>
      <c r="F6" s="162" t="s">
        <v>528</v>
      </c>
      <c r="G6" s="43" t="s">
        <v>16</v>
      </c>
      <c r="H6" s="43" t="s">
        <v>17</v>
      </c>
      <c r="I6" s="162" t="s">
        <v>528</v>
      </c>
    </row>
    <row r="7" spans="2:9" ht="12.75">
      <c r="B7" s="45" t="s">
        <v>43</v>
      </c>
      <c r="C7" s="46" t="s">
        <v>44</v>
      </c>
      <c r="D7" s="24">
        <v>16768</v>
      </c>
      <c r="E7" s="24"/>
      <c r="F7" s="25">
        <f>+D7+E7</f>
        <v>16768</v>
      </c>
      <c r="G7" s="24">
        <v>16911</v>
      </c>
      <c r="H7" s="24"/>
      <c r="I7" s="25">
        <f>+G7+H7</f>
        <v>16911</v>
      </c>
    </row>
    <row r="8" spans="2:9" ht="12.75">
      <c r="B8" s="47" t="s">
        <v>45</v>
      </c>
      <c r="C8" s="46" t="s">
        <v>46</v>
      </c>
      <c r="D8" s="24"/>
      <c r="E8" s="24"/>
      <c r="F8" s="25">
        <f>+D8+E8</f>
        <v>0</v>
      </c>
      <c r="G8" s="24"/>
      <c r="H8" s="24"/>
      <c r="I8" s="25">
        <f>+G8+H8</f>
        <v>0</v>
      </c>
    </row>
    <row r="9" spans="2:9" ht="12.75">
      <c r="B9" s="48" t="s">
        <v>47</v>
      </c>
      <c r="C9" s="49" t="s">
        <v>48</v>
      </c>
      <c r="D9" s="25">
        <f>SUM(D7:D8)</f>
        <v>16768</v>
      </c>
      <c r="E9" s="25">
        <f>SUM(E7:E8)</f>
        <v>0</v>
      </c>
      <c r="F9" s="25">
        <f>SUM(F7:F8)</f>
        <v>16768</v>
      </c>
      <c r="G9" s="25">
        <f>SUM(G7:G8)</f>
        <v>16911</v>
      </c>
      <c r="H9" s="25">
        <f>SUM(H7:H8)</f>
        <v>0</v>
      </c>
      <c r="I9" s="25">
        <f>SUM(I7:I8)</f>
        <v>16911</v>
      </c>
    </row>
    <row r="10" spans="2:9" ht="12.75">
      <c r="B10" s="50" t="s">
        <v>49</v>
      </c>
      <c r="C10" s="49" t="s">
        <v>50</v>
      </c>
      <c r="D10" s="24">
        <v>4030</v>
      </c>
      <c r="E10" s="24"/>
      <c r="F10" s="25">
        <f>+D10+E10</f>
        <v>4030</v>
      </c>
      <c r="G10" s="24">
        <v>4069</v>
      </c>
      <c r="H10" s="24"/>
      <c r="I10" s="25">
        <f>+G10+H10</f>
        <v>4069</v>
      </c>
    </row>
    <row r="11" spans="2:9" ht="12.75">
      <c r="B11" s="47" t="s">
        <v>51</v>
      </c>
      <c r="C11" s="46" t="s">
        <v>52</v>
      </c>
      <c r="D11" s="24">
        <v>2060</v>
      </c>
      <c r="E11" s="24"/>
      <c r="F11" s="25">
        <f>+D11+E11</f>
        <v>2060</v>
      </c>
      <c r="G11" s="24">
        <v>2060</v>
      </c>
      <c r="H11" s="24"/>
      <c r="I11" s="25">
        <f>+G11+H11</f>
        <v>2060</v>
      </c>
    </row>
    <row r="12" spans="2:9" ht="12.75">
      <c r="B12" s="47" t="s">
        <v>53</v>
      </c>
      <c r="C12" s="46" t="s">
        <v>54</v>
      </c>
      <c r="D12" s="24">
        <v>360</v>
      </c>
      <c r="E12" s="24"/>
      <c r="F12" s="25">
        <f>+D12+E12</f>
        <v>360</v>
      </c>
      <c r="G12" s="24">
        <v>360</v>
      </c>
      <c r="H12" s="24"/>
      <c r="I12" s="25">
        <f>+G12+H12</f>
        <v>360</v>
      </c>
    </row>
    <row r="13" spans="2:9" ht="12.75">
      <c r="B13" s="47" t="s">
        <v>55</v>
      </c>
      <c r="C13" s="46" t="s">
        <v>56</v>
      </c>
      <c r="D13" s="24">
        <v>4040</v>
      </c>
      <c r="E13" s="24"/>
      <c r="F13" s="25">
        <f>+D13+E13</f>
        <v>4040</v>
      </c>
      <c r="G13" s="24">
        <v>4490</v>
      </c>
      <c r="H13" s="24"/>
      <c r="I13" s="25">
        <f>+G13+H13</f>
        <v>4490</v>
      </c>
    </row>
    <row r="14" spans="2:9" ht="12.75">
      <c r="B14" s="47" t="s">
        <v>57</v>
      </c>
      <c r="C14" s="46" t="s">
        <v>58</v>
      </c>
      <c r="D14" s="24">
        <v>290</v>
      </c>
      <c r="E14" s="24"/>
      <c r="F14" s="25">
        <f>+D14+E14</f>
        <v>290</v>
      </c>
      <c r="G14" s="24">
        <v>290</v>
      </c>
      <c r="H14" s="24"/>
      <c r="I14" s="25">
        <f>+G14+H14</f>
        <v>290</v>
      </c>
    </row>
    <row r="15" spans="2:9" ht="12.75">
      <c r="B15" s="47" t="s">
        <v>59</v>
      </c>
      <c r="C15" s="46" t="s">
        <v>60</v>
      </c>
      <c r="D15" s="24">
        <v>4226</v>
      </c>
      <c r="E15" s="24"/>
      <c r="F15" s="25">
        <f>+D15+E15</f>
        <v>4226</v>
      </c>
      <c r="G15" s="24">
        <v>4266</v>
      </c>
      <c r="H15" s="24"/>
      <c r="I15" s="25">
        <f>+G15+H15</f>
        <v>4266</v>
      </c>
    </row>
    <row r="16" spans="2:9" ht="12.75">
      <c r="B16" s="50" t="s">
        <v>61</v>
      </c>
      <c r="C16" s="49" t="s">
        <v>62</v>
      </c>
      <c r="D16" s="25">
        <f>SUM(D11:D15)</f>
        <v>10976</v>
      </c>
      <c r="E16" s="25">
        <f>SUM(E11:E15)</f>
        <v>0</v>
      </c>
      <c r="F16" s="25">
        <f>SUM(F11:F15)</f>
        <v>10976</v>
      </c>
      <c r="G16" s="25">
        <f>SUM(G11:G15)</f>
        <v>11466</v>
      </c>
      <c r="H16" s="25">
        <f>SUM(H11:H15)</f>
        <v>0</v>
      </c>
      <c r="I16" s="25">
        <f>SUM(I11:I15)</f>
        <v>11466</v>
      </c>
    </row>
    <row r="17" spans="2:9" ht="12.75">
      <c r="B17" s="51" t="s">
        <v>63</v>
      </c>
      <c r="C17" s="49" t="s">
        <v>64</v>
      </c>
      <c r="D17" s="24"/>
      <c r="E17" s="24"/>
      <c r="F17" s="25">
        <f>+D17+E17</f>
        <v>0</v>
      </c>
      <c r="G17" s="24"/>
      <c r="H17" s="24"/>
      <c r="I17" s="25">
        <f>+G17+H17</f>
        <v>0</v>
      </c>
    </row>
    <row r="18" spans="2:9" ht="12.75">
      <c r="B18" s="52" t="s">
        <v>65</v>
      </c>
      <c r="C18" s="46" t="s">
        <v>66</v>
      </c>
      <c r="D18" s="24"/>
      <c r="E18" s="24"/>
      <c r="F18" s="25">
        <f>+D18+E18</f>
        <v>0</v>
      </c>
      <c r="G18" s="24"/>
      <c r="H18" s="24"/>
      <c r="I18" s="25">
        <f>+G18+H18</f>
        <v>0</v>
      </c>
    </row>
    <row r="19" spans="2:9" ht="12.75">
      <c r="B19" s="52" t="s">
        <v>67</v>
      </c>
      <c r="C19" s="46" t="s">
        <v>68</v>
      </c>
      <c r="D19" s="24"/>
      <c r="E19" s="24"/>
      <c r="F19" s="25">
        <f>+D19+E19</f>
        <v>0</v>
      </c>
      <c r="G19" s="24"/>
      <c r="H19" s="24"/>
      <c r="I19" s="25">
        <f>+G19+H19</f>
        <v>0</v>
      </c>
    </row>
    <row r="20" spans="2:9" ht="12.75">
      <c r="B20" s="52" t="s">
        <v>69</v>
      </c>
      <c r="C20" s="46" t="s">
        <v>70</v>
      </c>
      <c r="D20" s="24"/>
      <c r="E20" s="24"/>
      <c r="F20" s="25">
        <f>+D20+E20</f>
        <v>0</v>
      </c>
      <c r="G20" s="24"/>
      <c r="H20" s="24"/>
      <c r="I20" s="25">
        <f>+G20+H20</f>
        <v>0</v>
      </c>
    </row>
    <row r="21" spans="2:9" ht="12.75">
      <c r="B21" s="52" t="s">
        <v>71</v>
      </c>
      <c r="C21" s="46" t="s">
        <v>72</v>
      </c>
      <c r="D21" s="24"/>
      <c r="E21" s="24"/>
      <c r="F21" s="25">
        <f>+D21+E21</f>
        <v>0</v>
      </c>
      <c r="G21" s="24"/>
      <c r="H21" s="24"/>
      <c r="I21" s="25">
        <f>+G21+H21</f>
        <v>0</v>
      </c>
    </row>
    <row r="22" spans="2:9" ht="12.75">
      <c r="B22" s="52" t="s">
        <v>73</v>
      </c>
      <c r="C22" s="46" t="s">
        <v>74</v>
      </c>
      <c r="D22" s="24"/>
      <c r="E22" s="24"/>
      <c r="F22" s="25">
        <f>+D22+E22</f>
        <v>0</v>
      </c>
      <c r="G22" s="24"/>
      <c r="H22" s="24"/>
      <c r="I22" s="25">
        <f>+G22+H22</f>
        <v>0</v>
      </c>
    </row>
    <row r="23" spans="2:9" ht="12.75">
      <c r="B23" s="52" t="s">
        <v>75</v>
      </c>
      <c r="C23" s="46" t="s">
        <v>76</v>
      </c>
      <c r="D23" s="24"/>
      <c r="E23" s="24"/>
      <c r="F23" s="25">
        <f>+D23+E23</f>
        <v>0</v>
      </c>
      <c r="G23" s="24"/>
      <c r="H23" s="24"/>
      <c r="I23" s="25">
        <f>+G23+H23</f>
        <v>0</v>
      </c>
    </row>
    <row r="24" spans="2:9" ht="12.75">
      <c r="B24" s="52" t="s">
        <v>77</v>
      </c>
      <c r="C24" s="46" t="s">
        <v>78</v>
      </c>
      <c r="D24" s="24"/>
      <c r="E24" s="24"/>
      <c r="F24" s="25">
        <f>+D24+E24</f>
        <v>0</v>
      </c>
      <c r="G24" s="24"/>
      <c r="H24" s="24"/>
      <c r="I24" s="25">
        <f>+G24+H24</f>
        <v>0</v>
      </c>
    </row>
    <row r="25" spans="2:9" ht="12.75">
      <c r="B25" s="52" t="s">
        <v>79</v>
      </c>
      <c r="C25" s="46" t="s">
        <v>80</v>
      </c>
      <c r="D25" s="24"/>
      <c r="E25" s="24"/>
      <c r="F25" s="25">
        <f>+D25+E25</f>
        <v>0</v>
      </c>
      <c r="G25" s="24"/>
      <c r="H25" s="24"/>
      <c r="I25" s="25">
        <f>+G25+H25</f>
        <v>0</v>
      </c>
    </row>
    <row r="26" spans="2:9" ht="12.75">
      <c r="B26" s="52" t="s">
        <v>81</v>
      </c>
      <c r="C26" s="46" t="s">
        <v>82</v>
      </c>
      <c r="D26" s="24"/>
      <c r="E26" s="24"/>
      <c r="F26" s="25">
        <f>+D26+E26</f>
        <v>0</v>
      </c>
      <c r="G26" s="24"/>
      <c r="H26" s="24"/>
      <c r="I26" s="25">
        <f>+G26+H26</f>
        <v>0</v>
      </c>
    </row>
    <row r="27" spans="2:9" ht="12.75">
      <c r="B27" s="53" t="s">
        <v>83</v>
      </c>
      <c r="C27" s="46" t="s">
        <v>84</v>
      </c>
      <c r="D27" s="24"/>
      <c r="E27" s="24"/>
      <c r="F27" s="25">
        <f>+D27+E27</f>
        <v>0</v>
      </c>
      <c r="G27" s="24"/>
      <c r="H27" s="24"/>
      <c r="I27" s="25">
        <f>+G27+H27</f>
        <v>0</v>
      </c>
    </row>
    <row r="28" spans="2:9" ht="12.75">
      <c r="B28" s="53" t="s">
        <v>595</v>
      </c>
      <c r="C28" s="46" t="s">
        <v>86</v>
      </c>
      <c r="D28" s="24"/>
      <c r="E28" s="24"/>
      <c r="F28" s="25">
        <f>+D28+E28</f>
        <v>0</v>
      </c>
      <c r="G28" s="24"/>
      <c r="H28" s="24"/>
      <c r="I28" s="25">
        <f>+G28+H28</f>
        <v>0</v>
      </c>
    </row>
    <row r="29" spans="2:9" ht="12.75">
      <c r="B29" s="52" t="s">
        <v>87</v>
      </c>
      <c r="C29" s="46" t="s">
        <v>88</v>
      </c>
      <c r="D29" s="24"/>
      <c r="E29" s="24"/>
      <c r="F29" s="25">
        <f>+D29+E29</f>
        <v>0</v>
      </c>
      <c r="G29" s="24"/>
      <c r="H29" s="24"/>
      <c r="I29" s="25">
        <f>+G29+H29</f>
        <v>0</v>
      </c>
    </row>
    <row r="30" spans="2:9" ht="12.75">
      <c r="B30" s="53" t="s">
        <v>89</v>
      </c>
      <c r="C30" s="46" t="s">
        <v>90</v>
      </c>
      <c r="D30" s="24"/>
      <c r="E30" s="24"/>
      <c r="F30" s="25">
        <f>+D30+E30</f>
        <v>0</v>
      </c>
      <c r="G30" s="24"/>
      <c r="H30" s="24"/>
      <c r="I30" s="25">
        <f>+G30+H30</f>
        <v>0</v>
      </c>
    </row>
    <row r="31" spans="2:9" ht="12.75">
      <c r="B31" s="53" t="s">
        <v>91</v>
      </c>
      <c r="C31" s="46" t="s">
        <v>90</v>
      </c>
      <c r="D31" s="24"/>
      <c r="E31" s="24"/>
      <c r="F31" s="25">
        <f>+D31+E31</f>
        <v>0</v>
      </c>
      <c r="G31" s="24"/>
      <c r="H31" s="24"/>
      <c r="I31" s="25">
        <f>+G31+H31</f>
        <v>0</v>
      </c>
    </row>
    <row r="32" spans="2:9" s="31" customFormat="1" ht="12.75">
      <c r="B32" s="51" t="s">
        <v>92</v>
      </c>
      <c r="C32" s="49" t="s">
        <v>93</v>
      </c>
      <c r="D32" s="25">
        <f>SUM(D18:D31)</f>
        <v>0</v>
      </c>
      <c r="E32" s="25">
        <f>SUM(E18:E31)</f>
        <v>0</v>
      </c>
      <c r="F32" s="25">
        <f>SUM(F18:F31)</f>
        <v>0</v>
      </c>
      <c r="G32" s="25">
        <f>SUM(G18:G31)</f>
        <v>0</v>
      </c>
      <c r="H32" s="25">
        <f>SUM(H18:H31)</f>
        <v>0</v>
      </c>
      <c r="I32" s="25">
        <f>SUM(I18:I31)</f>
        <v>0</v>
      </c>
    </row>
    <row r="33" spans="2:9" ht="12.75">
      <c r="B33" s="54" t="s">
        <v>94</v>
      </c>
      <c r="C33" s="55" t="s">
        <v>95</v>
      </c>
      <c r="D33" s="56">
        <f>+D32+D17+D16+D10+D9</f>
        <v>31774</v>
      </c>
      <c r="E33" s="56">
        <f>+E32+E17+E16+E10+E9</f>
        <v>0</v>
      </c>
      <c r="F33" s="56">
        <f>+F32+F17+F16+F10+F9</f>
        <v>31774</v>
      </c>
      <c r="G33" s="56">
        <f>+G32+G17+G16+G10+G9</f>
        <v>32446</v>
      </c>
      <c r="H33" s="56">
        <f>+H32+H17+H16+H10+H9</f>
        <v>0</v>
      </c>
      <c r="I33" s="56">
        <f>+I32+I17+I16+I10+I9</f>
        <v>32446</v>
      </c>
    </row>
    <row r="34" spans="2:9" ht="12.75">
      <c r="B34" s="57" t="s">
        <v>96</v>
      </c>
      <c r="C34" s="46" t="s">
        <v>97</v>
      </c>
      <c r="D34" s="24"/>
      <c r="E34" s="24"/>
      <c r="F34" s="25">
        <f>+D34+E34</f>
        <v>0</v>
      </c>
      <c r="G34" s="24">
        <v>86</v>
      </c>
      <c r="H34" s="24"/>
      <c r="I34" s="25">
        <f>+G34+H34</f>
        <v>86</v>
      </c>
    </row>
    <row r="35" spans="2:9" ht="12.75">
      <c r="B35" s="57" t="s">
        <v>98</v>
      </c>
      <c r="C35" s="46" t="s">
        <v>99</v>
      </c>
      <c r="D35" s="24"/>
      <c r="E35" s="24"/>
      <c r="F35" s="25">
        <f>+D35+E35</f>
        <v>0</v>
      </c>
      <c r="G35" s="24"/>
      <c r="H35" s="24"/>
      <c r="I35" s="25">
        <f>+G35+H35</f>
        <v>0</v>
      </c>
    </row>
    <row r="36" spans="2:9" ht="12.75">
      <c r="B36" s="57" t="s">
        <v>100</v>
      </c>
      <c r="C36" s="46" t="s">
        <v>101</v>
      </c>
      <c r="D36" s="24"/>
      <c r="E36" s="24"/>
      <c r="F36" s="25">
        <f>+D36+E36</f>
        <v>0</v>
      </c>
      <c r="G36" s="24"/>
      <c r="H36" s="24"/>
      <c r="I36" s="25">
        <f>+G36+H36</f>
        <v>0</v>
      </c>
    </row>
    <row r="37" spans="2:9" ht="12.75">
      <c r="B37" s="57" t="s">
        <v>102</v>
      </c>
      <c r="C37" s="46" t="s">
        <v>103</v>
      </c>
      <c r="D37" s="24"/>
      <c r="E37" s="24"/>
      <c r="F37" s="25">
        <f>+D37+E37</f>
        <v>0</v>
      </c>
      <c r="G37" s="24">
        <v>1646</v>
      </c>
      <c r="H37" s="24"/>
      <c r="I37" s="25">
        <f>+G37+H37</f>
        <v>1646</v>
      </c>
    </row>
    <row r="38" spans="2:9" ht="12.75">
      <c r="B38" s="58" t="s">
        <v>104</v>
      </c>
      <c r="C38" s="46" t="s">
        <v>105</v>
      </c>
      <c r="D38" s="24"/>
      <c r="E38" s="24"/>
      <c r="F38" s="25">
        <f>+D38+E38</f>
        <v>0</v>
      </c>
      <c r="G38" s="24"/>
      <c r="H38" s="24"/>
      <c r="I38" s="25">
        <f>+G38+H38</f>
        <v>0</v>
      </c>
    </row>
    <row r="39" spans="2:9" ht="12.75">
      <c r="B39" s="58" t="s">
        <v>106</v>
      </c>
      <c r="C39" s="46" t="s">
        <v>107</v>
      </c>
      <c r="D39" s="24"/>
      <c r="E39" s="24"/>
      <c r="F39" s="25">
        <f>+D39+E39</f>
        <v>0</v>
      </c>
      <c r="G39" s="24"/>
      <c r="H39" s="24"/>
      <c r="I39" s="25">
        <f>+G39+H39</f>
        <v>0</v>
      </c>
    </row>
    <row r="40" spans="2:9" ht="12.75">
      <c r="B40" s="58" t="s">
        <v>108</v>
      </c>
      <c r="C40" s="46" t="s">
        <v>109</v>
      </c>
      <c r="D40" s="24"/>
      <c r="E40" s="24"/>
      <c r="F40" s="25">
        <f>+D40+E40</f>
        <v>0</v>
      </c>
      <c r="G40" s="24">
        <v>468</v>
      </c>
      <c r="H40" s="24"/>
      <c r="I40" s="25">
        <f>+G40+H40</f>
        <v>468</v>
      </c>
    </row>
    <row r="41" spans="2:9" s="31" customFormat="1" ht="12.75">
      <c r="B41" s="59" t="s">
        <v>110</v>
      </c>
      <c r="C41" s="49" t="s">
        <v>111</v>
      </c>
      <c r="D41" s="25">
        <f>SUM(D34:D40)</f>
        <v>0</v>
      </c>
      <c r="E41" s="25">
        <f>SUM(E34:E40)</f>
        <v>0</v>
      </c>
      <c r="F41" s="25">
        <f>SUM(F34:F40)</f>
        <v>0</v>
      </c>
      <c r="G41" s="25">
        <f>SUM(G34:G40)</f>
        <v>2200</v>
      </c>
      <c r="H41" s="25">
        <f>SUM(H34:H40)</f>
        <v>0</v>
      </c>
      <c r="I41" s="25">
        <f>SUM(I34:I40)</f>
        <v>2200</v>
      </c>
    </row>
    <row r="42" spans="2:9" ht="12.75">
      <c r="B42" s="60" t="s">
        <v>112</v>
      </c>
      <c r="C42" s="46" t="s">
        <v>113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ht="12.75">
      <c r="B43" s="60" t="s">
        <v>114</v>
      </c>
      <c r="C43" s="46" t="s">
        <v>115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ht="12.75">
      <c r="B44" s="60" t="s">
        <v>116</v>
      </c>
      <c r="C44" s="46" t="s">
        <v>117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ht="12.75">
      <c r="B45" s="60" t="s">
        <v>118</v>
      </c>
      <c r="C45" s="46" t="s">
        <v>119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ht="12.75">
      <c r="B46" s="50" t="s">
        <v>120</v>
      </c>
      <c r="C46" s="49" t="s">
        <v>121</v>
      </c>
      <c r="D46" s="25">
        <f>SUM(D42:D45)</f>
        <v>0</v>
      </c>
      <c r="E46" s="25">
        <f>SUM(E42:E45)</f>
        <v>0</v>
      </c>
      <c r="F46" s="25">
        <f>SUM(F42:F45)</f>
        <v>0</v>
      </c>
      <c r="G46" s="25">
        <f>SUM(G42:G45)</f>
        <v>0</v>
      </c>
      <c r="H46" s="25">
        <f>SUM(H42:H45)</f>
        <v>0</v>
      </c>
      <c r="I46" s="25">
        <f>SUM(I42:I45)</f>
        <v>0</v>
      </c>
    </row>
    <row r="47" spans="2:9" ht="15" customHeight="1">
      <c r="B47" s="60" t="s">
        <v>122</v>
      </c>
      <c r="C47" s="46" t="s">
        <v>123</v>
      </c>
      <c r="D47" s="24"/>
      <c r="E47" s="24"/>
      <c r="F47" s="25">
        <f>+D47+E47</f>
        <v>0</v>
      </c>
      <c r="G47" s="24"/>
      <c r="H47" s="24"/>
      <c r="I47" s="25">
        <f>+G47+H47</f>
        <v>0</v>
      </c>
    </row>
    <row r="48" spans="2:9" ht="15" customHeight="1">
      <c r="B48" s="60" t="s">
        <v>124</v>
      </c>
      <c r="C48" s="46" t="s">
        <v>125</v>
      </c>
      <c r="D48" s="24"/>
      <c r="E48" s="24"/>
      <c r="F48" s="25">
        <f>+D48+E48</f>
        <v>0</v>
      </c>
      <c r="G48" s="24"/>
      <c r="H48" s="24"/>
      <c r="I48" s="25">
        <f>+G48+H48</f>
        <v>0</v>
      </c>
    </row>
    <row r="49" spans="2:9" ht="15" customHeight="1">
      <c r="B49" s="60" t="s">
        <v>126</v>
      </c>
      <c r="C49" s="46" t="s">
        <v>127</v>
      </c>
      <c r="D49" s="24"/>
      <c r="E49" s="24"/>
      <c r="F49" s="25">
        <f>+D49+E49</f>
        <v>0</v>
      </c>
      <c r="G49" s="24"/>
      <c r="H49" s="24"/>
      <c r="I49" s="25">
        <f>+G49+H49</f>
        <v>0</v>
      </c>
    </row>
    <row r="50" spans="2:9" ht="15" customHeight="1">
      <c r="B50" s="60" t="s">
        <v>128</v>
      </c>
      <c r="C50" s="46" t="s">
        <v>129</v>
      </c>
      <c r="D50" s="24"/>
      <c r="E50" s="24"/>
      <c r="F50" s="25">
        <f>+D50+E50</f>
        <v>0</v>
      </c>
      <c r="G50" s="24"/>
      <c r="H50" s="24"/>
      <c r="I50" s="25">
        <f>+G50+H50</f>
        <v>0</v>
      </c>
    </row>
    <row r="51" spans="2:9" ht="15" customHeight="1">
      <c r="B51" s="60" t="s">
        <v>130</v>
      </c>
      <c r="C51" s="46" t="s">
        <v>131</v>
      </c>
      <c r="D51" s="24"/>
      <c r="E51" s="24"/>
      <c r="F51" s="25">
        <f>+D51+E51</f>
        <v>0</v>
      </c>
      <c r="G51" s="24"/>
      <c r="H51" s="24"/>
      <c r="I51" s="25">
        <f>+G51+H51</f>
        <v>0</v>
      </c>
    </row>
    <row r="52" spans="2:9" ht="15" customHeight="1">
      <c r="B52" s="60" t="s">
        <v>132</v>
      </c>
      <c r="C52" s="46" t="s">
        <v>133</v>
      </c>
      <c r="D52" s="24"/>
      <c r="E52" s="24"/>
      <c r="F52" s="25">
        <f>+D52+E52</f>
        <v>0</v>
      </c>
      <c r="G52" s="24"/>
      <c r="H52" s="24"/>
      <c r="I52" s="25">
        <f>+G52+H52</f>
        <v>0</v>
      </c>
    </row>
    <row r="53" spans="2:9" ht="15" customHeight="1">
      <c r="B53" s="60" t="s">
        <v>134</v>
      </c>
      <c r="C53" s="46" t="s">
        <v>135</v>
      </c>
      <c r="D53" s="24"/>
      <c r="E53" s="24"/>
      <c r="F53" s="25">
        <f>+D53+E53</f>
        <v>0</v>
      </c>
      <c r="G53" s="24"/>
      <c r="H53" s="24"/>
      <c r="I53" s="25">
        <f>+G53+H53</f>
        <v>0</v>
      </c>
    </row>
    <row r="54" spans="2:9" ht="15" customHeight="1">
      <c r="B54" s="53" t="s">
        <v>596</v>
      </c>
      <c r="C54" s="46" t="s">
        <v>137</v>
      </c>
      <c r="D54" s="24"/>
      <c r="E54" s="24"/>
      <c r="F54" s="25">
        <f>+D54+E54</f>
        <v>0</v>
      </c>
      <c r="G54" s="24"/>
      <c r="H54" s="24"/>
      <c r="I54" s="25">
        <f>+G54+H54</f>
        <v>0</v>
      </c>
    </row>
    <row r="55" spans="2:9" ht="12.75">
      <c r="B55" s="60" t="s">
        <v>138</v>
      </c>
      <c r="C55" s="46" t="s">
        <v>139</v>
      </c>
      <c r="D55" s="24"/>
      <c r="E55" s="24"/>
      <c r="F55" s="25">
        <f>+D55+E55</f>
        <v>0</v>
      </c>
      <c r="G55" s="24"/>
      <c r="H55" s="24"/>
      <c r="I55" s="25">
        <f>+G55+H55</f>
        <v>0</v>
      </c>
    </row>
    <row r="56" spans="2:9" s="31" customFormat="1" ht="12.75">
      <c r="B56" s="51" t="s">
        <v>140</v>
      </c>
      <c r="C56" s="49" t="s">
        <v>141</v>
      </c>
      <c r="D56" s="25">
        <f>SUM(D47:D55)</f>
        <v>0</v>
      </c>
      <c r="E56" s="25">
        <f>SUM(E47:E55)</f>
        <v>0</v>
      </c>
      <c r="F56" s="25">
        <f>SUM(F47:F55)</f>
        <v>0</v>
      </c>
      <c r="G56" s="25">
        <f>SUM(G47:G55)</f>
        <v>0</v>
      </c>
      <c r="H56" s="25">
        <f>SUM(H47:H55)</f>
        <v>0</v>
      </c>
      <c r="I56" s="25">
        <f>SUM(I47:I55)</f>
        <v>0</v>
      </c>
    </row>
    <row r="57" spans="2:9" ht="12.75">
      <c r="B57" s="54" t="s">
        <v>142</v>
      </c>
      <c r="C57" s="55" t="s">
        <v>143</v>
      </c>
      <c r="D57" s="56">
        <f>+D56+D46+D41</f>
        <v>0</v>
      </c>
      <c r="E57" s="56">
        <f>+E56+E46+E41</f>
        <v>0</v>
      </c>
      <c r="F57" s="56">
        <f>+F56+F46+F41</f>
        <v>0</v>
      </c>
      <c r="G57" s="56">
        <f>+G56+G46+G41</f>
        <v>2200</v>
      </c>
      <c r="H57" s="56">
        <f>+H56+H46+H41</f>
        <v>0</v>
      </c>
      <c r="I57" s="56">
        <f>+I56+I46+I41</f>
        <v>2200</v>
      </c>
    </row>
    <row r="58" spans="2:9" ht="12.75">
      <c r="B58" s="61" t="s">
        <v>144</v>
      </c>
      <c r="C58" s="62" t="s">
        <v>145</v>
      </c>
      <c r="D58" s="63">
        <f>+D56+D46+D41+D32+D17+D16+D10+D9</f>
        <v>31774</v>
      </c>
      <c r="E58" s="63">
        <f>+E56+E46+E41+E32+E17+E16+E10+E9</f>
        <v>0</v>
      </c>
      <c r="F58" s="63">
        <f>+F56+F46+F41+F32+F17+F16+F10+F9</f>
        <v>31774</v>
      </c>
      <c r="G58" s="63">
        <f>+G56+G46+G41+G32+G17+G16+G10+G9</f>
        <v>34646</v>
      </c>
      <c r="H58" s="63">
        <f>+H56+H46+H41+H32+H17+H16+H10+H9</f>
        <v>0</v>
      </c>
      <c r="I58" s="63">
        <f>+I56+I46+I41+I32+I17+I16+I10+I9</f>
        <v>34646</v>
      </c>
    </row>
    <row r="59" spans="2:22" ht="12.75">
      <c r="B59" s="68" t="s">
        <v>582</v>
      </c>
      <c r="C59" s="47" t="s">
        <v>171</v>
      </c>
      <c r="D59" s="241"/>
      <c r="E59" s="241"/>
      <c r="F59" s="24">
        <f>+D59+E59</f>
        <v>0</v>
      </c>
      <c r="G59" s="241"/>
      <c r="H59" s="241"/>
      <c r="I59" s="24">
        <f>+G59+H59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/>
      <c r="V59" s="65"/>
    </row>
    <row r="60" spans="2:22" ht="12.75">
      <c r="B60" s="68" t="s">
        <v>172</v>
      </c>
      <c r="C60" s="47" t="s">
        <v>173</v>
      </c>
      <c r="D60" s="241"/>
      <c r="E60" s="241"/>
      <c r="F60" s="24">
        <f>+D60+E60</f>
        <v>0</v>
      </c>
      <c r="G60" s="241"/>
      <c r="H60" s="241"/>
      <c r="I60" s="24">
        <f>+G60+H60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/>
      <c r="V60" s="65"/>
    </row>
    <row r="61" spans="2:22" ht="12.75">
      <c r="B61" s="60" t="s">
        <v>174</v>
      </c>
      <c r="C61" s="47" t="s">
        <v>175</v>
      </c>
      <c r="D61" s="241"/>
      <c r="E61" s="241"/>
      <c r="F61" s="24">
        <f>+D61+E61</f>
        <v>0</v>
      </c>
      <c r="G61" s="241"/>
      <c r="H61" s="241"/>
      <c r="I61" s="24">
        <f>+G61+H61</f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5"/>
    </row>
    <row r="62" spans="2:22" ht="12.75">
      <c r="B62" s="60" t="s">
        <v>176</v>
      </c>
      <c r="C62" s="47" t="s">
        <v>177</v>
      </c>
      <c r="D62" s="241"/>
      <c r="E62" s="241"/>
      <c r="F62" s="24">
        <f>+D62+E62</f>
        <v>0</v>
      </c>
      <c r="G62" s="241"/>
      <c r="H62" s="241"/>
      <c r="I62" s="24">
        <f>+G62+H62</f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5"/>
    </row>
    <row r="63" spans="2:22" ht="12.75">
      <c r="B63" s="73" t="s">
        <v>178</v>
      </c>
      <c r="C63" s="74" t="s">
        <v>179</v>
      </c>
      <c r="D63" s="75">
        <f>+D61+D60+D59+D62</f>
        <v>0</v>
      </c>
      <c r="E63" s="75">
        <f>+E61+E60+E59+E62</f>
        <v>0</v>
      </c>
      <c r="F63" s="75">
        <f>+F61+F60+F59+F62</f>
        <v>0</v>
      </c>
      <c r="G63" s="75">
        <f>+G61+G60+G59+G62</f>
        <v>0</v>
      </c>
      <c r="H63" s="75">
        <f>+H61+H60+H59+H62</f>
        <v>0</v>
      </c>
      <c r="I63" s="75">
        <f>+I61+I60+I59+I62</f>
        <v>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5"/>
      <c r="V63" s="65"/>
    </row>
    <row r="64" spans="2:22" ht="12.75">
      <c r="B64" s="28" t="s">
        <v>180</v>
      </c>
      <c r="C64" s="28" t="s">
        <v>181</v>
      </c>
      <c r="D64" s="29">
        <f>+D58+D63</f>
        <v>31774</v>
      </c>
      <c r="E64" s="29">
        <f>+E58+E63</f>
        <v>0</v>
      </c>
      <c r="F64" s="29">
        <f>+F58+F63</f>
        <v>31774</v>
      </c>
      <c r="G64" s="29">
        <f>+G58+G63</f>
        <v>34646</v>
      </c>
      <c r="H64" s="29">
        <f>+H58+H63</f>
        <v>0</v>
      </c>
      <c r="I64" s="29">
        <f>+I58+I63</f>
        <v>34646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13"/>
      <c r="C65" s="76"/>
      <c r="D65" s="77"/>
      <c r="E65" s="77"/>
      <c r="F65" s="78"/>
      <c r="G65" s="77"/>
      <c r="H65" s="77"/>
      <c r="I65" s="7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2:22" ht="15.75" customHeight="1" hidden="1">
      <c r="B66" s="13"/>
      <c r="C66" s="76"/>
      <c r="D66" s="92" t="s">
        <v>14</v>
      </c>
      <c r="E66" s="92"/>
      <c r="F66" s="92"/>
      <c r="G66" s="92" t="s">
        <v>14</v>
      </c>
      <c r="H66" s="92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2:22" ht="12.75">
      <c r="B67" s="19" t="s">
        <v>15</v>
      </c>
      <c r="C67" s="42" t="s">
        <v>182</v>
      </c>
      <c r="D67" s="43" t="s">
        <v>16</v>
      </c>
      <c r="E67" s="43" t="s">
        <v>17</v>
      </c>
      <c r="F67" s="162" t="s">
        <v>528</v>
      </c>
      <c r="G67" s="43" t="s">
        <v>16</v>
      </c>
      <c r="H67" s="43" t="s">
        <v>17</v>
      </c>
      <c r="I67" s="162" t="s">
        <v>528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2:22" ht="12.75">
      <c r="B68" s="50" t="s">
        <v>584</v>
      </c>
      <c r="C68" s="59" t="s">
        <v>196</v>
      </c>
      <c r="D68" s="25"/>
      <c r="E68" s="25"/>
      <c r="F68" s="25">
        <f>+E68+D68</f>
        <v>0</v>
      </c>
      <c r="G68" s="25"/>
      <c r="H68" s="25"/>
      <c r="I68" s="25">
        <f>+H68+G68</f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2:22" ht="12.75">
      <c r="B69" s="47" t="s">
        <v>197</v>
      </c>
      <c r="C69" s="58" t="s">
        <v>198</v>
      </c>
      <c r="D69" s="25"/>
      <c r="E69" s="25"/>
      <c r="F69" s="25">
        <f>+E69+D69</f>
        <v>0</v>
      </c>
      <c r="G69" s="25"/>
      <c r="H69" s="25"/>
      <c r="I69" s="25">
        <f>+H69+G69</f>
        <v>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2:22" ht="12.75">
      <c r="B70" s="47" t="s">
        <v>199</v>
      </c>
      <c r="C70" s="58" t="s">
        <v>200</v>
      </c>
      <c r="D70" s="25"/>
      <c r="E70" s="25"/>
      <c r="F70" s="25">
        <f>+E70+D70</f>
        <v>0</v>
      </c>
      <c r="G70" s="25"/>
      <c r="H70" s="25"/>
      <c r="I70" s="25">
        <f>+H70+G70</f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2:22" ht="12.75">
      <c r="B71" s="47" t="s">
        <v>201</v>
      </c>
      <c r="C71" s="58" t="s">
        <v>202</v>
      </c>
      <c r="D71" s="25"/>
      <c r="E71" s="25"/>
      <c r="F71" s="25">
        <f>+E71+D71</f>
        <v>0</v>
      </c>
      <c r="G71" s="25"/>
      <c r="H71" s="25"/>
      <c r="I71" s="25">
        <f>+H71+G71</f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2:22" ht="12.75">
      <c r="B72" s="47" t="s">
        <v>203</v>
      </c>
      <c r="C72" s="58" t="s">
        <v>204</v>
      </c>
      <c r="D72" s="25"/>
      <c r="E72" s="25"/>
      <c r="F72" s="25">
        <f>+E72+D72</f>
        <v>0</v>
      </c>
      <c r="G72" s="25"/>
      <c r="H72" s="25"/>
      <c r="I72" s="25">
        <f>+H72+G72</f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2:22" ht="12.75">
      <c r="B73" s="47" t="s">
        <v>205</v>
      </c>
      <c r="C73" s="58" t="s">
        <v>206</v>
      </c>
      <c r="D73" s="24">
        <v>3100</v>
      </c>
      <c r="E73" s="24"/>
      <c r="F73" s="25">
        <f>+E73+D73</f>
        <v>3100</v>
      </c>
      <c r="G73" s="24">
        <v>3100</v>
      </c>
      <c r="H73" s="24"/>
      <c r="I73" s="25">
        <f>+H73+G73</f>
        <v>3100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2.75">
      <c r="B74" s="50" t="s">
        <v>207</v>
      </c>
      <c r="C74" s="59" t="s">
        <v>208</v>
      </c>
      <c r="D74" s="25">
        <f>+D73+D72+D71+D70+D69+D68</f>
        <v>3100</v>
      </c>
      <c r="E74" s="25">
        <f>+E73+E72+E71+E70+E69+E68</f>
        <v>0</v>
      </c>
      <c r="F74" s="25">
        <f>+F73+F72+F71+F70+F69+F68</f>
        <v>3100</v>
      </c>
      <c r="G74" s="25">
        <f>+G73+G72+G71+G70+G69+G68</f>
        <v>3100</v>
      </c>
      <c r="H74" s="25">
        <f>+H73+H72+H71+H70+H69+H68</f>
        <v>0</v>
      </c>
      <c r="I74" s="25">
        <f>+I73+I72+I71+I70+I69+I68</f>
        <v>3100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2.75">
      <c r="B75" s="50" t="s">
        <v>209</v>
      </c>
      <c r="C75" s="59" t="s">
        <v>210</v>
      </c>
      <c r="D75" s="24"/>
      <c r="E75" s="24"/>
      <c r="F75" s="25">
        <f>+E75+D75</f>
        <v>0</v>
      </c>
      <c r="G75" s="24"/>
      <c r="H75" s="24"/>
      <c r="I75" s="25">
        <f>+H75+G75</f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2:22" ht="12.75" hidden="1">
      <c r="B76" s="47" t="s">
        <v>211</v>
      </c>
      <c r="C76" s="58" t="s">
        <v>212</v>
      </c>
      <c r="D76" s="24"/>
      <c r="E76" s="24"/>
      <c r="F76" s="25">
        <f>+E76+D76</f>
        <v>0</v>
      </c>
      <c r="G76" s="24"/>
      <c r="H76" s="24"/>
      <c r="I76" s="25">
        <f>+H76+G76</f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2.75" hidden="1">
      <c r="B77" s="47" t="s">
        <v>213</v>
      </c>
      <c r="C77" s="58" t="s">
        <v>214</v>
      </c>
      <c r="D77" s="24"/>
      <c r="E77" s="24"/>
      <c r="F77" s="25">
        <f>+E77+D77</f>
        <v>0</v>
      </c>
      <c r="G77" s="24"/>
      <c r="H77" s="24"/>
      <c r="I77" s="25">
        <f>+H77+G77</f>
        <v>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2:22" ht="12.75" hidden="1">
      <c r="B78" s="47" t="s">
        <v>215</v>
      </c>
      <c r="C78" s="58" t="s">
        <v>216</v>
      </c>
      <c r="D78" s="24"/>
      <c r="E78" s="24"/>
      <c r="F78" s="25">
        <f>+E78+D78</f>
        <v>0</v>
      </c>
      <c r="G78" s="24"/>
      <c r="H78" s="24"/>
      <c r="I78" s="25">
        <f>+H78+G78</f>
        <v>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2:22" ht="12.75" hidden="1">
      <c r="B79" s="47" t="s">
        <v>217</v>
      </c>
      <c r="C79" s="58" t="s">
        <v>218</v>
      </c>
      <c r="D79" s="24"/>
      <c r="E79" s="24"/>
      <c r="F79" s="25">
        <f>+E79+D79</f>
        <v>0</v>
      </c>
      <c r="G79" s="24"/>
      <c r="H79" s="24"/>
      <c r="I79" s="25">
        <f>+H79+G79</f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2:22" ht="12.75" hidden="1">
      <c r="B80" s="47" t="s">
        <v>219</v>
      </c>
      <c r="C80" s="58" t="s">
        <v>220</v>
      </c>
      <c r="D80" s="24"/>
      <c r="E80" s="24"/>
      <c r="F80" s="25">
        <f>+E80+D80</f>
        <v>0</v>
      </c>
      <c r="G80" s="24"/>
      <c r="H80" s="24"/>
      <c r="I80" s="25">
        <f>+H80+G80</f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2:22" ht="12.75" hidden="1">
      <c r="B81" s="47" t="s">
        <v>221</v>
      </c>
      <c r="C81" s="58" t="s">
        <v>222</v>
      </c>
      <c r="D81" s="24"/>
      <c r="E81" s="24"/>
      <c r="F81" s="25">
        <f>+E81+D81</f>
        <v>0</v>
      </c>
      <c r="G81" s="24"/>
      <c r="H81" s="24"/>
      <c r="I81" s="25">
        <f>+H81+G81</f>
        <v>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2:22" ht="12.75">
      <c r="B82" s="50" t="s">
        <v>223</v>
      </c>
      <c r="C82" s="59" t="s">
        <v>224</v>
      </c>
      <c r="D82" s="25">
        <f>SUM(D76:D81)</f>
        <v>0</v>
      </c>
      <c r="E82" s="25">
        <f>SUM(E76:E81)</f>
        <v>0</v>
      </c>
      <c r="F82" s="25">
        <f>SUM(F76:F81)</f>
        <v>0</v>
      </c>
      <c r="G82" s="25">
        <f>SUM(G76:G81)</f>
        <v>0</v>
      </c>
      <c r="H82" s="25">
        <f>SUM(H76:H81)</f>
        <v>0</v>
      </c>
      <c r="I82" s="25">
        <f>SUM(I76:I81)</f>
        <v>0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2:22" ht="12.75">
      <c r="B83" s="60" t="s">
        <v>585</v>
      </c>
      <c r="C83" s="58" t="s">
        <v>226</v>
      </c>
      <c r="D83" s="24"/>
      <c r="E83" s="24"/>
      <c r="F83" s="25">
        <f>+E83+D83</f>
        <v>0</v>
      </c>
      <c r="G83" s="24"/>
      <c r="H83" s="24"/>
      <c r="I83" s="25">
        <f>+H83+G83</f>
        <v>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2:22" ht="12.75">
      <c r="B84" s="60" t="s">
        <v>227</v>
      </c>
      <c r="C84" s="58" t="s">
        <v>228</v>
      </c>
      <c r="D84" s="24">
        <f>590+6293+100</f>
        <v>6983</v>
      </c>
      <c r="E84" s="24"/>
      <c r="F84" s="25">
        <f>+E84+D84</f>
        <v>6983</v>
      </c>
      <c r="G84" s="24">
        <f>590+6293+100</f>
        <v>6983</v>
      </c>
      <c r="H84" s="24"/>
      <c r="I84" s="25">
        <f>+H84+G84</f>
        <v>6983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2:22" ht="12.75">
      <c r="B85" s="60" t="s">
        <v>229</v>
      </c>
      <c r="C85" s="58" t="s">
        <v>230</v>
      </c>
      <c r="D85" s="24"/>
      <c r="E85" s="24"/>
      <c r="F85" s="25">
        <f>+E85+D85</f>
        <v>0</v>
      </c>
      <c r="G85" s="24"/>
      <c r="H85" s="24"/>
      <c r="I85" s="25">
        <f>+H85+G85</f>
        <v>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2:22" ht="12.75">
      <c r="B86" s="60" t="s">
        <v>231</v>
      </c>
      <c r="C86" s="58" t="s">
        <v>232</v>
      </c>
      <c r="D86" s="24"/>
      <c r="E86" s="24"/>
      <c r="F86" s="25">
        <f>+E86+D86</f>
        <v>0</v>
      </c>
      <c r="G86" s="24"/>
      <c r="H86" s="24"/>
      <c r="I86" s="25">
        <f>+H86+G86</f>
        <v>0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2:22" ht="12.75">
      <c r="B87" s="60" t="s">
        <v>233</v>
      </c>
      <c r="C87" s="58" t="s">
        <v>234</v>
      </c>
      <c r="D87" s="24"/>
      <c r="E87" s="24"/>
      <c r="F87" s="25">
        <f>+E87+D87</f>
        <v>0</v>
      </c>
      <c r="G87" s="24"/>
      <c r="H87" s="24"/>
      <c r="I87" s="25">
        <f>+H87+G87</f>
        <v>0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2:22" ht="12.75">
      <c r="B88" s="60" t="s">
        <v>235</v>
      </c>
      <c r="C88" s="58" t="s">
        <v>236</v>
      </c>
      <c r="D88" s="24">
        <v>1860</v>
      </c>
      <c r="E88" s="24"/>
      <c r="F88" s="25">
        <f>+E88+D88</f>
        <v>1860</v>
      </c>
      <c r="G88" s="24">
        <v>1860</v>
      </c>
      <c r="H88" s="24"/>
      <c r="I88" s="25">
        <f>+H88+G88</f>
        <v>1860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2:22" ht="12.75">
      <c r="B89" s="60" t="s">
        <v>237</v>
      </c>
      <c r="C89" s="58" t="s">
        <v>238</v>
      </c>
      <c r="D89" s="24"/>
      <c r="E89" s="24"/>
      <c r="F89" s="25">
        <f>+E89+D89</f>
        <v>0</v>
      </c>
      <c r="G89" s="24"/>
      <c r="H89" s="24"/>
      <c r="I89" s="25">
        <f>+H89+G89</f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2:22" ht="12.75">
      <c r="B90" s="60" t="s">
        <v>239</v>
      </c>
      <c r="C90" s="58" t="s">
        <v>240</v>
      </c>
      <c r="D90" s="24"/>
      <c r="E90" s="24"/>
      <c r="F90" s="25">
        <f>+E90+D90</f>
        <v>0</v>
      </c>
      <c r="G90" s="24"/>
      <c r="H90" s="24"/>
      <c r="I90" s="25">
        <f>+H90+G90</f>
        <v>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2:22" ht="12.75">
      <c r="B91" s="60" t="s">
        <v>241</v>
      </c>
      <c r="C91" s="58" t="s">
        <v>242</v>
      </c>
      <c r="D91" s="24"/>
      <c r="E91" s="24"/>
      <c r="F91" s="25">
        <f>+E91+D91</f>
        <v>0</v>
      </c>
      <c r="G91" s="24"/>
      <c r="H91" s="24"/>
      <c r="I91" s="25">
        <f>+H91+G91</f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2:22" ht="12.75">
      <c r="B92" s="60" t="s">
        <v>243</v>
      </c>
      <c r="C92" s="58" t="s">
        <v>244</v>
      </c>
      <c r="D92" s="24"/>
      <c r="E92" s="24"/>
      <c r="F92" s="25">
        <f>+E92+D92</f>
        <v>0</v>
      </c>
      <c r="G92" s="24"/>
      <c r="H92" s="24"/>
      <c r="I92" s="25">
        <f>+H92+G92</f>
        <v>0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2:22" ht="12.75">
      <c r="B93" s="60" t="s">
        <v>245</v>
      </c>
      <c r="C93" s="58" t="s">
        <v>246</v>
      </c>
      <c r="D93" s="24"/>
      <c r="E93" s="24"/>
      <c r="F93" s="25">
        <f>+E93+D93</f>
        <v>0</v>
      </c>
      <c r="G93" s="24"/>
      <c r="H93" s="24"/>
      <c r="I93" s="25">
        <f>+H93+G93</f>
        <v>0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2:22" ht="12.75">
      <c r="B94" s="51" t="s">
        <v>247</v>
      </c>
      <c r="C94" s="59" t="s">
        <v>248</v>
      </c>
      <c r="D94" s="25">
        <f>SUM(D83:D93)</f>
        <v>8843</v>
      </c>
      <c r="E94" s="25">
        <f>SUM(E83:E93)</f>
        <v>0</v>
      </c>
      <c r="F94" s="25">
        <f>SUM(F83:F93)</f>
        <v>8843</v>
      </c>
      <c r="G94" s="25">
        <f>SUM(G83:G93)</f>
        <v>8843</v>
      </c>
      <c r="H94" s="25">
        <f>SUM(H83:H93)</f>
        <v>0</v>
      </c>
      <c r="I94" s="25">
        <f>SUM(I83:I93)</f>
        <v>8843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2:22" ht="12.75">
      <c r="B95" s="60" t="s">
        <v>249</v>
      </c>
      <c r="C95" s="58" t="s">
        <v>250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2:22" ht="12.75">
      <c r="B96" s="60" t="s">
        <v>251</v>
      </c>
      <c r="C96" s="58" t="s">
        <v>252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2:22" ht="12.75">
      <c r="B97" s="60" t="s">
        <v>253</v>
      </c>
      <c r="C97" s="58" t="s">
        <v>254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2:22" ht="12.75">
      <c r="B98" s="60" t="s">
        <v>255</v>
      </c>
      <c r="C98" s="58" t="s">
        <v>256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2:22" ht="12.75">
      <c r="B99" s="60" t="s">
        <v>257</v>
      </c>
      <c r="C99" s="58" t="s">
        <v>258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2:22" ht="12.75">
      <c r="B100" s="50" t="s">
        <v>259</v>
      </c>
      <c r="C100" s="59" t="s">
        <v>260</v>
      </c>
      <c r="D100" s="25">
        <f>SUM(D95:D99)</f>
        <v>0</v>
      </c>
      <c r="E100" s="25">
        <f>SUM(E95:E99)</f>
        <v>0</v>
      </c>
      <c r="F100" s="25">
        <f>SUM(F95:F99)</f>
        <v>0</v>
      </c>
      <c r="G100" s="25">
        <f>SUM(G95:G99)</f>
        <v>0</v>
      </c>
      <c r="H100" s="25">
        <f>SUM(H95:H99)</f>
        <v>0</v>
      </c>
      <c r="I100" s="25">
        <f>SUM(I95:I99)</f>
        <v>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2:22" ht="12.75">
      <c r="B101" s="50" t="s">
        <v>261</v>
      </c>
      <c r="C101" s="59" t="s">
        <v>262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2:22" ht="12.75">
      <c r="B102" s="60" t="s">
        <v>263</v>
      </c>
      <c r="C102" s="58" t="s">
        <v>264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2:22" ht="12.75">
      <c r="B103" s="47" t="s">
        <v>265</v>
      </c>
      <c r="C103" s="58" t="s">
        <v>266</v>
      </c>
      <c r="D103" s="24"/>
      <c r="E103" s="24"/>
      <c r="F103" s="25"/>
      <c r="G103" s="24"/>
      <c r="H103" s="24"/>
      <c r="I103" s="2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2:22" ht="12.75">
      <c r="B104" s="60" t="s">
        <v>267</v>
      </c>
      <c r="C104" s="58" t="s">
        <v>268</v>
      </c>
      <c r="D104" s="24"/>
      <c r="E104" s="24"/>
      <c r="F104" s="25"/>
      <c r="G104" s="24"/>
      <c r="H104" s="24"/>
      <c r="I104" s="2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2:22" ht="15" customHeight="1">
      <c r="B105" s="60" t="s">
        <v>269</v>
      </c>
      <c r="C105" s="58" t="s">
        <v>270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22" ht="12.75">
      <c r="B106" s="60" t="s">
        <v>271</v>
      </c>
      <c r="C106" s="58" t="s">
        <v>272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22" ht="12.75">
      <c r="B107" s="50" t="s">
        <v>273</v>
      </c>
      <c r="C107" s="59" t="s">
        <v>274</v>
      </c>
      <c r="D107" s="25">
        <f>SUM(D102:D106)</f>
        <v>0</v>
      </c>
      <c r="E107" s="25">
        <f>SUM(E102:E106)</f>
        <v>0</v>
      </c>
      <c r="F107" s="25">
        <f>SUM(F102:F106)</f>
        <v>0</v>
      </c>
      <c r="G107" s="25">
        <f>SUM(G102:G106)</f>
        <v>0</v>
      </c>
      <c r="H107" s="25">
        <f>SUM(H102:H106)</f>
        <v>0</v>
      </c>
      <c r="I107" s="25">
        <f>SUM(I102:I106)</f>
        <v>0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22" ht="12.75">
      <c r="B108" s="81" t="s">
        <v>275</v>
      </c>
      <c r="C108" s="61" t="s">
        <v>276</v>
      </c>
      <c r="D108" s="63">
        <f>+D107+D101+D100+D94+D82+D75+D74</f>
        <v>11943</v>
      </c>
      <c r="E108" s="63">
        <f>+E107+E101+E100+E94+E82+E75+E74</f>
        <v>0</v>
      </c>
      <c r="F108" s="63">
        <f>+F107+F101+F100+F94+F82+F75+F74</f>
        <v>11943</v>
      </c>
      <c r="G108" s="63">
        <f>+G107+G101+G100+G94+G82+G75+G74</f>
        <v>11943</v>
      </c>
      <c r="H108" s="63">
        <f>+H107+H101+H100+H94+H82+H75+H74</f>
        <v>0</v>
      </c>
      <c r="I108" s="63">
        <f>+I107+I101+I100+I94+I82+I75+I74</f>
        <v>11943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22" ht="12.75">
      <c r="B109" s="82" t="s">
        <v>277</v>
      </c>
      <c r="C109" s="83"/>
      <c r="D109" s="84">
        <f>+D101+D94+D82+D74-D33</f>
        <v>-19831</v>
      </c>
      <c r="E109" s="84">
        <f>+E101+E94+E82+E74-E33</f>
        <v>0</v>
      </c>
      <c r="F109" s="84">
        <f>+E109+D109</f>
        <v>-19831</v>
      </c>
      <c r="G109" s="84">
        <f>+G101+G94+G82+G74-G33</f>
        <v>-20503</v>
      </c>
      <c r="H109" s="84">
        <f>+H101+H94+H82+H74-H33</f>
        <v>0</v>
      </c>
      <c r="I109" s="84">
        <f>+H109+G109</f>
        <v>-20503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22" ht="12.75">
      <c r="B110" s="82" t="s">
        <v>278</v>
      </c>
      <c r="C110" s="83"/>
      <c r="D110" s="84">
        <f>+D107+D100+D75-D57</f>
        <v>0</v>
      </c>
      <c r="E110" s="84">
        <f>+E107+E100+E75-E57</f>
        <v>0</v>
      </c>
      <c r="F110" s="84">
        <f>+E110+D110</f>
        <v>0</v>
      </c>
      <c r="G110" s="84">
        <f>+G107+G100+G75-G57</f>
        <v>-2200</v>
      </c>
      <c r="H110" s="84">
        <f>+H107+H100+H75-H57</f>
        <v>0</v>
      </c>
      <c r="I110" s="84">
        <f>+H110+G110</f>
        <v>-2200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2:9" ht="12.75">
      <c r="B111" s="51" t="s">
        <v>586</v>
      </c>
      <c r="C111" s="50" t="s">
        <v>286</v>
      </c>
      <c r="D111" s="24"/>
      <c r="E111" s="24"/>
      <c r="F111" s="25">
        <f>+E111+D111</f>
        <v>0</v>
      </c>
      <c r="G111" s="24"/>
      <c r="H111" s="24"/>
      <c r="I111" s="25">
        <f>+H111+G111</f>
        <v>0</v>
      </c>
    </row>
    <row r="112" spans="2:9" ht="12.75">
      <c r="B112" s="72" t="s">
        <v>587</v>
      </c>
      <c r="C112" s="50" t="s">
        <v>296</v>
      </c>
      <c r="D112" s="24"/>
      <c r="E112" s="24"/>
      <c r="F112" s="25">
        <f>+E112+D112</f>
        <v>0</v>
      </c>
      <c r="G112" s="24"/>
      <c r="H112" s="24"/>
      <c r="I112" s="25">
        <f>+H112+G112</f>
        <v>0</v>
      </c>
    </row>
    <row r="113" spans="2:9" ht="12.75">
      <c r="B113" s="47" t="s">
        <v>297</v>
      </c>
      <c r="C113" s="47" t="s">
        <v>298</v>
      </c>
      <c r="D113" s="24"/>
      <c r="E113" s="24"/>
      <c r="F113" s="25">
        <f>+E113+D113</f>
        <v>0</v>
      </c>
      <c r="G113" s="24">
        <v>2690</v>
      </c>
      <c r="H113" s="24"/>
      <c r="I113" s="25">
        <f>+H113+G113</f>
        <v>2690</v>
      </c>
    </row>
    <row r="114" spans="2:9" ht="12.75">
      <c r="B114" s="47" t="s">
        <v>299</v>
      </c>
      <c r="C114" s="47" t="s">
        <v>298</v>
      </c>
      <c r="D114" s="24"/>
      <c r="E114" s="24"/>
      <c r="F114" s="25">
        <f>+E114+D114</f>
        <v>0</v>
      </c>
      <c r="G114" s="24"/>
      <c r="H114" s="24"/>
      <c r="I114" s="25">
        <f>+H114+G114</f>
        <v>0</v>
      </c>
    </row>
    <row r="115" spans="2:9" ht="12.75">
      <c r="B115" s="47" t="s">
        <v>300</v>
      </c>
      <c r="C115" s="47" t="s">
        <v>301</v>
      </c>
      <c r="D115" s="24"/>
      <c r="E115" s="24"/>
      <c r="F115" s="25">
        <f>+E115+D115</f>
        <v>0</v>
      </c>
      <c r="G115" s="24"/>
      <c r="H115" s="24"/>
      <c r="I115" s="25">
        <f>+H115+G115</f>
        <v>0</v>
      </c>
    </row>
    <row r="116" spans="2:9" ht="12.75">
      <c r="B116" s="47" t="s">
        <v>302</v>
      </c>
      <c r="C116" s="47" t="s">
        <v>301</v>
      </c>
      <c r="D116" s="24"/>
      <c r="E116" s="24"/>
      <c r="F116" s="25">
        <f>+E116+D116</f>
        <v>0</v>
      </c>
      <c r="G116" s="24"/>
      <c r="H116" s="24"/>
      <c r="I116" s="25">
        <f>+H116+G116</f>
        <v>0</v>
      </c>
    </row>
    <row r="117" spans="1:9" ht="12.75">
      <c r="A117" s="88" t="s">
        <v>597</v>
      </c>
      <c r="B117" s="50" t="s">
        <v>303</v>
      </c>
      <c r="C117" s="50" t="s">
        <v>304</v>
      </c>
      <c r="D117" s="25">
        <f>SUM(D113:D116)</f>
        <v>0</v>
      </c>
      <c r="E117" s="25">
        <f>SUM(E113:E116)</f>
        <v>0</v>
      </c>
      <c r="F117" s="25">
        <f>SUM(F113:F116)</f>
        <v>0</v>
      </c>
      <c r="G117" s="25">
        <f>SUM(G113:G116)</f>
        <v>2690</v>
      </c>
      <c r="H117" s="25">
        <f>SUM(H113:H116)</f>
        <v>0</v>
      </c>
      <c r="I117" s="25">
        <f>SUM(I113:I116)</f>
        <v>2690</v>
      </c>
    </row>
    <row r="118" spans="1:9" ht="12.75">
      <c r="A118" s="88" t="s">
        <v>598</v>
      </c>
      <c r="B118" s="68" t="s">
        <v>305</v>
      </c>
      <c r="C118" s="47" t="s">
        <v>306</v>
      </c>
      <c r="D118" s="24"/>
      <c r="E118" s="24"/>
      <c r="F118" s="25">
        <f>+E118+D118</f>
        <v>0</v>
      </c>
      <c r="G118" s="24"/>
      <c r="H118" s="24"/>
      <c r="I118" s="25">
        <f>+H118+G118</f>
        <v>0</v>
      </c>
    </row>
    <row r="119" spans="2:9" ht="12.75">
      <c r="B119" s="68" t="s">
        <v>307</v>
      </c>
      <c r="C119" s="47" t="s">
        <v>308</v>
      </c>
      <c r="D119" s="24"/>
      <c r="E119" s="24"/>
      <c r="F119" s="25">
        <f>+E119+D119</f>
        <v>0</v>
      </c>
      <c r="G119" s="24"/>
      <c r="H119" s="24"/>
      <c r="I119" s="25">
        <f>+H119+G119</f>
        <v>0</v>
      </c>
    </row>
    <row r="120" spans="1:9" ht="12.75">
      <c r="A120" s="30" t="s">
        <v>614</v>
      </c>
      <c r="B120" s="68" t="s">
        <v>309</v>
      </c>
      <c r="C120" s="47" t="s">
        <v>310</v>
      </c>
      <c r="D120" s="24">
        <v>19831</v>
      </c>
      <c r="E120" s="24"/>
      <c r="F120" s="25">
        <f>+E120+D120</f>
        <v>19831</v>
      </c>
      <c r="G120" s="24">
        <v>20013</v>
      </c>
      <c r="H120" s="24"/>
      <c r="I120" s="25">
        <f>+H120+G120</f>
        <v>20013</v>
      </c>
    </row>
    <row r="121" spans="2:9" s="242" customFormat="1" ht="12.75">
      <c r="B121" s="243" t="s">
        <v>600</v>
      </c>
      <c r="C121" s="140"/>
      <c r="D121" s="100">
        <v>7157</v>
      </c>
      <c r="E121" s="100"/>
      <c r="F121" s="126">
        <f>+E121+D121</f>
        <v>7157</v>
      </c>
      <c r="G121" s="100">
        <f>+G120-G122</f>
        <v>7339</v>
      </c>
      <c r="H121" s="100"/>
      <c r="I121" s="126">
        <f>+H121+G121</f>
        <v>7339</v>
      </c>
    </row>
    <row r="122" spans="2:9" s="242" customFormat="1" ht="12.75">
      <c r="B122" s="244" t="s">
        <v>591</v>
      </c>
      <c r="C122" s="140"/>
      <c r="D122" s="100">
        <f>+D120-D121</f>
        <v>12674</v>
      </c>
      <c r="E122" s="100">
        <f>+E120-E121</f>
        <v>0</v>
      </c>
      <c r="F122" s="126">
        <f>+E122+D122</f>
        <v>12674</v>
      </c>
      <c r="G122" s="100">
        <v>12674</v>
      </c>
      <c r="H122" s="100">
        <f>+H120-H121</f>
        <v>0</v>
      </c>
      <c r="I122" s="126">
        <f>+H122+G122</f>
        <v>12674</v>
      </c>
    </row>
    <row r="123" spans="2:9" ht="12.75">
      <c r="B123" s="68" t="s">
        <v>311</v>
      </c>
      <c r="C123" s="47" t="s">
        <v>312</v>
      </c>
      <c r="D123" s="24"/>
      <c r="E123" s="24"/>
      <c r="F123" s="25">
        <f>+E123+D123</f>
        <v>0</v>
      </c>
      <c r="G123" s="24"/>
      <c r="H123" s="24"/>
      <c r="I123" s="25">
        <f>+H123+G123</f>
        <v>0</v>
      </c>
    </row>
    <row r="124" spans="2:9" ht="12.75">
      <c r="B124" s="60" t="s">
        <v>313</v>
      </c>
      <c r="C124" s="47" t="s">
        <v>314</v>
      </c>
      <c r="D124" s="24"/>
      <c r="E124" s="24"/>
      <c r="F124" s="25">
        <f>+E124+D124</f>
        <v>0</v>
      </c>
      <c r="G124" s="24"/>
      <c r="H124" s="24"/>
      <c r="I124" s="25">
        <f>+H124+G124</f>
        <v>0</v>
      </c>
    </row>
    <row r="125" spans="2:9" ht="12.75">
      <c r="B125" s="60" t="s">
        <v>315</v>
      </c>
      <c r="C125" s="47" t="s">
        <v>316</v>
      </c>
      <c r="D125" s="24"/>
      <c r="E125" s="24"/>
      <c r="F125" s="25">
        <f>+E125+D125</f>
        <v>0</v>
      </c>
      <c r="G125" s="24"/>
      <c r="H125" s="24"/>
      <c r="I125" s="25">
        <f>+H125+G125</f>
        <v>0</v>
      </c>
    </row>
    <row r="126" spans="2:9" ht="12.75">
      <c r="B126" s="51" t="s">
        <v>317</v>
      </c>
      <c r="C126" s="50" t="s">
        <v>318</v>
      </c>
      <c r="D126" s="25">
        <f>SUM(D118:D125)+D117+D112+D111-D121-D122</f>
        <v>19831</v>
      </c>
      <c r="E126" s="25">
        <f>SUM(E118:E125)+E117+E112+E111-E121-E122</f>
        <v>0</v>
      </c>
      <c r="F126" s="25">
        <f>SUM(F118:F124)+F117+F112+F111-F121-F122</f>
        <v>19831</v>
      </c>
      <c r="G126" s="25">
        <f>SUM(G118:G125)+G117+G112+G111-G121-G122</f>
        <v>22703</v>
      </c>
      <c r="H126" s="25">
        <f>SUM(H118:H125)+H117+H112+H111-H121-H122</f>
        <v>0</v>
      </c>
      <c r="I126" s="25">
        <f>SUM(I118:I124)+I117+I112+I111-I121-I122</f>
        <v>22703</v>
      </c>
    </row>
    <row r="127" spans="2:9" ht="12.75" hidden="1">
      <c r="B127" s="68" t="s">
        <v>319</v>
      </c>
      <c r="C127" s="47" t="s">
        <v>320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2:9" ht="12.75" hidden="1">
      <c r="B128" s="60" t="s">
        <v>321</v>
      </c>
      <c r="C128" s="47" t="s">
        <v>322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t="12.75" hidden="1">
      <c r="B129" s="60" t="s">
        <v>323</v>
      </c>
      <c r="C129" s="47" t="s">
        <v>324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ht="12.75">
      <c r="B130" s="73" t="s">
        <v>325</v>
      </c>
      <c r="C130" s="74" t="s">
        <v>326</v>
      </c>
      <c r="D130" s="63">
        <f>+D128+D127+D126+D129</f>
        <v>19831</v>
      </c>
      <c r="E130" s="63">
        <f>+E128+E127+E126+E129</f>
        <v>0</v>
      </c>
      <c r="F130" s="63">
        <f>+F129+F127+F126</f>
        <v>19831</v>
      </c>
      <c r="G130" s="63">
        <f>+G128+G127+G126+G129</f>
        <v>22703</v>
      </c>
      <c r="H130" s="63">
        <f>+H128+H127+H126+H129</f>
        <v>0</v>
      </c>
      <c r="I130" s="63">
        <f>+I129+I127+I126</f>
        <v>22703</v>
      </c>
    </row>
    <row r="131" spans="2:9" ht="12.75">
      <c r="B131" s="28" t="s">
        <v>327</v>
      </c>
      <c r="C131" s="28" t="s">
        <v>328</v>
      </c>
      <c r="D131" s="29">
        <f>+D108+D130</f>
        <v>31774</v>
      </c>
      <c r="E131" s="29">
        <f>+E108+E130</f>
        <v>0</v>
      </c>
      <c r="F131" s="29">
        <f>+F108+F130</f>
        <v>31774</v>
      </c>
      <c r="G131" s="29">
        <f>+G108+G130</f>
        <v>34646</v>
      </c>
      <c r="H131" s="29">
        <f>+H108+H130</f>
        <v>0</v>
      </c>
      <c r="I131" s="29">
        <f>+I108+I130</f>
        <v>34646</v>
      </c>
    </row>
    <row r="132" spans="2:9" ht="12.75">
      <c r="B132" s="13"/>
      <c r="C132" s="13"/>
      <c r="D132" s="14"/>
      <c r="E132" s="14"/>
      <c r="F132" s="85"/>
      <c r="G132" s="14"/>
      <c r="H132" s="14"/>
      <c r="I132" s="85"/>
    </row>
    <row r="133" spans="2:9" ht="12.75">
      <c r="B133" s="26" t="s">
        <v>329</v>
      </c>
      <c r="C133" s="26"/>
      <c r="D133" s="25">
        <f>+D108-D58</f>
        <v>-19831</v>
      </c>
      <c r="E133" s="25">
        <f>+E108-E58</f>
        <v>0</v>
      </c>
      <c r="F133" s="25">
        <f>+F108-F58</f>
        <v>-19831</v>
      </c>
      <c r="G133" s="25">
        <f>+G108-G58</f>
        <v>-22703</v>
      </c>
      <c r="H133" s="25">
        <f>+H108-H58</f>
        <v>0</v>
      </c>
      <c r="I133" s="25">
        <f>+I108-I58</f>
        <v>-22703</v>
      </c>
    </row>
    <row r="134" spans="2:9" ht="12.75">
      <c r="B134" s="26" t="s">
        <v>330</v>
      </c>
      <c r="C134" s="26"/>
      <c r="D134" s="25">
        <f>+D130-D63</f>
        <v>19831</v>
      </c>
      <c r="E134" s="25">
        <f>+E130-E63</f>
        <v>0</v>
      </c>
      <c r="F134" s="25">
        <f>+F130-F63</f>
        <v>19831</v>
      </c>
      <c r="G134" s="25">
        <f>+G130-G63</f>
        <v>22703</v>
      </c>
      <c r="H134" s="25">
        <f>+H130-H63</f>
        <v>0</v>
      </c>
      <c r="I134" s="25">
        <f>+I130-I63</f>
        <v>22703</v>
      </c>
    </row>
    <row r="135" spans="2:9" ht="12.75">
      <c r="B135" s="13"/>
      <c r="C135" s="13"/>
      <c r="D135" s="14"/>
      <c r="E135" s="14"/>
      <c r="F135" s="85"/>
      <c r="G135" s="14"/>
      <c r="H135" s="14"/>
      <c r="I135" s="85"/>
    </row>
    <row r="136" spans="2:9" ht="12.75">
      <c r="B136" s="87" t="s">
        <v>333</v>
      </c>
      <c r="C136" s="13"/>
      <c r="D136" s="14">
        <f>+D131-D64</f>
        <v>0</v>
      </c>
      <c r="E136" s="14">
        <f>+E131-E64</f>
        <v>0</v>
      </c>
      <c r="F136" s="14">
        <f>+F131-F64</f>
        <v>0</v>
      </c>
      <c r="G136" s="14">
        <f>+G131-G64</f>
        <v>0</v>
      </c>
      <c r="H136" s="14">
        <f>+H131-H64</f>
        <v>0</v>
      </c>
      <c r="I136" s="14">
        <f>+I131-I64</f>
        <v>0</v>
      </c>
    </row>
    <row r="137" spans="2:9" ht="12.75">
      <c r="B137" s="13"/>
      <c r="C137" s="13"/>
      <c r="D137" s="14"/>
      <c r="E137" s="14"/>
      <c r="F137" s="85"/>
      <c r="G137" s="14"/>
      <c r="H137" s="14"/>
      <c r="I137" s="85"/>
    </row>
    <row r="138" spans="2:9" ht="12.75">
      <c r="B138" s="13"/>
      <c r="C138" s="13"/>
      <c r="D138" s="14"/>
      <c r="E138" s="14"/>
      <c r="F138" s="85"/>
      <c r="G138" s="14"/>
      <c r="H138" s="14"/>
      <c r="I138" s="85"/>
    </row>
    <row r="139" spans="2:9" ht="12.75">
      <c r="B139" s="13"/>
      <c r="C139" s="13"/>
      <c r="D139" s="14"/>
      <c r="E139" s="14"/>
      <c r="F139" s="85"/>
      <c r="G139" s="14"/>
      <c r="H139" s="14"/>
      <c r="I139" s="85"/>
    </row>
    <row r="140" spans="2:9" ht="12.75">
      <c r="B140" s="13"/>
      <c r="C140" s="13"/>
      <c r="D140" s="14"/>
      <c r="E140" s="14"/>
      <c r="F140" s="85"/>
      <c r="G140" s="14"/>
      <c r="H140" s="14"/>
      <c r="I140" s="85"/>
    </row>
    <row r="141" spans="2:9" ht="12.75">
      <c r="B141" s="13"/>
      <c r="C141" s="13"/>
      <c r="D141" s="14"/>
      <c r="E141" s="14"/>
      <c r="F141" s="85"/>
      <c r="G141" s="14"/>
      <c r="H141" s="14"/>
      <c r="I141" s="85"/>
    </row>
    <row r="142" spans="2:9" ht="12.75">
      <c r="B142" s="13"/>
      <c r="C142" s="13"/>
      <c r="D142" s="14"/>
      <c r="E142" s="14"/>
      <c r="F142" s="85"/>
      <c r="G142" s="14"/>
      <c r="H142" s="14"/>
      <c r="I142" s="85"/>
    </row>
    <row r="143" spans="2:9" ht="12.75">
      <c r="B143" s="13"/>
      <c r="C143" s="13"/>
      <c r="D143" s="14"/>
      <c r="E143" s="14"/>
      <c r="F143" s="85"/>
      <c r="G143" s="14"/>
      <c r="H143" s="14"/>
      <c r="I143" s="85"/>
    </row>
    <row r="144" spans="2:9" ht="12.75">
      <c r="B144" s="13"/>
      <c r="C144" s="13"/>
      <c r="D144" s="14"/>
      <c r="E144" s="14"/>
      <c r="F144" s="85"/>
      <c r="G144" s="14"/>
      <c r="H144" s="14"/>
      <c r="I144" s="85"/>
    </row>
    <row r="145" spans="2:9" ht="12.75">
      <c r="B145" s="13"/>
      <c r="C145" s="13"/>
      <c r="D145" s="14"/>
      <c r="E145" s="14"/>
      <c r="F145" s="85"/>
      <c r="G145" s="14"/>
      <c r="H145" s="14"/>
      <c r="I145" s="85"/>
    </row>
    <row r="146" spans="2:9" ht="12.75">
      <c r="B146" s="13"/>
      <c r="C146" s="13"/>
      <c r="D146" s="14"/>
      <c r="E146" s="14"/>
      <c r="F146" s="85"/>
      <c r="G146" s="14"/>
      <c r="H146" s="14"/>
      <c r="I146" s="85"/>
    </row>
    <row r="147" spans="2:9" ht="12.75">
      <c r="B147" s="13"/>
      <c r="C147" s="13"/>
      <c r="D147" s="14"/>
      <c r="E147" s="14"/>
      <c r="F147" s="85"/>
      <c r="G147" s="14"/>
      <c r="H147" s="14"/>
      <c r="I147" s="85"/>
    </row>
    <row r="148" spans="2:9" ht="12.75">
      <c r="B148" s="13"/>
      <c r="C148" s="13"/>
      <c r="D148" s="14"/>
      <c r="E148" s="14"/>
      <c r="F148" s="85"/>
      <c r="G148" s="14"/>
      <c r="H148" s="14"/>
      <c r="I148" s="85"/>
    </row>
    <row r="149" spans="2:9" ht="12.75">
      <c r="B149" s="13"/>
      <c r="C149" s="13"/>
      <c r="D149" s="14"/>
      <c r="E149" s="14"/>
      <c r="F149" s="85"/>
      <c r="G149" s="14"/>
      <c r="H149" s="14"/>
      <c r="I149" s="85"/>
    </row>
    <row r="150" spans="2:9" ht="12.75">
      <c r="B150" s="13"/>
      <c r="C150" s="13"/>
      <c r="D150" s="14"/>
      <c r="E150" s="14"/>
      <c r="F150" s="85"/>
      <c r="G150" s="14"/>
      <c r="H150" s="14"/>
      <c r="I150" s="85"/>
    </row>
    <row r="151" spans="2:9" ht="12.75">
      <c r="B151" s="13"/>
      <c r="C151" s="13"/>
      <c r="D151" s="14"/>
      <c r="E151" s="14"/>
      <c r="F151" s="85"/>
      <c r="G151" s="14"/>
      <c r="H151" s="14"/>
      <c r="I151" s="85"/>
    </row>
    <row r="152" spans="2:9" ht="12.75">
      <c r="B152" s="13"/>
      <c r="C152" s="13"/>
      <c r="D152" s="14"/>
      <c r="E152" s="14"/>
      <c r="F152" s="85"/>
      <c r="G152" s="14"/>
      <c r="H152" s="14"/>
      <c r="I152" s="85"/>
    </row>
    <row r="153" spans="2:9" ht="12.75">
      <c r="B153" s="13"/>
      <c r="C153" s="13"/>
      <c r="D153" s="14"/>
      <c r="E153" s="14"/>
      <c r="F153" s="85"/>
      <c r="G153" s="14"/>
      <c r="H153" s="14"/>
      <c r="I153" s="85"/>
    </row>
    <row r="154" spans="2:9" ht="12.75">
      <c r="B154" s="13"/>
      <c r="C154" s="13"/>
      <c r="D154" s="14"/>
      <c r="E154" s="14"/>
      <c r="F154" s="85"/>
      <c r="G154" s="14"/>
      <c r="H154" s="14"/>
      <c r="I154" s="85"/>
    </row>
    <row r="155" spans="2:9" ht="12.75">
      <c r="B155" s="13"/>
      <c r="C155" s="13"/>
      <c r="D155" s="14"/>
      <c r="E155" s="14"/>
      <c r="F155" s="85"/>
      <c r="G155" s="14"/>
      <c r="H155" s="14"/>
      <c r="I155" s="85"/>
    </row>
    <row r="156" spans="2:9" ht="12.75">
      <c r="B156" s="13"/>
      <c r="C156" s="13"/>
      <c r="D156" s="14"/>
      <c r="E156" s="14"/>
      <c r="F156" s="85"/>
      <c r="G156" s="14"/>
      <c r="H156" s="14"/>
      <c r="I156" s="85"/>
    </row>
    <row r="157" spans="2:9" ht="12.75">
      <c r="B157" s="13"/>
      <c r="C157" s="13"/>
      <c r="D157" s="14"/>
      <c r="E157" s="14"/>
      <c r="F157" s="85"/>
      <c r="G157" s="14"/>
      <c r="H157" s="14"/>
      <c r="I157" s="85"/>
    </row>
    <row r="158" spans="2:9" ht="12.75">
      <c r="B158" s="13"/>
      <c r="C158" s="13"/>
      <c r="D158" s="14"/>
      <c r="E158" s="14"/>
      <c r="F158" s="85"/>
      <c r="G158" s="14"/>
      <c r="H158" s="14"/>
      <c r="I158" s="85"/>
    </row>
    <row r="159" spans="2:9" ht="12.75">
      <c r="B159" s="13"/>
      <c r="C159" s="13"/>
      <c r="D159" s="14"/>
      <c r="E159" s="14"/>
      <c r="F159" s="85"/>
      <c r="G159" s="14"/>
      <c r="H159" s="14"/>
      <c r="I159" s="85"/>
    </row>
    <row r="160" spans="2:9" ht="12.75">
      <c r="B160" s="13"/>
      <c r="C160" s="13"/>
      <c r="D160" s="14"/>
      <c r="E160" s="14"/>
      <c r="F160" s="85"/>
      <c r="G160" s="14"/>
      <c r="H160" s="14"/>
      <c r="I160" s="85"/>
    </row>
    <row r="161" spans="2:9" ht="12.75">
      <c r="B161" s="13"/>
      <c r="C161" s="13"/>
      <c r="D161" s="14"/>
      <c r="E161" s="14"/>
      <c r="F161" s="85"/>
      <c r="G161" s="14"/>
      <c r="H161" s="14"/>
      <c r="I161" s="85"/>
    </row>
    <row r="162" spans="2:9" ht="12.75">
      <c r="B162" s="13"/>
      <c r="C162" s="13"/>
      <c r="D162" s="14"/>
      <c r="E162" s="14"/>
      <c r="F162" s="85"/>
      <c r="G162" s="14"/>
      <c r="H162" s="14"/>
      <c r="I162" s="85"/>
    </row>
    <row r="163" spans="2:9" ht="12.75">
      <c r="B163" s="13"/>
      <c r="C163" s="13"/>
      <c r="D163" s="14"/>
      <c r="E163" s="14"/>
      <c r="F163" s="85"/>
      <c r="G163" s="14"/>
      <c r="H163" s="14"/>
      <c r="I163" s="85"/>
    </row>
    <row r="164" spans="2:9" ht="12.75">
      <c r="B164" s="13"/>
      <c r="C164" s="13"/>
      <c r="D164" s="14"/>
      <c r="E164" s="14"/>
      <c r="F164" s="85"/>
      <c r="G164" s="14"/>
      <c r="H164" s="14"/>
      <c r="I164" s="85"/>
    </row>
    <row r="165" spans="2:9" ht="12.75">
      <c r="B165" s="13"/>
      <c r="C165" s="13"/>
      <c r="D165" s="14"/>
      <c r="E165" s="14"/>
      <c r="F165" s="85"/>
      <c r="G165" s="14"/>
      <c r="H165" s="14"/>
      <c r="I165" s="85"/>
    </row>
    <row r="166" spans="2:9" ht="12.75">
      <c r="B166" s="13"/>
      <c r="C166" s="13"/>
      <c r="D166" s="14"/>
      <c r="E166" s="14"/>
      <c r="F166" s="85"/>
      <c r="G166" s="14"/>
      <c r="H166" s="14"/>
      <c r="I166" s="85"/>
    </row>
    <row r="167" spans="2:9" ht="12.75">
      <c r="B167" s="13"/>
      <c r="C167" s="13"/>
      <c r="D167" s="14"/>
      <c r="E167" s="14"/>
      <c r="F167" s="85"/>
      <c r="G167" s="14"/>
      <c r="H167" s="14"/>
      <c r="I167" s="85"/>
    </row>
    <row r="168" spans="2:9" ht="12.75">
      <c r="B168" s="13"/>
      <c r="C168" s="13"/>
      <c r="D168" s="14"/>
      <c r="E168" s="14"/>
      <c r="F168" s="85"/>
      <c r="G168" s="14"/>
      <c r="H168" s="14"/>
      <c r="I168" s="85"/>
    </row>
    <row r="169" spans="2:9" ht="12.75">
      <c r="B169" s="13"/>
      <c r="C169" s="13"/>
      <c r="D169" s="14"/>
      <c r="E169" s="14"/>
      <c r="F169" s="85"/>
      <c r="G169" s="14"/>
      <c r="H169" s="14"/>
      <c r="I169" s="85"/>
    </row>
    <row r="170" spans="2:9" ht="12.75">
      <c r="B170" s="13"/>
      <c r="C170" s="13"/>
      <c r="D170" s="14"/>
      <c r="E170" s="14"/>
      <c r="F170" s="85"/>
      <c r="G170" s="14"/>
      <c r="H170" s="14"/>
      <c r="I170" s="85"/>
    </row>
    <row r="171" spans="2:9" ht="12.75">
      <c r="B171" s="13"/>
      <c r="C171" s="13"/>
      <c r="D171" s="14"/>
      <c r="E171" s="14"/>
      <c r="F171" s="85"/>
      <c r="G171" s="14"/>
      <c r="H171" s="14"/>
      <c r="I171" s="85"/>
    </row>
    <row r="172" spans="2:9" ht="12.75">
      <c r="B172" s="13"/>
      <c r="C172" s="13"/>
      <c r="D172" s="14"/>
      <c r="E172" s="14"/>
      <c r="F172" s="85"/>
      <c r="G172" s="14"/>
      <c r="H172" s="14"/>
      <c r="I172" s="85"/>
    </row>
    <row r="173" spans="2:9" ht="12.75">
      <c r="B173" s="13"/>
      <c r="C173" s="13"/>
      <c r="D173" s="14"/>
      <c r="E173" s="14"/>
      <c r="F173" s="85"/>
      <c r="G173" s="14"/>
      <c r="H173" s="14"/>
      <c r="I173" s="85"/>
    </row>
    <row r="174" spans="2:9" ht="12.75">
      <c r="B174" s="13"/>
      <c r="C174" s="13"/>
      <c r="D174" s="14"/>
      <c r="E174" s="14"/>
      <c r="F174" s="85"/>
      <c r="G174" s="14"/>
      <c r="H174" s="14"/>
      <c r="I174" s="85"/>
    </row>
    <row r="175" spans="2:9" ht="12.75">
      <c r="B175" s="13"/>
      <c r="C175" s="13"/>
      <c r="D175" s="14"/>
      <c r="E175" s="14"/>
      <c r="F175" s="85"/>
      <c r="G175" s="14"/>
      <c r="H175" s="14"/>
      <c r="I175" s="85"/>
    </row>
    <row r="176" spans="2:9" ht="12.75">
      <c r="B176" s="13"/>
      <c r="C176" s="13"/>
      <c r="D176" s="14"/>
      <c r="E176" s="14"/>
      <c r="F176" s="85"/>
      <c r="G176" s="14"/>
      <c r="H176" s="14"/>
      <c r="I176" s="85"/>
    </row>
    <row r="177" spans="2:9" ht="12.75">
      <c r="B177" s="13"/>
      <c r="C177" s="13"/>
      <c r="D177" s="14"/>
      <c r="E177" s="14"/>
      <c r="F177" s="85"/>
      <c r="G177" s="14"/>
      <c r="H177" s="14"/>
      <c r="I177" s="85"/>
    </row>
    <row r="178" spans="2:9" ht="12.75">
      <c r="B178" s="13"/>
      <c r="C178" s="13"/>
      <c r="D178" s="14"/>
      <c r="E178" s="14"/>
      <c r="F178" s="85"/>
      <c r="G178" s="14"/>
      <c r="H178" s="14"/>
      <c r="I178" s="85"/>
    </row>
    <row r="179" spans="2:9" ht="12.75">
      <c r="B179" s="13"/>
      <c r="C179" s="13"/>
      <c r="D179" s="14"/>
      <c r="E179" s="14"/>
      <c r="F179" s="85"/>
      <c r="G179" s="14"/>
      <c r="H179" s="14"/>
      <c r="I179" s="85"/>
    </row>
    <row r="180" spans="2:9" ht="12.75">
      <c r="B180" s="13"/>
      <c r="C180" s="13"/>
      <c r="D180" s="14"/>
      <c r="E180" s="14"/>
      <c r="F180" s="85"/>
      <c r="G180" s="14"/>
      <c r="H180" s="14"/>
      <c r="I180" s="85"/>
    </row>
    <row r="181" spans="2:9" ht="12.75">
      <c r="B181" s="13"/>
      <c r="C181" s="13"/>
      <c r="D181" s="14"/>
      <c r="E181" s="14"/>
      <c r="F181" s="85"/>
      <c r="G181" s="14"/>
      <c r="H181" s="14"/>
      <c r="I181" s="85"/>
    </row>
    <row r="182" spans="2:9" ht="12.75">
      <c r="B182" s="13"/>
      <c r="C182" s="13"/>
      <c r="D182" s="14"/>
      <c r="E182" s="14"/>
      <c r="F182" s="85"/>
      <c r="G182" s="14"/>
      <c r="H182" s="14"/>
      <c r="I182" s="85"/>
    </row>
    <row r="183" spans="2:9" ht="12.75">
      <c r="B183" s="13"/>
      <c r="C183" s="13"/>
      <c r="D183" s="14"/>
      <c r="E183" s="14"/>
      <c r="F183" s="85"/>
      <c r="G183" s="14"/>
      <c r="H183" s="14"/>
      <c r="I183" s="85"/>
    </row>
    <row r="184" spans="2:9" ht="12.75">
      <c r="B184" s="13"/>
      <c r="C184" s="13"/>
      <c r="D184" s="14"/>
      <c r="E184" s="14"/>
      <c r="F184" s="85"/>
      <c r="G184" s="14"/>
      <c r="H184" s="14"/>
      <c r="I184" s="85"/>
    </row>
    <row r="185" spans="2:9" ht="12.75">
      <c r="B185" s="13"/>
      <c r="C185" s="13"/>
      <c r="D185" s="14"/>
      <c r="E185" s="14"/>
      <c r="F185" s="85"/>
      <c r="G185" s="14"/>
      <c r="H185" s="14"/>
      <c r="I185" s="85"/>
    </row>
    <row r="186" spans="2:9" ht="12.75">
      <c r="B186" s="13"/>
      <c r="C186" s="13"/>
      <c r="D186" s="14"/>
      <c r="E186" s="14"/>
      <c r="F186" s="85"/>
      <c r="G186" s="14"/>
      <c r="H186" s="14"/>
      <c r="I186" s="85"/>
    </row>
    <row r="187" spans="2:9" ht="12.75">
      <c r="B187" s="13"/>
      <c r="C187" s="13"/>
      <c r="D187" s="14"/>
      <c r="E187" s="14"/>
      <c r="F187" s="85"/>
      <c r="G187" s="14"/>
      <c r="H187" s="14"/>
      <c r="I187" s="85"/>
    </row>
    <row r="188" spans="2:9" ht="12.75">
      <c r="B188" s="13"/>
      <c r="C188" s="13"/>
      <c r="D188" s="14"/>
      <c r="E188" s="14"/>
      <c r="F188" s="85"/>
      <c r="G188" s="14"/>
      <c r="H188" s="14"/>
      <c r="I188" s="85"/>
    </row>
    <row r="189" spans="2:9" ht="12.75">
      <c r="B189" s="13"/>
      <c r="C189" s="13"/>
      <c r="D189" s="14"/>
      <c r="E189" s="14"/>
      <c r="F189" s="85"/>
      <c r="G189" s="14"/>
      <c r="H189" s="14"/>
      <c r="I189" s="85"/>
    </row>
    <row r="190" spans="2:9" ht="12.75">
      <c r="B190" s="13"/>
      <c r="C190" s="13"/>
      <c r="D190" s="14"/>
      <c r="E190" s="14"/>
      <c r="F190" s="85"/>
      <c r="G190" s="14"/>
      <c r="H190" s="14"/>
      <c r="I190" s="85"/>
    </row>
    <row r="191" spans="2:9" ht="12.75">
      <c r="B191" s="13"/>
      <c r="C191" s="13"/>
      <c r="D191" s="14"/>
      <c r="E191" s="14"/>
      <c r="F191" s="85"/>
      <c r="G191" s="14"/>
      <c r="H191" s="14"/>
      <c r="I191" s="85"/>
    </row>
    <row r="192" spans="2:9" ht="12.75">
      <c r="B192" s="13"/>
      <c r="C192" s="13"/>
      <c r="D192" s="14"/>
      <c r="E192" s="14"/>
      <c r="F192" s="85"/>
      <c r="G192" s="14"/>
      <c r="H192" s="14"/>
      <c r="I192" s="85"/>
    </row>
    <row r="193" spans="2:9" ht="12.75">
      <c r="B193" s="13"/>
      <c r="C193" s="13"/>
      <c r="D193" s="14"/>
      <c r="E193" s="14"/>
      <c r="F193" s="85"/>
      <c r="G193" s="14"/>
      <c r="H193" s="14"/>
      <c r="I193" s="85"/>
    </row>
    <row r="194" spans="2:9" ht="12.75">
      <c r="B194" s="13"/>
      <c r="C194" s="13"/>
      <c r="D194" s="14"/>
      <c r="E194" s="14"/>
      <c r="F194" s="85"/>
      <c r="G194" s="14"/>
      <c r="H194" s="14"/>
      <c r="I194" s="85"/>
    </row>
    <row r="195" spans="2:9" ht="12.75">
      <c r="B195" s="13"/>
      <c r="C195" s="13"/>
      <c r="D195" s="13"/>
      <c r="E195" s="13"/>
      <c r="F195" s="27"/>
      <c r="G195" s="13"/>
      <c r="H195" s="13"/>
      <c r="I195" s="27"/>
    </row>
    <row r="196" spans="2:9" ht="12.75">
      <c r="B196" s="13"/>
      <c r="C196" s="13"/>
      <c r="D196" s="13"/>
      <c r="E196" s="13"/>
      <c r="F196" s="27"/>
      <c r="G196" s="13"/>
      <c r="H196" s="13"/>
      <c r="I196" s="27"/>
    </row>
    <row r="197" spans="2:9" ht="12.75">
      <c r="B197" s="13"/>
      <c r="C197" s="13"/>
      <c r="D197" s="13"/>
      <c r="E197" s="13"/>
      <c r="F197" s="27"/>
      <c r="G197" s="13"/>
      <c r="H197" s="13"/>
      <c r="I197" s="27"/>
    </row>
    <row r="198" spans="2:9" ht="12.75">
      <c r="B198" s="13"/>
      <c r="C198" s="13"/>
      <c r="D198" s="13"/>
      <c r="E198" s="13"/>
      <c r="F198" s="27"/>
      <c r="G198" s="13"/>
      <c r="H198" s="13"/>
      <c r="I198" s="27"/>
    </row>
    <row r="199" spans="2:9" ht="12.75">
      <c r="B199" s="13"/>
      <c r="C199" s="13"/>
      <c r="D199" s="13"/>
      <c r="E199" s="13"/>
      <c r="F199" s="27"/>
      <c r="G199" s="13"/>
      <c r="H199" s="13"/>
      <c r="I199" s="27"/>
    </row>
    <row r="200" spans="2:9" ht="12.75">
      <c r="B200" s="13"/>
      <c r="C200" s="13"/>
      <c r="D200" s="13"/>
      <c r="E200" s="13"/>
      <c r="F200" s="27"/>
      <c r="G200" s="13"/>
      <c r="H200" s="13"/>
      <c r="I200" s="27"/>
    </row>
    <row r="201" spans="2:9" ht="12.75">
      <c r="B201" s="13"/>
      <c r="C201" s="13"/>
      <c r="D201" s="13"/>
      <c r="E201" s="13"/>
      <c r="F201" s="27"/>
      <c r="G201" s="13"/>
      <c r="H201" s="13"/>
      <c r="I201" s="27"/>
    </row>
    <row r="202" spans="2:9" ht="12.75">
      <c r="B202" s="13"/>
      <c r="C202" s="13"/>
      <c r="D202" s="13"/>
      <c r="E202" s="13"/>
      <c r="F202" s="27"/>
      <c r="G202" s="13"/>
      <c r="H202" s="13"/>
      <c r="I202" s="27"/>
    </row>
    <row r="203" spans="2:9" ht="12.75">
      <c r="B203" s="13"/>
      <c r="C203" s="13"/>
      <c r="D203" s="13"/>
      <c r="E203" s="13"/>
      <c r="F203" s="27"/>
      <c r="G203" s="13"/>
      <c r="H203" s="13"/>
      <c r="I203" s="27"/>
    </row>
    <row r="204" spans="2:9" ht="12.75">
      <c r="B204" s="13"/>
      <c r="C204" s="13"/>
      <c r="D204" s="13"/>
      <c r="E204" s="13"/>
      <c r="F204" s="27"/>
      <c r="G204" s="13"/>
      <c r="H204" s="13"/>
      <c r="I204" s="27"/>
    </row>
    <row r="205" spans="2:9" ht="12.75">
      <c r="B205" s="13"/>
      <c r="C205" s="13"/>
      <c r="D205" s="13"/>
      <c r="E205" s="13"/>
      <c r="F205" s="27"/>
      <c r="G205" s="13"/>
      <c r="H205" s="13"/>
      <c r="I205" s="27"/>
    </row>
    <row r="206" spans="2:9" ht="12.75">
      <c r="B206" s="13"/>
      <c r="C206" s="13"/>
      <c r="D206" s="13"/>
      <c r="E206" s="13"/>
      <c r="F206" s="27"/>
      <c r="G206" s="13"/>
      <c r="H206" s="13"/>
      <c r="I206" s="27"/>
    </row>
    <row r="207" spans="2:9" ht="12.75">
      <c r="B207" s="13"/>
      <c r="C207" s="13"/>
      <c r="D207" s="13"/>
      <c r="E207" s="13"/>
      <c r="F207" s="27"/>
      <c r="G207" s="13"/>
      <c r="H207" s="13"/>
      <c r="I207" s="27"/>
    </row>
    <row r="208" spans="2:9" ht="12.75">
      <c r="B208" s="13"/>
      <c r="C208" s="13"/>
      <c r="D208" s="13"/>
      <c r="E208" s="13"/>
      <c r="F208" s="27"/>
      <c r="G208" s="13"/>
      <c r="H208" s="13"/>
      <c r="I208" s="27"/>
    </row>
    <row r="209" spans="2:9" ht="12.75">
      <c r="B209" s="13"/>
      <c r="C209" s="13"/>
      <c r="D209" s="13"/>
      <c r="E209" s="13"/>
      <c r="F209" s="27"/>
      <c r="G209" s="13"/>
      <c r="H209" s="13"/>
      <c r="I209" s="27"/>
    </row>
    <row r="210" spans="2:9" ht="12.75">
      <c r="B210" s="13"/>
      <c r="C210" s="13"/>
      <c r="D210" s="13"/>
      <c r="E210" s="13"/>
      <c r="F210" s="27"/>
      <c r="G210" s="13"/>
      <c r="H210" s="13"/>
      <c r="I210" s="27"/>
    </row>
    <row r="211" spans="2:9" ht="12.75">
      <c r="B211" s="13"/>
      <c r="C211" s="13"/>
      <c r="D211" s="13"/>
      <c r="E211" s="13"/>
      <c r="F211" s="27"/>
      <c r="G211" s="13"/>
      <c r="H211" s="13"/>
      <c r="I211" s="27"/>
    </row>
    <row r="212" spans="2:9" ht="12.75">
      <c r="B212" s="13"/>
      <c r="C212" s="13"/>
      <c r="D212" s="13"/>
      <c r="E212" s="13"/>
      <c r="F212" s="27"/>
      <c r="G212" s="13"/>
      <c r="H212" s="13"/>
      <c r="I212" s="27"/>
    </row>
    <row r="213" spans="2:9" ht="12.75">
      <c r="B213" s="13"/>
      <c r="C213" s="13"/>
      <c r="D213" s="13"/>
      <c r="E213" s="13"/>
      <c r="F213" s="27"/>
      <c r="G213" s="13"/>
      <c r="H213" s="13"/>
      <c r="I213" s="27"/>
    </row>
    <row r="214" spans="2:9" ht="12.75">
      <c r="B214" s="13"/>
      <c r="C214" s="13"/>
      <c r="D214" s="13"/>
      <c r="E214" s="13"/>
      <c r="F214" s="27"/>
      <c r="G214" s="13"/>
      <c r="H214" s="13"/>
      <c r="I214" s="27"/>
    </row>
    <row r="215" spans="2:9" ht="12.75">
      <c r="B215" s="13"/>
      <c r="C215" s="13"/>
      <c r="D215" s="13"/>
      <c r="E215" s="13"/>
      <c r="F215" s="27"/>
      <c r="G215" s="13"/>
      <c r="H215" s="13"/>
      <c r="I215" s="27"/>
    </row>
    <row r="216" spans="2:9" ht="12.75">
      <c r="B216" s="13"/>
      <c r="C216" s="13"/>
      <c r="D216" s="13"/>
      <c r="E216" s="13"/>
      <c r="F216" s="27"/>
      <c r="G216" s="13"/>
      <c r="H216" s="13"/>
      <c r="I216" s="27"/>
    </row>
    <row r="217" spans="2:9" ht="12.75">
      <c r="B217" s="13"/>
      <c r="C217" s="13"/>
      <c r="D217" s="13"/>
      <c r="E217" s="13"/>
      <c r="F217" s="27"/>
      <c r="G217" s="13"/>
      <c r="H217" s="13"/>
      <c r="I217" s="27"/>
    </row>
    <row r="218" spans="2:9" ht="12.75">
      <c r="B218" s="13"/>
      <c r="C218" s="13"/>
      <c r="D218" s="13"/>
      <c r="E218" s="13"/>
      <c r="F218" s="27"/>
      <c r="G218" s="13"/>
      <c r="H218" s="13"/>
      <c r="I218" s="27"/>
    </row>
    <row r="219" spans="2:9" ht="12.75">
      <c r="B219" s="13"/>
      <c r="C219" s="13"/>
      <c r="D219" s="13"/>
      <c r="E219" s="13"/>
      <c r="F219" s="27"/>
      <c r="G219" s="13"/>
      <c r="H219" s="13"/>
      <c r="I219" s="27"/>
    </row>
    <row r="220" spans="2:9" ht="12.75">
      <c r="B220" s="13"/>
      <c r="C220" s="13"/>
      <c r="D220" s="13"/>
      <c r="E220" s="13"/>
      <c r="F220" s="27"/>
      <c r="G220" s="13"/>
      <c r="H220" s="13"/>
      <c r="I220" s="27"/>
    </row>
    <row r="221" spans="2:9" ht="12.75">
      <c r="B221" s="13"/>
      <c r="C221" s="13"/>
      <c r="D221" s="13"/>
      <c r="E221" s="13"/>
      <c r="F221" s="27"/>
      <c r="G221" s="13"/>
      <c r="H221" s="13"/>
      <c r="I221" s="27"/>
    </row>
    <row r="222" spans="2:9" ht="12.75">
      <c r="B222" s="13"/>
      <c r="C222" s="13"/>
      <c r="D222" s="13"/>
      <c r="E222" s="13"/>
      <c r="F222" s="27"/>
      <c r="G222" s="13"/>
      <c r="H222" s="13"/>
      <c r="I222" s="27"/>
    </row>
    <row r="223" spans="2:9" ht="12.75">
      <c r="B223" s="13"/>
      <c r="C223" s="13"/>
      <c r="D223" s="13"/>
      <c r="E223" s="13"/>
      <c r="F223" s="27"/>
      <c r="G223" s="13"/>
      <c r="H223" s="13"/>
      <c r="I223" s="27"/>
    </row>
    <row r="224" spans="2:9" ht="12.75">
      <c r="B224" s="13"/>
      <c r="C224" s="13"/>
      <c r="D224" s="13"/>
      <c r="E224" s="13"/>
      <c r="F224" s="27"/>
      <c r="G224" s="13"/>
      <c r="H224" s="13"/>
      <c r="I224" s="27"/>
    </row>
    <row r="225" spans="2:9" ht="12.75">
      <c r="B225" s="13"/>
      <c r="C225" s="13"/>
      <c r="D225" s="13"/>
      <c r="E225" s="13"/>
      <c r="F225" s="27"/>
      <c r="G225" s="13"/>
      <c r="H225" s="13"/>
      <c r="I225" s="27"/>
    </row>
    <row r="226" spans="2:9" ht="12.75">
      <c r="B226" s="13"/>
      <c r="C226" s="13"/>
      <c r="D226" s="13"/>
      <c r="E226" s="13"/>
      <c r="F226" s="27"/>
      <c r="G226" s="13"/>
      <c r="H226" s="13"/>
      <c r="I226" s="27"/>
    </row>
    <row r="227" spans="2:9" ht="12.75">
      <c r="B227" s="13"/>
      <c r="C227" s="13"/>
      <c r="D227" s="13"/>
      <c r="E227" s="13"/>
      <c r="F227" s="27"/>
      <c r="G227" s="13"/>
      <c r="H227" s="13"/>
      <c r="I227" s="27"/>
    </row>
    <row r="228" spans="2:9" ht="12.75">
      <c r="B228" s="13"/>
      <c r="C228" s="13"/>
      <c r="D228" s="13"/>
      <c r="E228" s="13"/>
      <c r="F228" s="27"/>
      <c r="G228" s="13"/>
      <c r="H228" s="13"/>
      <c r="I228" s="27"/>
    </row>
    <row r="229" spans="2:9" ht="12.75">
      <c r="B229" s="13"/>
      <c r="C229" s="13"/>
      <c r="D229" s="13"/>
      <c r="E229" s="13"/>
      <c r="F229" s="27"/>
      <c r="G229" s="13"/>
      <c r="H229" s="13"/>
      <c r="I229" s="27"/>
    </row>
    <row r="230" spans="2:9" ht="12.75">
      <c r="B230" s="13"/>
      <c r="C230" s="13"/>
      <c r="D230" s="13"/>
      <c r="E230" s="13"/>
      <c r="F230" s="27"/>
      <c r="G230" s="13"/>
      <c r="H230" s="13"/>
      <c r="I230" s="27"/>
    </row>
    <row r="231" spans="2:9" ht="12.75">
      <c r="B231" s="13"/>
      <c r="C231" s="13"/>
      <c r="D231" s="13"/>
      <c r="E231" s="13"/>
      <c r="F231" s="27"/>
      <c r="G231" s="13"/>
      <c r="H231" s="13"/>
      <c r="I231" s="27"/>
    </row>
    <row r="232" spans="2:9" ht="12.75">
      <c r="B232" s="13"/>
      <c r="C232" s="13"/>
      <c r="D232" s="13"/>
      <c r="E232" s="13"/>
      <c r="F232" s="27"/>
      <c r="G232" s="13"/>
      <c r="H232" s="13"/>
      <c r="I232" s="27"/>
    </row>
    <row r="233" spans="2:9" ht="12.75">
      <c r="B233" s="13"/>
      <c r="C233" s="13"/>
      <c r="D233" s="13"/>
      <c r="E233" s="13"/>
      <c r="F233" s="27"/>
      <c r="G233" s="13"/>
      <c r="H233" s="13"/>
      <c r="I233" s="27"/>
    </row>
    <row r="234" spans="2:9" ht="12.75">
      <c r="B234" s="13"/>
      <c r="C234" s="13"/>
      <c r="D234" s="13"/>
      <c r="E234" s="13"/>
      <c r="F234" s="27"/>
      <c r="G234" s="13"/>
      <c r="H234" s="13"/>
      <c r="I234" s="27"/>
    </row>
    <row r="235" spans="2:9" ht="12.75">
      <c r="B235" s="13"/>
      <c r="C235" s="13"/>
      <c r="D235" s="13"/>
      <c r="E235" s="13"/>
      <c r="F235" s="27"/>
      <c r="G235" s="13"/>
      <c r="H235" s="13"/>
      <c r="I235" s="27"/>
    </row>
    <row r="236" spans="2:9" ht="12.75">
      <c r="B236" s="13"/>
      <c r="C236" s="13"/>
      <c r="D236" s="13"/>
      <c r="E236" s="13"/>
      <c r="F236" s="27"/>
      <c r="G236" s="13"/>
      <c r="H236" s="13"/>
      <c r="I236" s="27"/>
    </row>
    <row r="237" spans="2:9" ht="12.75">
      <c r="B237" s="13"/>
      <c r="C237" s="13"/>
      <c r="D237" s="13"/>
      <c r="E237" s="13"/>
      <c r="F237" s="27"/>
      <c r="G237" s="13"/>
      <c r="H237" s="13"/>
      <c r="I237" s="27"/>
    </row>
    <row r="238" spans="2:9" ht="12.75">
      <c r="B238" s="13"/>
      <c r="C238" s="13"/>
      <c r="D238" s="13"/>
      <c r="E238" s="13"/>
      <c r="F238" s="27"/>
      <c r="G238" s="13"/>
      <c r="H238" s="13"/>
      <c r="I238" s="27"/>
    </row>
    <row r="239" spans="2:9" ht="12.75">
      <c r="B239" s="13"/>
      <c r="C239" s="13"/>
      <c r="D239" s="13"/>
      <c r="E239" s="13"/>
      <c r="F239" s="27"/>
      <c r="G239" s="13"/>
      <c r="H239" s="13"/>
      <c r="I239" s="27"/>
    </row>
    <row r="240" spans="2:9" ht="12.75">
      <c r="B240" s="13"/>
      <c r="C240" s="13"/>
      <c r="D240" s="13"/>
      <c r="E240" s="13"/>
      <c r="F240" s="27"/>
      <c r="G240" s="13"/>
      <c r="H240" s="13"/>
      <c r="I240" s="27"/>
    </row>
    <row r="241" spans="2:9" ht="12.75">
      <c r="B241" s="13"/>
      <c r="C241" s="13"/>
      <c r="D241" s="13"/>
      <c r="E241" s="13"/>
      <c r="F241" s="27"/>
      <c r="G241" s="13"/>
      <c r="H241" s="13"/>
      <c r="I241" s="27"/>
    </row>
    <row r="242" spans="2:9" ht="12.75">
      <c r="B242" s="13"/>
      <c r="C242" s="13"/>
      <c r="D242" s="13"/>
      <c r="E242" s="13"/>
      <c r="F242" s="27"/>
      <c r="G242" s="13"/>
      <c r="H242" s="13"/>
      <c r="I242" s="27"/>
    </row>
    <row r="243" spans="2:9" ht="12.75">
      <c r="B243" s="13"/>
      <c r="C243" s="13"/>
      <c r="D243" s="13"/>
      <c r="E243" s="13"/>
      <c r="F243" s="27"/>
      <c r="G243" s="13"/>
      <c r="H243" s="13"/>
      <c r="I243" s="27"/>
    </row>
    <row r="244" spans="2:9" ht="12.75">
      <c r="B244" s="13"/>
      <c r="C244" s="13"/>
      <c r="D244" s="13"/>
      <c r="E244" s="13"/>
      <c r="F244" s="27"/>
      <c r="G244" s="13"/>
      <c r="H244" s="13"/>
      <c r="I244" s="27"/>
    </row>
    <row r="245" spans="2:9" ht="12.75">
      <c r="B245" s="13"/>
      <c r="C245" s="13"/>
      <c r="D245" s="13"/>
      <c r="E245" s="13"/>
      <c r="F245" s="27"/>
      <c r="G245" s="13"/>
      <c r="H245" s="13"/>
      <c r="I245" s="27"/>
    </row>
    <row r="246" spans="2:9" ht="12.75">
      <c r="B246" s="13"/>
      <c r="C246" s="13"/>
      <c r="D246" s="13"/>
      <c r="E246" s="13"/>
      <c r="F246" s="27"/>
      <c r="G246" s="13"/>
      <c r="H246" s="13"/>
      <c r="I246" s="27"/>
    </row>
    <row r="247" spans="2:9" ht="12.75">
      <c r="B247" s="13"/>
      <c r="C247" s="13"/>
      <c r="D247" s="13"/>
      <c r="E247" s="13"/>
      <c r="F247" s="27"/>
      <c r="G247" s="13"/>
      <c r="H247" s="13"/>
      <c r="I247" s="27"/>
    </row>
    <row r="248" spans="2:9" ht="12.75">
      <c r="B248" s="13"/>
      <c r="C248" s="13"/>
      <c r="D248" s="13"/>
      <c r="E248" s="13"/>
      <c r="F248" s="27"/>
      <c r="G248" s="13"/>
      <c r="H248" s="13"/>
      <c r="I248" s="27"/>
    </row>
    <row r="249" spans="2:9" ht="12.75">
      <c r="B249" s="13"/>
      <c r="C249" s="13"/>
      <c r="D249" s="13"/>
      <c r="E249" s="13"/>
      <c r="F249" s="27"/>
      <c r="G249" s="13"/>
      <c r="H249" s="13"/>
      <c r="I249" s="27"/>
    </row>
    <row r="250" spans="2:9" ht="12.75">
      <c r="B250" s="13"/>
      <c r="C250" s="13"/>
      <c r="D250" s="13"/>
      <c r="E250" s="13"/>
      <c r="F250" s="27"/>
      <c r="G250" s="13"/>
      <c r="H250" s="13"/>
      <c r="I250" s="27"/>
    </row>
    <row r="251" spans="2:9" ht="12.75">
      <c r="B251" s="13"/>
      <c r="C251" s="13"/>
      <c r="D251" s="13"/>
      <c r="E251" s="13"/>
      <c r="F251" s="27"/>
      <c r="G251" s="13"/>
      <c r="H251" s="13"/>
      <c r="I251" s="27"/>
    </row>
    <row r="252" spans="2:9" ht="12.75">
      <c r="B252" s="13"/>
      <c r="C252" s="13"/>
      <c r="D252" s="13"/>
      <c r="E252" s="13"/>
      <c r="F252" s="27"/>
      <c r="G252" s="13"/>
      <c r="H252" s="13"/>
      <c r="I252" s="27"/>
    </row>
    <row r="253" spans="2:9" ht="12.75">
      <c r="B253" s="13"/>
      <c r="C253" s="13"/>
      <c r="D253" s="13"/>
      <c r="E253" s="13"/>
      <c r="F253" s="27"/>
      <c r="G253" s="13"/>
      <c r="H253" s="13"/>
      <c r="I253" s="27"/>
    </row>
    <row r="254" spans="2:9" ht="12.75">
      <c r="B254" s="13"/>
      <c r="C254" s="13"/>
      <c r="D254" s="13"/>
      <c r="E254" s="13"/>
      <c r="F254" s="27"/>
      <c r="G254" s="13"/>
      <c r="H254" s="13"/>
      <c r="I254" s="27"/>
    </row>
    <row r="255" spans="2:9" ht="12.75">
      <c r="B255" s="13"/>
      <c r="C255" s="13"/>
      <c r="D255" s="13"/>
      <c r="E255" s="13"/>
      <c r="F255" s="27"/>
      <c r="G255" s="13"/>
      <c r="H255" s="13"/>
      <c r="I255" s="27"/>
    </row>
    <row r="256" spans="2:9" ht="12.75">
      <c r="B256" s="13"/>
      <c r="C256" s="13"/>
      <c r="D256" s="13"/>
      <c r="E256" s="13"/>
      <c r="F256" s="27"/>
      <c r="G256" s="13"/>
      <c r="H256" s="13"/>
      <c r="I256" s="27"/>
    </row>
    <row r="257" spans="2:9" ht="12.75">
      <c r="B257" s="13"/>
      <c r="C257" s="13"/>
      <c r="D257" s="13"/>
      <c r="E257" s="13"/>
      <c r="F257" s="27"/>
      <c r="G257" s="13"/>
      <c r="H257" s="13"/>
      <c r="I257" s="27"/>
    </row>
    <row r="258" spans="2:9" ht="12.75">
      <c r="B258" s="13"/>
      <c r="C258" s="13"/>
      <c r="D258" s="13"/>
      <c r="E258" s="13"/>
      <c r="F258" s="27"/>
      <c r="G258" s="13"/>
      <c r="H258" s="13"/>
      <c r="I258" s="27"/>
    </row>
    <row r="259" spans="2:9" ht="12.75">
      <c r="B259" s="13"/>
      <c r="C259" s="13"/>
      <c r="D259" s="13"/>
      <c r="E259" s="13"/>
      <c r="F259" s="27"/>
      <c r="G259" s="13"/>
      <c r="H259" s="13"/>
      <c r="I259" s="27"/>
    </row>
    <row r="260" spans="2:9" ht="12.7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298611111111111" right="0.39375" top="0.5902777777777778" bottom="0.5118055555555555" header="0.5118055555555555" footer="0.31527777777777777"/>
  <pageSetup horizontalDpi="300" verticalDpi="300" orientation="portrait" paperSize="9" scale="63"/>
  <headerFooter alignWithMargins="0">
    <oddFooter>&amp;R&amp;P</oddFooter>
  </headerFooter>
  <rowBreaks count="1" manualBreakCount="1">
    <brk id="6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view="pageBreakPreview" zoomScaleSheetLayoutView="100" workbookViewId="0" topLeftCell="A1">
      <selection activeCell="R26" sqref="R26"/>
    </sheetView>
  </sheetViews>
  <sheetFormatPr defaultColWidth="9.140625" defaultRowHeight="15"/>
  <cols>
    <col min="1" max="1" width="5.421875" style="155" customWidth="1"/>
    <col min="2" max="2" width="50.00390625" style="158" customWidth="1"/>
    <col min="3" max="20" width="12.7109375" style="155" customWidth="1"/>
    <col min="21" max="16384" width="9.140625" style="155" customWidth="1"/>
  </cols>
  <sheetData>
    <row r="1" spans="2:20" ht="25.5" customHeight="1">
      <c r="B1" s="4" t="s">
        <v>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58"/>
      <c r="P1" s="158"/>
      <c r="Q1" s="158"/>
      <c r="R1" s="158"/>
      <c r="S1" s="32"/>
      <c r="T1" s="32" t="s">
        <v>615</v>
      </c>
    </row>
    <row r="2" spans="2:20" ht="23.25" customHeight="1">
      <c r="B2" s="245" t="s">
        <v>616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  <c r="N2" s="246"/>
      <c r="O2" s="247"/>
      <c r="P2" s="247"/>
      <c r="Q2" s="247"/>
      <c r="R2" s="247"/>
      <c r="S2" s="15"/>
      <c r="T2" s="15" t="s">
        <v>10</v>
      </c>
    </row>
    <row r="4" spans="3:4" ht="12.75">
      <c r="C4" s="248" t="s">
        <v>617</v>
      </c>
      <c r="D4" s="248"/>
    </row>
    <row r="5" spans="3:4" ht="12.75">
      <c r="C5" s="248"/>
      <c r="D5" s="248"/>
    </row>
    <row r="6" spans="3:20" ht="12.75">
      <c r="C6" s="181" t="s">
        <v>13</v>
      </c>
      <c r="D6" s="181" t="s">
        <v>14</v>
      </c>
      <c r="E6" s="181" t="s">
        <v>13</v>
      </c>
      <c r="F6" s="181" t="s">
        <v>14</v>
      </c>
      <c r="G6" s="181" t="s">
        <v>13</v>
      </c>
      <c r="H6" s="181" t="s">
        <v>14</v>
      </c>
      <c r="I6" s="181" t="s">
        <v>13</v>
      </c>
      <c r="J6" s="181" t="s">
        <v>14</v>
      </c>
      <c r="K6" s="181" t="s">
        <v>13</v>
      </c>
      <c r="L6" s="181" t="s">
        <v>14</v>
      </c>
      <c r="M6" s="181" t="s">
        <v>13</v>
      </c>
      <c r="N6" s="181" t="s">
        <v>14</v>
      </c>
      <c r="O6" s="181" t="s">
        <v>13</v>
      </c>
      <c r="P6" s="181" t="s">
        <v>14</v>
      </c>
      <c r="Q6" s="181" t="s">
        <v>13</v>
      </c>
      <c r="R6" s="181" t="s">
        <v>14</v>
      </c>
      <c r="S6" s="181" t="s">
        <v>13</v>
      </c>
      <c r="T6" s="181" t="s">
        <v>14</v>
      </c>
    </row>
    <row r="7" spans="1:20" s="176" customFormat="1" ht="102" customHeight="1">
      <c r="A7" s="249" t="s">
        <v>618</v>
      </c>
      <c r="B7" s="250" t="s">
        <v>619</v>
      </c>
      <c r="C7" s="251" t="s">
        <v>620</v>
      </c>
      <c r="D7" s="251"/>
      <c r="E7" s="251" t="s">
        <v>2</v>
      </c>
      <c r="F7" s="251"/>
      <c r="G7" s="251" t="s">
        <v>621</v>
      </c>
      <c r="H7" s="251"/>
      <c r="I7" s="251" t="s">
        <v>5</v>
      </c>
      <c r="J7" s="251"/>
      <c r="K7" s="251" t="s">
        <v>6</v>
      </c>
      <c r="L7" s="251"/>
      <c r="M7" s="251" t="s">
        <v>8</v>
      </c>
      <c r="N7" s="251"/>
      <c r="O7" s="251" t="s">
        <v>7</v>
      </c>
      <c r="P7" s="251"/>
      <c r="Q7" s="251" t="s">
        <v>3</v>
      </c>
      <c r="R7" s="251"/>
      <c r="S7" s="249" t="s">
        <v>622</v>
      </c>
      <c r="T7" s="249"/>
    </row>
    <row r="8" spans="1:20" s="173" customFormat="1" ht="15" customHeight="1">
      <c r="A8" s="180">
        <v>1</v>
      </c>
      <c r="B8" s="252" t="s">
        <v>623</v>
      </c>
      <c r="C8" s="253"/>
      <c r="D8" s="253"/>
      <c r="E8" s="253">
        <v>2</v>
      </c>
      <c r="F8" s="253">
        <v>2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4">
        <f>+Q8+O8+M8+K8+I8+G8+E8+C8</f>
        <v>2</v>
      </c>
      <c r="T8" s="254">
        <f>+R8+P8+N8+L8+J8+H8+F8+D8</f>
        <v>2</v>
      </c>
    </row>
    <row r="9" spans="1:20" s="173" customFormat="1" ht="15" customHeight="1">
      <c r="A9" s="180">
        <v>2</v>
      </c>
      <c r="B9" s="252" t="s">
        <v>624</v>
      </c>
      <c r="C9" s="253"/>
      <c r="D9" s="253"/>
      <c r="E9" s="253">
        <f>18+1</f>
        <v>19</v>
      </c>
      <c r="F9" s="253">
        <v>19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>
        <f>+Q9+O9+M9+K9+I9+G9+E9+C9</f>
        <v>19</v>
      </c>
      <c r="T9" s="254">
        <f>+R9+P9+N9+L9+J9+H9+F9+D9</f>
        <v>19</v>
      </c>
    </row>
    <row r="10" spans="1:20" s="173" customFormat="1" ht="15" customHeight="1">
      <c r="A10" s="180">
        <v>3</v>
      </c>
      <c r="B10" s="252" t="s">
        <v>625</v>
      </c>
      <c r="C10" s="253"/>
      <c r="D10" s="253"/>
      <c r="E10" s="253">
        <v>16</v>
      </c>
      <c r="F10" s="253">
        <v>16</v>
      </c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4">
        <f>+Q10+O10+M10+K10+I10+G10+E10+C10</f>
        <v>16</v>
      </c>
      <c r="T10" s="254">
        <f>+R10+P10+N10+L10+J10+H10+F10+D10</f>
        <v>16</v>
      </c>
    </row>
    <row r="11" spans="1:20" s="173" customFormat="1" ht="15" customHeight="1">
      <c r="A11" s="180">
        <v>4</v>
      </c>
      <c r="B11" s="252" t="s">
        <v>626</v>
      </c>
      <c r="C11" s="253"/>
      <c r="D11" s="253"/>
      <c r="E11" s="253">
        <v>1</v>
      </c>
      <c r="F11" s="253">
        <v>1</v>
      </c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4">
        <f>+Q11+O11+M11+K11+I11+G11+E11+C11</f>
        <v>1</v>
      </c>
      <c r="T11" s="254">
        <f>+R11+P11+N11+L11+J11+H11+F11+D11</f>
        <v>1</v>
      </c>
    </row>
    <row r="12" spans="1:20" s="191" customFormat="1" ht="24.75" customHeight="1">
      <c r="A12" s="255">
        <v>5</v>
      </c>
      <c r="B12" s="256" t="s">
        <v>627</v>
      </c>
      <c r="C12" s="257">
        <f>SUM(C8:C11)</f>
        <v>0</v>
      </c>
      <c r="D12" s="257">
        <f>SUM(D8:D11)</f>
        <v>0</v>
      </c>
      <c r="E12" s="257">
        <f>SUM(E8:E11)</f>
        <v>38</v>
      </c>
      <c r="F12" s="257">
        <f>SUM(F8:F11)</f>
        <v>38</v>
      </c>
      <c r="G12" s="257">
        <f>SUM(G8:G11)</f>
        <v>0</v>
      </c>
      <c r="H12" s="257">
        <f>SUM(H8:H11)</f>
        <v>0</v>
      </c>
      <c r="I12" s="257">
        <f>SUM(I8:I11)</f>
        <v>0</v>
      </c>
      <c r="J12" s="257">
        <f>SUM(J8:J11)</f>
        <v>0</v>
      </c>
      <c r="K12" s="257">
        <f>SUM(K8:K11)</f>
        <v>0</v>
      </c>
      <c r="L12" s="257">
        <f>SUM(L8:L11)</f>
        <v>0</v>
      </c>
      <c r="M12" s="257">
        <f>SUM(M8:M11)</f>
        <v>0</v>
      </c>
      <c r="N12" s="257">
        <f>SUM(N8:N11)</f>
        <v>0</v>
      </c>
      <c r="O12" s="257">
        <f>SUM(O8:O11)</f>
        <v>0</v>
      </c>
      <c r="P12" s="257">
        <f>SUM(P8:P11)</f>
        <v>0</v>
      </c>
      <c r="Q12" s="257">
        <f>SUM(Q8:Q11)</f>
        <v>0</v>
      </c>
      <c r="R12" s="257">
        <f>SUM(R8:R11)</f>
        <v>0</v>
      </c>
      <c r="S12" s="257">
        <f>SUM(S8:S11)</f>
        <v>38</v>
      </c>
      <c r="T12" s="257">
        <f>SUM(T8:T11)</f>
        <v>38</v>
      </c>
    </row>
    <row r="13" spans="1:20" s="173" customFormat="1" ht="15" customHeight="1">
      <c r="A13" s="180">
        <v>6</v>
      </c>
      <c r="B13" s="252" t="s">
        <v>628</v>
      </c>
      <c r="C13" s="253"/>
      <c r="D13" s="253"/>
      <c r="E13" s="253"/>
      <c r="F13" s="253"/>
      <c r="G13" s="253">
        <v>1</v>
      </c>
      <c r="H13" s="253">
        <v>1</v>
      </c>
      <c r="I13" s="253">
        <v>3</v>
      </c>
      <c r="J13" s="253">
        <v>3</v>
      </c>
      <c r="K13" s="253">
        <v>2</v>
      </c>
      <c r="L13" s="253">
        <v>2</v>
      </c>
      <c r="M13" s="253">
        <v>1</v>
      </c>
      <c r="N13" s="253">
        <v>1</v>
      </c>
      <c r="O13" s="253">
        <v>1</v>
      </c>
      <c r="P13" s="253">
        <v>1</v>
      </c>
      <c r="Q13" s="253">
        <v>1</v>
      </c>
      <c r="R13" s="253">
        <v>1</v>
      </c>
      <c r="S13" s="254">
        <f>+Q13+O13+M13+K13+I13+G13+E13+C13</f>
        <v>9</v>
      </c>
      <c r="T13" s="254">
        <f>+R13+P13+N13+L13+J13+H13+F13+D13</f>
        <v>9</v>
      </c>
    </row>
    <row r="14" spans="1:20" s="173" customFormat="1" ht="27.75" customHeight="1">
      <c r="A14" s="180">
        <v>7</v>
      </c>
      <c r="B14" s="252" t="s">
        <v>629</v>
      </c>
      <c r="C14" s="253"/>
      <c r="D14" s="253"/>
      <c r="E14" s="253"/>
      <c r="F14" s="253"/>
      <c r="G14" s="253"/>
      <c r="H14" s="253"/>
      <c r="I14" s="253">
        <v>1</v>
      </c>
      <c r="J14" s="253">
        <v>1</v>
      </c>
      <c r="K14" s="253">
        <v>4</v>
      </c>
      <c r="L14" s="253">
        <v>4</v>
      </c>
      <c r="M14" s="253"/>
      <c r="N14" s="253"/>
      <c r="O14" s="253">
        <v>0</v>
      </c>
      <c r="P14" s="253"/>
      <c r="Q14" s="253">
        <v>3</v>
      </c>
      <c r="R14" s="253">
        <v>3</v>
      </c>
      <c r="S14" s="254">
        <f>+Q14+O14+M14+K14+I14+G14+E14+C14</f>
        <v>8</v>
      </c>
      <c r="T14" s="254">
        <f>+R14+P14+N14+L14+J14+H14+F14+D14</f>
        <v>8</v>
      </c>
    </row>
    <row r="15" spans="1:20" s="173" customFormat="1" ht="15" customHeight="1">
      <c r="A15" s="180">
        <v>8</v>
      </c>
      <c r="B15" s="252" t="s">
        <v>630</v>
      </c>
      <c r="C15" s="253"/>
      <c r="D15" s="253"/>
      <c r="E15" s="253"/>
      <c r="F15" s="253"/>
      <c r="G15" s="253"/>
      <c r="H15" s="253"/>
      <c r="I15" s="253">
        <v>8</v>
      </c>
      <c r="J15" s="253">
        <v>8</v>
      </c>
      <c r="K15" s="253"/>
      <c r="L15" s="253"/>
      <c r="M15" s="253"/>
      <c r="N15" s="253"/>
      <c r="O15" s="253">
        <v>0</v>
      </c>
      <c r="P15" s="253"/>
      <c r="Q15" s="253"/>
      <c r="R15" s="253"/>
      <c r="S15" s="254">
        <f>+Q15+O15+M15+K15+I15+G15+E15+C15</f>
        <v>8</v>
      </c>
      <c r="T15" s="254">
        <f>+R15+P15+N15+L15+J15+H15+F15+D15</f>
        <v>8</v>
      </c>
    </row>
    <row r="16" spans="1:20" s="173" customFormat="1" ht="15" customHeight="1">
      <c r="A16" s="180">
        <v>9</v>
      </c>
      <c r="B16" s="252" t="s">
        <v>631</v>
      </c>
      <c r="C16" s="253"/>
      <c r="D16" s="253"/>
      <c r="E16" s="253"/>
      <c r="F16" s="253"/>
      <c r="G16" s="253"/>
      <c r="H16" s="253"/>
      <c r="I16" s="253"/>
      <c r="J16" s="253"/>
      <c r="K16" s="253">
        <v>21</v>
      </c>
      <c r="L16" s="253">
        <v>21</v>
      </c>
      <c r="M16" s="253"/>
      <c r="N16" s="253"/>
      <c r="O16" s="253"/>
      <c r="P16" s="253"/>
      <c r="Q16" s="253"/>
      <c r="R16" s="253"/>
      <c r="S16" s="254"/>
      <c r="T16" s="254"/>
    </row>
    <row r="17" spans="1:20" s="173" customFormat="1" ht="15" customHeight="1">
      <c r="A17" s="180">
        <v>10</v>
      </c>
      <c r="B17" s="252" t="s">
        <v>632</v>
      </c>
      <c r="C17" s="253"/>
      <c r="D17" s="253"/>
      <c r="E17" s="253"/>
      <c r="F17" s="253"/>
      <c r="G17" s="253"/>
      <c r="H17" s="253"/>
      <c r="I17" s="253"/>
      <c r="J17" s="253"/>
      <c r="K17" s="253">
        <v>1</v>
      </c>
      <c r="L17" s="253">
        <v>1</v>
      </c>
      <c r="M17" s="253"/>
      <c r="N17" s="253"/>
      <c r="O17" s="253"/>
      <c r="P17" s="253"/>
      <c r="Q17" s="253"/>
      <c r="R17" s="253"/>
      <c r="S17" s="254"/>
      <c r="T17" s="254"/>
    </row>
    <row r="18" spans="1:20" s="173" customFormat="1" ht="15" customHeight="1">
      <c r="A18" s="180">
        <v>11</v>
      </c>
      <c r="B18" s="252" t="s">
        <v>633</v>
      </c>
      <c r="C18" s="253"/>
      <c r="D18" s="253"/>
      <c r="E18" s="253"/>
      <c r="F18" s="253"/>
      <c r="G18" s="253">
        <v>5</v>
      </c>
      <c r="H18" s="253">
        <v>5</v>
      </c>
      <c r="I18" s="253">
        <v>25</v>
      </c>
      <c r="J18" s="253">
        <v>25</v>
      </c>
      <c r="K18" s="253">
        <v>45</v>
      </c>
      <c r="L18" s="253">
        <v>45</v>
      </c>
      <c r="M18" s="253">
        <v>1</v>
      </c>
      <c r="N18" s="253">
        <v>1</v>
      </c>
      <c r="O18" s="253">
        <v>3</v>
      </c>
      <c r="P18" s="253">
        <v>3</v>
      </c>
      <c r="Q18" s="253">
        <v>30</v>
      </c>
      <c r="R18" s="253">
        <v>30</v>
      </c>
      <c r="S18" s="254">
        <f>+Q18+O18+M18+K18+I18+G18+E18+C18</f>
        <v>109</v>
      </c>
      <c r="T18" s="254">
        <f>+R18+P18+N18+L18+J18+H18+F18+D18</f>
        <v>109</v>
      </c>
    </row>
    <row r="19" spans="1:20" s="173" customFormat="1" ht="15" customHeight="1">
      <c r="A19" s="180">
        <v>12</v>
      </c>
      <c r="B19" s="252" t="s">
        <v>634</v>
      </c>
      <c r="C19" s="253"/>
      <c r="D19" s="253"/>
      <c r="E19" s="253"/>
      <c r="F19" s="253"/>
      <c r="G19" s="253">
        <v>20</v>
      </c>
      <c r="H19" s="253">
        <v>20</v>
      </c>
      <c r="I19" s="253">
        <v>19</v>
      </c>
      <c r="J19" s="253">
        <v>19</v>
      </c>
      <c r="K19" s="253">
        <v>21</v>
      </c>
      <c r="L19" s="253">
        <v>21</v>
      </c>
      <c r="M19" s="253">
        <v>1</v>
      </c>
      <c r="N19" s="253">
        <v>1</v>
      </c>
      <c r="O19" s="253">
        <v>3</v>
      </c>
      <c r="P19" s="253">
        <v>3</v>
      </c>
      <c r="Q19" s="253">
        <f>14+5</f>
        <v>19</v>
      </c>
      <c r="R19" s="253">
        <v>19</v>
      </c>
      <c r="S19" s="254">
        <f>+Q19+O19+M19+K19+I19+G19+E19+C19</f>
        <v>83</v>
      </c>
      <c r="T19" s="254">
        <f>+R19+P19+N19+L19+J19+H19+F19+D19</f>
        <v>83</v>
      </c>
    </row>
    <row r="20" spans="1:20" s="173" customFormat="1" ht="15" customHeight="1">
      <c r="A20" s="180">
        <v>13</v>
      </c>
      <c r="B20" s="252" t="s">
        <v>635</v>
      </c>
      <c r="C20" s="253"/>
      <c r="D20" s="253"/>
      <c r="E20" s="253"/>
      <c r="F20" s="253"/>
      <c r="G20" s="253">
        <v>28</v>
      </c>
      <c r="H20" s="253">
        <v>28</v>
      </c>
      <c r="I20" s="253">
        <v>43</v>
      </c>
      <c r="J20" s="253">
        <v>43</v>
      </c>
      <c r="K20" s="253">
        <v>5</v>
      </c>
      <c r="L20" s="253">
        <v>5</v>
      </c>
      <c r="M20" s="253">
        <v>3</v>
      </c>
      <c r="N20" s="253">
        <v>3</v>
      </c>
      <c r="O20" s="253">
        <v>2</v>
      </c>
      <c r="P20" s="253">
        <v>2</v>
      </c>
      <c r="Q20" s="253">
        <v>1</v>
      </c>
      <c r="R20" s="253">
        <v>1</v>
      </c>
      <c r="S20" s="254">
        <f>+Q20+O20+M20+K20+I20+G20+E20+C20</f>
        <v>82</v>
      </c>
      <c r="T20" s="254">
        <f>+R20+P20+N20+L20+J20+H20+F20+D20</f>
        <v>82</v>
      </c>
    </row>
    <row r="21" spans="1:20" s="173" customFormat="1" ht="15" customHeight="1">
      <c r="A21" s="180">
        <v>14</v>
      </c>
      <c r="B21" s="252" t="s">
        <v>636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>
        <v>0</v>
      </c>
      <c r="P21" s="253"/>
      <c r="Q21" s="253"/>
      <c r="R21" s="253"/>
      <c r="S21" s="254">
        <f>+Q21+O21+M21+K21+I21+G21+E21+C21</f>
        <v>0</v>
      </c>
      <c r="T21" s="254">
        <f>+R21+P21+N21+L21+J21+H21+F21+D21</f>
        <v>0</v>
      </c>
    </row>
    <row r="22" spans="1:20" s="191" customFormat="1" ht="15" customHeight="1">
      <c r="A22" s="255">
        <v>15</v>
      </c>
      <c r="B22" s="256" t="s">
        <v>637</v>
      </c>
      <c r="C22" s="257">
        <f>SUM(C13:C21)</f>
        <v>0</v>
      </c>
      <c r="D22" s="257">
        <f>SUM(D13:D21)</f>
        <v>0</v>
      </c>
      <c r="E22" s="257">
        <f>SUM(E13:E21)</f>
        <v>0</v>
      </c>
      <c r="F22" s="257">
        <f>SUM(F13:F21)</f>
        <v>0</v>
      </c>
      <c r="G22" s="257">
        <f>SUM(G13:G21)</f>
        <v>54</v>
      </c>
      <c r="H22" s="257">
        <f>SUM(H13:H21)</f>
        <v>54</v>
      </c>
      <c r="I22" s="257">
        <f>SUM(I13:I21)</f>
        <v>99</v>
      </c>
      <c r="J22" s="257">
        <f>SUM(J13:J21)</f>
        <v>99</v>
      </c>
      <c r="K22" s="257">
        <f>SUM(K13:K21)</f>
        <v>99</v>
      </c>
      <c r="L22" s="257">
        <f>SUM(L13:L21)</f>
        <v>99</v>
      </c>
      <c r="M22" s="257">
        <f>SUM(M13:M21)</f>
        <v>6</v>
      </c>
      <c r="N22" s="257">
        <f>SUM(N13:N21)</f>
        <v>6</v>
      </c>
      <c r="O22" s="257">
        <f>SUM(O13:O21)</f>
        <v>9</v>
      </c>
      <c r="P22" s="257">
        <f>SUM(P13:P21)</f>
        <v>9</v>
      </c>
      <c r="Q22" s="257">
        <f>SUM(Q13:Q21)</f>
        <v>54</v>
      </c>
      <c r="R22" s="257">
        <f>SUM(R13:R21)</f>
        <v>54</v>
      </c>
      <c r="S22" s="257">
        <f>SUM(S13:S21)</f>
        <v>299</v>
      </c>
      <c r="T22" s="257">
        <f>SUM(T13:T21)</f>
        <v>299</v>
      </c>
    </row>
    <row r="23" spans="1:20" s="173" customFormat="1" ht="12.75">
      <c r="A23" s="180">
        <v>16</v>
      </c>
      <c r="B23" s="252" t="s">
        <v>638</v>
      </c>
      <c r="C23" s="253"/>
      <c r="D23" s="253"/>
      <c r="E23" s="253">
        <v>10</v>
      </c>
      <c r="F23" s="253">
        <v>10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4">
        <f>+Q23+O23+M23+K23+I23+G23+E23+C23</f>
        <v>10</v>
      </c>
      <c r="T23" s="254">
        <f>+R23+P23+N23+L23+J23+H23+F23+D23</f>
        <v>10</v>
      </c>
    </row>
    <row r="24" spans="1:20" s="173" customFormat="1" ht="15" customHeight="1">
      <c r="A24" s="180">
        <v>17</v>
      </c>
      <c r="B24" s="252" t="s">
        <v>639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4">
        <f>+Q24+O24+M24+K24+I24+G24+E24+C24</f>
        <v>0</v>
      </c>
      <c r="T24" s="254">
        <f>+R24+P24+N24+L24+J24+H24+F24+D24</f>
        <v>0</v>
      </c>
    </row>
    <row r="25" spans="1:20" s="173" customFormat="1" ht="15" customHeight="1">
      <c r="A25" s="180">
        <v>18</v>
      </c>
      <c r="B25" s="252" t="s">
        <v>640</v>
      </c>
      <c r="C25" s="253"/>
      <c r="D25" s="253"/>
      <c r="E25" s="253">
        <v>7</v>
      </c>
      <c r="F25" s="253">
        <v>7</v>
      </c>
      <c r="G25" s="253">
        <v>3</v>
      </c>
      <c r="H25" s="253">
        <v>3</v>
      </c>
      <c r="I25" s="253">
        <v>8</v>
      </c>
      <c r="J25" s="253">
        <v>8</v>
      </c>
      <c r="K25" s="253">
        <v>9</v>
      </c>
      <c r="L25" s="253">
        <v>9</v>
      </c>
      <c r="M25" s="253">
        <v>4</v>
      </c>
      <c r="N25" s="253">
        <v>4</v>
      </c>
      <c r="O25" s="253">
        <v>2</v>
      </c>
      <c r="P25" s="253">
        <v>2</v>
      </c>
      <c r="Q25" s="253">
        <v>177</v>
      </c>
      <c r="R25" s="253">
        <v>177</v>
      </c>
      <c r="S25" s="254">
        <f>+Q25+O25+M25+K25+I25+G25+E25+C25</f>
        <v>210</v>
      </c>
      <c r="T25" s="254">
        <f>+R25+P25+N25+L25+J25+H25+F25+D25</f>
        <v>210</v>
      </c>
    </row>
    <row r="26" spans="1:20" s="191" customFormat="1" ht="15" customHeight="1">
      <c r="A26" s="255">
        <v>19</v>
      </c>
      <c r="B26" s="256" t="s">
        <v>641</v>
      </c>
      <c r="C26" s="257">
        <f>SUM(C23:C25)</f>
        <v>0</v>
      </c>
      <c r="D26" s="257">
        <f>SUM(D23:D25)</f>
        <v>0</v>
      </c>
      <c r="E26" s="257">
        <f>SUM(E23:E25)</f>
        <v>17</v>
      </c>
      <c r="F26" s="257">
        <f>SUM(F23:F25)</f>
        <v>17</v>
      </c>
      <c r="G26" s="257">
        <f>SUM(G23:G25)</f>
        <v>3</v>
      </c>
      <c r="H26" s="257">
        <f>SUM(H23:H25)</f>
        <v>3</v>
      </c>
      <c r="I26" s="257">
        <f>SUM(I23:I25)</f>
        <v>8</v>
      </c>
      <c r="J26" s="257">
        <f>SUM(J23:J25)</f>
        <v>8</v>
      </c>
      <c r="K26" s="257">
        <f>SUM(K23:K25)</f>
        <v>9</v>
      </c>
      <c r="L26" s="257">
        <f>SUM(L23:L25)</f>
        <v>9</v>
      </c>
      <c r="M26" s="257">
        <f>SUM(M23:M25)</f>
        <v>4</v>
      </c>
      <c r="N26" s="257">
        <f>SUM(N23:N25)</f>
        <v>4</v>
      </c>
      <c r="O26" s="257">
        <f>SUM(O23:O25)</f>
        <v>2</v>
      </c>
      <c r="P26" s="257">
        <f>SUM(P23:P25)</f>
        <v>2</v>
      </c>
      <c r="Q26" s="257">
        <f>SUM(Q23:Q25)</f>
        <v>177</v>
      </c>
      <c r="R26" s="257">
        <f>SUM(R23:R25)</f>
        <v>177</v>
      </c>
      <c r="S26" s="257">
        <f>SUM(S23:S25)</f>
        <v>220</v>
      </c>
      <c r="T26" s="257">
        <f>SUM(T23:T25)</f>
        <v>220</v>
      </c>
    </row>
    <row r="27" spans="1:20" s="173" customFormat="1" ht="12.75">
      <c r="A27" s="180">
        <v>20</v>
      </c>
      <c r="B27" s="252" t="s">
        <v>642</v>
      </c>
      <c r="C27" s="253">
        <v>1</v>
      </c>
      <c r="D27" s="253">
        <v>1</v>
      </c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4">
        <f>+Q27+O27+M27+K27+I27+G27+E27+C27</f>
        <v>1</v>
      </c>
      <c r="T27" s="254">
        <f>+R27+P27+N27+L27+J27+H27+F27+D27</f>
        <v>1</v>
      </c>
    </row>
    <row r="28" spans="1:20" s="173" customFormat="1" ht="12.75">
      <c r="A28" s="180">
        <v>21</v>
      </c>
      <c r="B28" s="252" t="s">
        <v>643</v>
      </c>
      <c r="C28" s="253">
        <v>10</v>
      </c>
      <c r="D28" s="253">
        <v>10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4">
        <f>+Q28+O28+M28+K28+I28+G28+E28+C28</f>
        <v>10</v>
      </c>
      <c r="T28" s="254">
        <f>+R28+P28+N28+L28+J28+H28+F28+D28</f>
        <v>10</v>
      </c>
    </row>
    <row r="29" spans="1:20" s="173" customFormat="1" ht="12.75">
      <c r="A29" s="180">
        <v>22</v>
      </c>
      <c r="B29" s="252" t="s">
        <v>644</v>
      </c>
      <c r="C29" s="253">
        <v>1</v>
      </c>
      <c r="D29" s="253">
        <v>1</v>
      </c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4">
        <f>+Q29+O29+M29+K29+I29+G29+E29+C29</f>
        <v>1</v>
      </c>
      <c r="T29" s="254">
        <f>+R29+P29+N29+L29+J29+H29+F29+D29</f>
        <v>1</v>
      </c>
    </row>
    <row r="30" spans="1:20" s="191" customFormat="1" ht="15" customHeight="1">
      <c r="A30" s="255">
        <v>23</v>
      </c>
      <c r="B30" s="256" t="s">
        <v>645</v>
      </c>
      <c r="C30" s="257">
        <f>SUM(C27:C29)</f>
        <v>12</v>
      </c>
      <c r="D30" s="257">
        <f>SUM(D27:D29)</f>
        <v>12</v>
      </c>
      <c r="E30" s="257">
        <f>SUM(E27:E29)</f>
        <v>0</v>
      </c>
      <c r="F30" s="257">
        <f>SUM(F27:F29)</f>
        <v>0</v>
      </c>
      <c r="G30" s="257">
        <f>SUM(G27:G29)</f>
        <v>0</v>
      </c>
      <c r="H30" s="257">
        <f>SUM(H27:H29)</f>
        <v>0</v>
      </c>
      <c r="I30" s="257">
        <f>SUM(I27:I29)</f>
        <v>0</v>
      </c>
      <c r="J30" s="257">
        <f>SUM(J27:J29)</f>
        <v>0</v>
      </c>
      <c r="K30" s="257">
        <f>SUM(K27:K29)</f>
        <v>0</v>
      </c>
      <c r="L30" s="257">
        <f>SUM(L27:L29)</f>
        <v>0</v>
      </c>
      <c r="M30" s="257">
        <f>SUM(M27:M29)</f>
        <v>0</v>
      </c>
      <c r="N30" s="257">
        <f>SUM(N27:N29)</f>
        <v>0</v>
      </c>
      <c r="O30" s="257">
        <f>SUM(O27:O29)</f>
        <v>0</v>
      </c>
      <c r="P30" s="257">
        <f>SUM(P27:P29)</f>
        <v>0</v>
      </c>
      <c r="Q30" s="257">
        <f>SUM(Q27:Q29)</f>
        <v>0</v>
      </c>
      <c r="R30" s="257">
        <f>SUM(R27:R29)</f>
        <v>0</v>
      </c>
      <c r="S30" s="257">
        <f>SUM(S27:S29)</f>
        <v>12</v>
      </c>
      <c r="T30" s="257">
        <f>SUM(T27:T29)</f>
        <v>12</v>
      </c>
    </row>
    <row r="31" spans="1:20" s="191" customFormat="1" ht="37.5" customHeight="1">
      <c r="A31" s="255">
        <v>24</v>
      </c>
      <c r="B31" s="256" t="s">
        <v>646</v>
      </c>
      <c r="C31" s="258">
        <f>+C30+C26+C22+C12</f>
        <v>12</v>
      </c>
      <c r="D31" s="258">
        <f>+D30+D26+D22+D12</f>
        <v>12</v>
      </c>
      <c r="E31" s="258">
        <f>+E30+E26+E22+E12</f>
        <v>55</v>
      </c>
      <c r="F31" s="258">
        <f>+F30+F26+F22+F12</f>
        <v>55</v>
      </c>
      <c r="G31" s="258">
        <f>+G30+G26+G22+G12</f>
        <v>57</v>
      </c>
      <c r="H31" s="258">
        <f>+H30+H26+H22+H12</f>
        <v>57</v>
      </c>
      <c r="I31" s="258">
        <f>+I30+I26+I22+I12</f>
        <v>107</v>
      </c>
      <c r="J31" s="258">
        <f>+J30+J26+J22+J12</f>
        <v>107</v>
      </c>
      <c r="K31" s="258">
        <f>+K30+K26+K22+K12</f>
        <v>108</v>
      </c>
      <c r="L31" s="258">
        <f>+L30+L26+L22+L12</f>
        <v>108</v>
      </c>
      <c r="M31" s="258">
        <f>+M30+M26+M22+M12</f>
        <v>10</v>
      </c>
      <c r="N31" s="258">
        <f>+N30+N26+N22+N12</f>
        <v>10</v>
      </c>
      <c r="O31" s="258">
        <f>+O30+O26+O22+O12</f>
        <v>11</v>
      </c>
      <c r="P31" s="258">
        <f>+P30+P26+P22+P12</f>
        <v>11</v>
      </c>
      <c r="Q31" s="258">
        <f>+Q30+Q26+Q22+Q12</f>
        <v>231</v>
      </c>
      <c r="R31" s="258">
        <f>+R30+R26+R22+R12</f>
        <v>231</v>
      </c>
      <c r="S31" s="258">
        <f>+S30+S26+S22+S12</f>
        <v>569</v>
      </c>
      <c r="T31" s="258">
        <f>+T30+T26+T22+T12</f>
        <v>569</v>
      </c>
    </row>
    <row r="32" spans="1:20" s="173" customFormat="1" ht="12.75">
      <c r="A32" s="180">
        <v>25</v>
      </c>
      <c r="B32" s="252" t="s">
        <v>647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4">
        <f>+Q32+O32+M32+K32+I32+G32+E32+C32</f>
        <v>0</v>
      </c>
      <c r="T32" s="254">
        <f>+R32+P32+N32+L32+J32+H32+F32+D32</f>
        <v>0</v>
      </c>
    </row>
    <row r="33" spans="1:20" s="173" customFormat="1" ht="12.75">
      <c r="A33" s="180">
        <v>26</v>
      </c>
      <c r="B33" s="252" t="s">
        <v>648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4">
        <f>+Q33+O33+M33+K33+I33+G33+E33+C33</f>
        <v>0</v>
      </c>
      <c r="T33" s="254">
        <f>+R33+P33+N33+L33+J33+H33+F33+D33</f>
        <v>0</v>
      </c>
    </row>
    <row r="34" spans="1:20" s="173" customFormat="1" ht="12.75">
      <c r="A34" s="180">
        <v>27</v>
      </c>
      <c r="B34" s="252" t="s">
        <v>649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4">
        <f>+Q34+O34+M34+K34+I34+G34+E34+C34</f>
        <v>0</v>
      </c>
      <c r="T34" s="254">
        <f>+R34+P34+N34+L34+J34+H34+F34+D34</f>
        <v>0</v>
      </c>
    </row>
    <row r="35" spans="1:20" s="173" customFormat="1" ht="12.75">
      <c r="A35" s="180">
        <v>28</v>
      </c>
      <c r="B35" s="252" t="s">
        <v>650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4">
        <f>+Q35+O35+M35+K35+I35+G35+E35+C35</f>
        <v>0</v>
      </c>
      <c r="T35" s="254">
        <f>+R35+P35+N35+L35+J35+H35+F35+D35</f>
        <v>0</v>
      </c>
    </row>
    <row r="36" spans="1:20" s="191" customFormat="1" ht="36.75" customHeight="1">
      <c r="A36" s="255">
        <v>29</v>
      </c>
      <c r="B36" s="256" t="s">
        <v>651</v>
      </c>
      <c r="C36" s="257">
        <f>SUM(C32:C35)</f>
        <v>0</v>
      </c>
      <c r="D36" s="257">
        <f>SUM(D32:D35)</f>
        <v>0</v>
      </c>
      <c r="E36" s="257">
        <f>SUM(E32:E35)</f>
        <v>0</v>
      </c>
      <c r="F36" s="257">
        <f>SUM(F32:F35)</f>
        <v>0</v>
      </c>
      <c r="G36" s="257">
        <f>SUM(G32:G35)</f>
        <v>0</v>
      </c>
      <c r="H36" s="257">
        <f>SUM(H32:H35)</f>
        <v>0</v>
      </c>
      <c r="I36" s="257">
        <f>SUM(I32:I35)</f>
        <v>0</v>
      </c>
      <c r="J36" s="257">
        <f>SUM(J32:J35)</f>
        <v>0</v>
      </c>
      <c r="K36" s="257">
        <f>SUM(K32:K35)</f>
        <v>0</v>
      </c>
      <c r="L36" s="257">
        <f>SUM(L32:L35)</f>
        <v>0</v>
      </c>
      <c r="M36" s="257">
        <f>SUM(M32:M35)</f>
        <v>0</v>
      </c>
      <c r="N36" s="257">
        <f>SUM(N32:N35)</f>
        <v>0</v>
      </c>
      <c r="O36" s="257">
        <f>SUM(O32:O35)</f>
        <v>0</v>
      </c>
      <c r="P36" s="257">
        <f>SUM(P32:P35)</f>
        <v>0</v>
      </c>
      <c r="Q36" s="257">
        <f>SUM(Q32:Q35)</f>
        <v>0</v>
      </c>
      <c r="R36" s="257">
        <f>SUM(R32:R35)</f>
        <v>0</v>
      </c>
      <c r="S36" s="257">
        <f>SUM(S32:S35)</f>
        <v>0</v>
      </c>
      <c r="T36" s="257">
        <f>SUM(T32:T35)</f>
        <v>0</v>
      </c>
    </row>
    <row r="37" spans="2:18" s="173" customFormat="1" ht="12.75" customHeight="1"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  <row r="38" spans="2:18" s="173" customFormat="1" ht="12.75" customHeight="1"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</row>
    <row r="39" spans="2:16" s="173" customFormat="1" ht="12.75">
      <c r="B39" s="261"/>
      <c r="K39" s="262"/>
      <c r="L39" s="262"/>
      <c r="M39" s="262"/>
      <c r="N39" s="262"/>
      <c r="O39" s="262"/>
      <c r="P39" s="262"/>
    </row>
    <row r="40" s="173" customFormat="1" ht="12.75">
      <c r="B40" s="261"/>
    </row>
    <row r="41" s="173" customFormat="1" ht="12.75">
      <c r="B41" s="261"/>
    </row>
    <row r="42" s="173" customFormat="1" ht="12.75">
      <c r="B42" s="261"/>
    </row>
    <row r="43" s="173" customFormat="1" ht="12.75">
      <c r="B43" s="261"/>
    </row>
    <row r="44" s="173" customFormat="1" ht="12.75">
      <c r="B44" s="261"/>
    </row>
    <row r="45" s="173" customFormat="1" ht="12.75">
      <c r="B45" s="261"/>
    </row>
    <row r="46" s="173" customFormat="1" ht="12.75">
      <c r="B46" s="261"/>
    </row>
    <row r="47" s="173" customFormat="1" ht="12.75">
      <c r="B47" s="261"/>
    </row>
    <row r="48" s="173" customFormat="1" ht="12.75">
      <c r="B48" s="261"/>
    </row>
    <row r="49" s="173" customFormat="1" ht="12.75">
      <c r="B49" s="261"/>
    </row>
    <row r="50" s="173" customFormat="1" ht="12.75">
      <c r="B50" s="261"/>
    </row>
    <row r="51" s="173" customFormat="1" ht="12.75">
      <c r="B51" s="261"/>
    </row>
  </sheetData>
  <sheetProtection selectLockedCells="1" selectUnlockedCells="1"/>
  <mergeCells count="13">
    <mergeCell ref="B1:M1"/>
    <mergeCell ref="B2:K2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B37:Q37"/>
    <mergeCell ref="B38:Q38"/>
  </mergeCells>
  <printOptions/>
  <pageMargins left="0.5902777777777778" right="0.4097222222222222" top="0.7097222222222223" bottom="0.55" header="0.5118055555555555" footer="0.31527777777777777"/>
  <pageSetup fitToHeight="1" fitToWidth="1" horizontalDpi="300" verticalDpi="300" orientation="landscape" paperSize="9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SheetLayoutView="100" workbookViewId="0" topLeftCell="A4">
      <selection activeCell="H19" sqref="H19"/>
    </sheetView>
  </sheetViews>
  <sheetFormatPr defaultColWidth="9.140625" defaultRowHeight="15"/>
  <cols>
    <col min="1" max="1" width="13.140625" style="88" customWidth="1"/>
    <col min="2" max="2" width="76.28125" style="13" customWidth="1"/>
    <col min="3" max="3" width="9.140625" style="13" customWidth="1"/>
    <col min="4" max="5" width="15.421875" style="263" customWidth="1"/>
    <col min="6" max="16384" width="9.140625" style="13" customWidth="1"/>
  </cols>
  <sheetData>
    <row r="1" spans="1:5" ht="12.75">
      <c r="A1" s="264"/>
      <c r="D1" s="265"/>
      <c r="E1" s="265" t="s">
        <v>652</v>
      </c>
    </row>
    <row r="2" spans="1:5" ht="12.75">
      <c r="A2" s="264"/>
      <c r="D2" s="15"/>
      <c r="E2" s="15" t="s">
        <v>10</v>
      </c>
    </row>
    <row r="3" spans="1:5" ht="12.75">
      <c r="A3" s="264"/>
      <c r="D3" s="266"/>
      <c r="E3" s="266"/>
    </row>
    <row r="4" spans="1:5" ht="28.5" customHeight="1">
      <c r="A4" s="264"/>
      <c r="B4" s="34" t="s">
        <v>11</v>
      </c>
      <c r="C4" s="36"/>
      <c r="D4" s="267"/>
      <c r="E4" s="267"/>
    </row>
    <row r="5" spans="1:5" ht="12.75">
      <c r="A5" s="264"/>
      <c r="B5" s="34"/>
      <c r="C5" s="36"/>
      <c r="D5" s="267"/>
      <c r="E5" s="267"/>
    </row>
    <row r="6" spans="1:5" ht="15.75" customHeight="1">
      <c r="A6" s="264"/>
      <c r="B6" s="268" t="s">
        <v>653</v>
      </c>
      <c r="C6" s="268"/>
      <c r="D6" s="268"/>
      <c r="E6" s="269"/>
    </row>
    <row r="7" spans="1:5" ht="12.75">
      <c r="A7" s="264"/>
      <c r="B7" s="270"/>
      <c r="C7" s="271"/>
      <c r="D7" s="272"/>
      <c r="E7" s="272"/>
    </row>
    <row r="8" ht="12.75">
      <c r="A8" s="264"/>
    </row>
    <row r="9" spans="1:5" s="22" customFormat="1" ht="12.75">
      <c r="A9" s="273"/>
      <c r="B9" s="160" t="s">
        <v>527</v>
      </c>
      <c r="C9" s="42" t="s">
        <v>42</v>
      </c>
      <c r="D9" s="274" t="s">
        <v>654</v>
      </c>
      <c r="E9" s="274" t="s">
        <v>655</v>
      </c>
    </row>
    <row r="10" spans="2:5" ht="12.75">
      <c r="B10" s="52" t="s">
        <v>656</v>
      </c>
      <c r="C10" s="58" t="s">
        <v>64</v>
      </c>
      <c r="D10" s="275">
        <v>2706</v>
      </c>
      <c r="E10" s="275">
        <v>2706</v>
      </c>
    </row>
    <row r="11" spans="2:5" ht="12.75">
      <c r="B11" s="52" t="s">
        <v>657</v>
      </c>
      <c r="C11" s="58" t="s">
        <v>64</v>
      </c>
      <c r="D11" s="275">
        <v>29503</v>
      </c>
      <c r="E11" s="275">
        <v>29503</v>
      </c>
    </row>
    <row r="12" spans="2:5" ht="12.75">
      <c r="B12" s="276" t="s">
        <v>658</v>
      </c>
      <c r="C12" s="58" t="s">
        <v>64</v>
      </c>
      <c r="D12" s="277">
        <v>11600</v>
      </c>
      <c r="E12" s="277">
        <v>11600</v>
      </c>
    </row>
    <row r="13" spans="2:5" ht="12.75">
      <c r="B13" s="276" t="s">
        <v>659</v>
      </c>
      <c r="C13" s="58" t="s">
        <v>64</v>
      </c>
      <c r="D13" s="277">
        <v>700</v>
      </c>
      <c r="E13" s="277">
        <v>700</v>
      </c>
    </row>
    <row r="14" spans="2:5" ht="12.75">
      <c r="B14" s="60" t="s">
        <v>660</v>
      </c>
      <c r="C14" s="58" t="s">
        <v>64</v>
      </c>
      <c r="D14" s="275">
        <v>10732</v>
      </c>
      <c r="E14" s="275">
        <v>10732</v>
      </c>
    </row>
    <row r="15" spans="2:5" ht="12.75">
      <c r="B15" s="52" t="s">
        <v>661</v>
      </c>
      <c r="C15" s="58" t="s">
        <v>64</v>
      </c>
      <c r="D15" s="275">
        <v>960</v>
      </c>
      <c r="E15" s="275">
        <v>960</v>
      </c>
    </row>
    <row r="16" spans="2:5" ht="12.75">
      <c r="B16" s="60" t="s">
        <v>662</v>
      </c>
      <c r="C16" s="58" t="s">
        <v>64</v>
      </c>
      <c r="D16" s="275">
        <v>2832</v>
      </c>
      <c r="E16" s="275">
        <v>2832</v>
      </c>
    </row>
    <row r="17" spans="2:5" ht="12.75">
      <c r="B17" s="278" t="s">
        <v>663</v>
      </c>
      <c r="C17" s="76"/>
      <c r="D17" s="279"/>
      <c r="E17" s="279"/>
    </row>
    <row r="18" spans="2:5" ht="12.75">
      <c r="B18" s="101" t="s">
        <v>664</v>
      </c>
      <c r="C18" s="58" t="s">
        <v>64</v>
      </c>
      <c r="D18" s="275">
        <v>17000</v>
      </c>
      <c r="E18" s="275">
        <v>17000</v>
      </c>
    </row>
    <row r="19" spans="2:5" ht="12.75">
      <c r="B19" s="101" t="s">
        <v>665</v>
      </c>
      <c r="C19" s="58" t="s">
        <v>64</v>
      </c>
      <c r="D19" s="275">
        <v>4000</v>
      </c>
      <c r="E19" s="275">
        <v>4000</v>
      </c>
    </row>
    <row r="20" spans="2:5" ht="12.75">
      <c r="B20" s="280" t="s">
        <v>666</v>
      </c>
      <c r="C20" s="23"/>
      <c r="D20" s="23"/>
      <c r="E20" s="23"/>
    </row>
    <row r="21" spans="2:5" ht="12.75">
      <c r="B21" s="101" t="s">
        <v>667</v>
      </c>
      <c r="C21" s="58" t="s">
        <v>64</v>
      </c>
      <c r="D21" s="275">
        <v>16000</v>
      </c>
      <c r="E21" s="275">
        <v>16000</v>
      </c>
    </row>
    <row r="22" spans="2:5" ht="12.75">
      <c r="B22" s="101" t="s">
        <v>668</v>
      </c>
      <c r="C22" s="58" t="s">
        <v>64</v>
      </c>
      <c r="D22" s="275">
        <v>1500</v>
      </c>
      <c r="E22" s="275">
        <v>1500</v>
      </c>
    </row>
    <row r="23" spans="2:5" ht="12.75">
      <c r="B23" s="281" t="s">
        <v>669</v>
      </c>
      <c r="C23" s="58" t="s">
        <v>64</v>
      </c>
      <c r="D23" s="277">
        <v>3500</v>
      </c>
      <c r="E23" s="277">
        <v>3500</v>
      </c>
    </row>
    <row r="24" spans="2:5" ht="12.75">
      <c r="B24" s="26" t="s">
        <v>670</v>
      </c>
      <c r="C24" s="23"/>
      <c r="D24" s="25">
        <f>SUM(D18:D23)</f>
        <v>42000</v>
      </c>
      <c r="E24" s="25">
        <f>SUM(E18:E23)</f>
        <v>42000</v>
      </c>
    </row>
    <row r="25" spans="2:5" ht="12.75">
      <c r="B25" s="60" t="s">
        <v>671</v>
      </c>
      <c r="C25" s="58" t="s">
        <v>64</v>
      </c>
      <c r="D25" s="275">
        <v>3500</v>
      </c>
      <c r="E25" s="275">
        <v>3500</v>
      </c>
    </row>
    <row r="26" spans="2:5" ht="12.75">
      <c r="B26" s="60" t="s">
        <v>672</v>
      </c>
      <c r="C26" s="58" t="s">
        <v>64</v>
      </c>
      <c r="D26" s="275">
        <v>500</v>
      </c>
      <c r="E26" s="275">
        <v>500</v>
      </c>
    </row>
    <row r="27" spans="1:5" s="97" customFormat="1" ht="12.75">
      <c r="A27" s="146"/>
      <c r="B27" s="282" t="s">
        <v>673</v>
      </c>
      <c r="C27" s="95" t="s">
        <v>64</v>
      </c>
      <c r="D27" s="283">
        <f>SUM(D10:D26)-D24</f>
        <v>105033</v>
      </c>
      <c r="E27" s="283">
        <f>SUM(E10:E26)-E24</f>
        <v>105033</v>
      </c>
    </row>
    <row r="28" spans="2:5" ht="12.75">
      <c r="B28" s="284" t="s">
        <v>674</v>
      </c>
      <c r="D28" s="263">
        <v>3500</v>
      </c>
      <c r="E28" s="263">
        <v>3500</v>
      </c>
    </row>
    <row r="29" spans="1:5" ht="12.75">
      <c r="A29" s="146"/>
      <c r="B29" s="27" t="s">
        <v>675</v>
      </c>
      <c r="D29" s="285">
        <f>SUM(D27:D28)</f>
        <v>108533</v>
      </c>
      <c r="E29" s="285">
        <f>SUM(E27:E28)</f>
        <v>108533</v>
      </c>
    </row>
    <row r="30" spans="4:5" ht="12.75">
      <c r="D30" s="263">
        <v>108533</v>
      </c>
      <c r="E30" s="263">
        <v>108533</v>
      </c>
    </row>
    <row r="31" spans="4:5" ht="12.75">
      <c r="D31" s="263">
        <f>+D30-D27</f>
        <v>3500</v>
      </c>
      <c r="E31" s="263">
        <f>+E30-E27</f>
        <v>3500</v>
      </c>
    </row>
  </sheetData>
  <sheetProtection selectLockedCells="1" selectUnlockedCells="1"/>
  <mergeCells count="1">
    <mergeCell ref="B6:D6"/>
  </mergeCells>
  <printOptions/>
  <pageMargins left="0.6902777777777778" right="0.5298611111111111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zoomScaleSheetLayoutView="100" workbookViewId="0" topLeftCell="A22">
      <selection activeCell="G5" sqref="G5"/>
    </sheetView>
  </sheetViews>
  <sheetFormatPr defaultColWidth="9.140625" defaultRowHeight="15"/>
  <cols>
    <col min="1" max="1" width="13.140625" style="88" customWidth="1"/>
    <col min="2" max="2" width="75.57421875" style="13" customWidth="1"/>
    <col min="3" max="3" width="10.00390625" style="13" customWidth="1"/>
    <col min="4" max="4" width="10.421875" style="14" customWidth="1"/>
    <col min="5" max="5" width="13.57421875" style="14" customWidth="1"/>
    <col min="6" max="6" width="10.421875" style="14" customWidth="1"/>
    <col min="7" max="7" width="13.57421875" style="14" customWidth="1"/>
    <col min="8" max="16384" width="9.140625" style="13" customWidth="1"/>
  </cols>
  <sheetData>
    <row r="1" spans="5:7" ht="12.75">
      <c r="E1" s="32"/>
      <c r="G1" s="32" t="s">
        <v>676</v>
      </c>
    </row>
    <row r="2" spans="5:7" ht="12.75">
      <c r="E2" s="15"/>
      <c r="G2" s="15" t="s">
        <v>10</v>
      </c>
    </row>
    <row r="3" spans="5:7" ht="12.75">
      <c r="E3" s="156"/>
      <c r="G3" s="156"/>
    </row>
    <row r="4" spans="2:7" ht="12.75">
      <c r="B4" s="34" t="s">
        <v>11</v>
      </c>
      <c r="C4" s="286"/>
      <c r="D4" s="286"/>
      <c r="E4" s="286"/>
      <c r="F4" s="286"/>
      <c r="G4" s="286"/>
    </row>
    <row r="5" spans="2:7" ht="12.75">
      <c r="B5" s="34"/>
      <c r="C5"/>
      <c r="D5"/>
      <c r="E5"/>
      <c r="F5"/>
      <c r="G5"/>
    </row>
    <row r="6" spans="2:7" ht="36" customHeight="1">
      <c r="B6" s="119" t="s">
        <v>677</v>
      </c>
      <c r="C6" s="119"/>
      <c r="D6" s="119"/>
      <c r="E6" s="119"/>
      <c r="F6" s="119"/>
      <c r="G6" s="119"/>
    </row>
    <row r="7" spans="1:6" ht="12.75">
      <c r="A7" s="88" t="s">
        <v>597</v>
      </c>
      <c r="B7" s="38"/>
      <c r="C7" s="39"/>
      <c r="D7" s="120"/>
      <c r="F7" s="120"/>
    </row>
    <row r="8" spans="1:7" ht="12.75">
      <c r="A8" s="88" t="s">
        <v>678</v>
      </c>
      <c r="D8" s="287" t="s">
        <v>13</v>
      </c>
      <c r="E8" s="287"/>
      <c r="F8" s="287" t="s">
        <v>14</v>
      </c>
      <c r="G8" s="287"/>
    </row>
    <row r="9" spans="1:7" s="22" customFormat="1" ht="12.75">
      <c r="A9" s="288"/>
      <c r="B9" s="289" t="s">
        <v>679</v>
      </c>
      <c r="C9" s="42" t="s">
        <v>42</v>
      </c>
      <c r="D9" s="20" t="s">
        <v>16</v>
      </c>
      <c r="E9" s="20" t="s">
        <v>17</v>
      </c>
      <c r="F9" s="20" t="s">
        <v>16</v>
      </c>
      <c r="G9" s="20" t="s">
        <v>17</v>
      </c>
    </row>
    <row r="10" spans="1:7" s="115" customFormat="1" ht="12.75">
      <c r="A10" s="111" t="s">
        <v>680</v>
      </c>
      <c r="B10" s="290"/>
      <c r="C10" s="99" t="s">
        <v>147</v>
      </c>
      <c r="D10" s="24">
        <v>0</v>
      </c>
      <c r="E10" s="24"/>
      <c r="F10" s="24">
        <v>0</v>
      </c>
      <c r="G10" s="24"/>
    </row>
    <row r="11" spans="1:7" s="115" customFormat="1" ht="12.75">
      <c r="A11" s="111" t="s">
        <v>681</v>
      </c>
      <c r="B11" s="291"/>
      <c r="C11" s="99" t="s">
        <v>147</v>
      </c>
      <c r="D11" s="292">
        <v>0</v>
      </c>
      <c r="E11" s="24"/>
      <c r="F11" s="292">
        <v>0</v>
      </c>
      <c r="G11" s="24"/>
    </row>
    <row r="12" spans="1:7" s="115" customFormat="1" ht="12.75">
      <c r="A12" s="111" t="s">
        <v>682</v>
      </c>
      <c r="B12" s="293"/>
      <c r="C12" s="99" t="s">
        <v>147</v>
      </c>
      <c r="D12" s="292"/>
      <c r="E12" s="24"/>
      <c r="F12" s="292"/>
      <c r="G12" s="24"/>
    </row>
    <row r="13" spans="1:7" s="297" customFormat="1" ht="12.75">
      <c r="A13" s="294"/>
      <c r="B13" s="295" t="s">
        <v>683</v>
      </c>
      <c r="C13" s="296" t="s">
        <v>147</v>
      </c>
      <c r="D13" s="124">
        <f>SUM(D10:D12)</f>
        <v>0</v>
      </c>
      <c r="E13" s="124">
        <f>SUM(E10:E12)</f>
        <v>0</v>
      </c>
      <c r="F13" s="124">
        <f>SUM(F10:F12)</f>
        <v>0</v>
      </c>
      <c r="G13" s="124">
        <f>SUM(G10:G12)</f>
        <v>0</v>
      </c>
    </row>
    <row r="14" spans="2:7" ht="12.75">
      <c r="B14" s="128" t="s">
        <v>684</v>
      </c>
      <c r="C14" s="99" t="s">
        <v>147</v>
      </c>
      <c r="D14" s="24">
        <f>+D13</f>
        <v>0</v>
      </c>
      <c r="E14" s="24">
        <f>+E13</f>
        <v>0</v>
      </c>
      <c r="F14" s="24">
        <f>+F13</f>
        <v>0</v>
      </c>
      <c r="G14" s="24">
        <f>+G13</f>
        <v>0</v>
      </c>
    </row>
    <row r="15" spans="2:7" ht="12.75">
      <c r="B15" s="128" t="s">
        <v>685</v>
      </c>
      <c r="C15" s="99" t="s">
        <v>147</v>
      </c>
      <c r="D15" s="24"/>
      <c r="E15" s="24"/>
      <c r="F15" s="24"/>
      <c r="G15" s="24"/>
    </row>
    <row r="16" spans="1:7" s="297" customFormat="1" ht="20.25" customHeight="1">
      <c r="A16" s="294"/>
      <c r="B16" s="295" t="s">
        <v>148</v>
      </c>
      <c r="C16" s="296" t="s">
        <v>149</v>
      </c>
      <c r="D16" s="124"/>
      <c r="E16" s="124"/>
      <c r="F16" s="124"/>
      <c r="G16" s="124"/>
    </row>
    <row r="17" spans="1:7" s="298" customFormat="1" ht="12.75">
      <c r="A17" s="294"/>
      <c r="B17" s="98" t="s">
        <v>464</v>
      </c>
      <c r="C17" s="99" t="s">
        <v>151</v>
      </c>
      <c r="D17" s="100"/>
      <c r="E17" s="126"/>
      <c r="F17" s="100"/>
      <c r="G17" s="126"/>
    </row>
    <row r="18" spans="1:7" s="298" customFormat="1" ht="12.75">
      <c r="A18" s="88" t="s">
        <v>686</v>
      </c>
      <c r="B18" s="98" t="s">
        <v>687</v>
      </c>
      <c r="C18" s="99" t="s">
        <v>151</v>
      </c>
      <c r="D18" s="100">
        <v>88500</v>
      </c>
      <c r="E18" s="126"/>
      <c r="F18" s="100">
        <v>88500</v>
      </c>
      <c r="G18" s="126"/>
    </row>
    <row r="19" spans="1:7" s="297" customFormat="1" ht="12.75">
      <c r="A19" s="294"/>
      <c r="B19" s="295" t="s">
        <v>688</v>
      </c>
      <c r="C19" s="296" t="s">
        <v>151</v>
      </c>
      <c r="D19" s="124">
        <f>SUM(D17:D18)</f>
        <v>88500</v>
      </c>
      <c r="E19" s="124"/>
      <c r="F19" s="124">
        <f>SUM(F17:F18)</f>
        <v>88500</v>
      </c>
      <c r="G19" s="124"/>
    </row>
    <row r="20" spans="2:7" ht="12.75">
      <c r="B20" s="128" t="s">
        <v>684</v>
      </c>
      <c r="C20" s="99" t="s">
        <v>151</v>
      </c>
      <c r="D20" s="24">
        <f>+D19</f>
        <v>88500</v>
      </c>
      <c r="E20" s="24"/>
      <c r="F20" s="24">
        <f>+F19</f>
        <v>88500</v>
      </c>
      <c r="G20" s="24"/>
    </row>
    <row r="21" spans="2:7" ht="12.75">
      <c r="B21" s="128" t="s">
        <v>685</v>
      </c>
      <c r="C21" s="99" t="s">
        <v>151</v>
      </c>
      <c r="D21" s="24"/>
      <c r="E21" s="24"/>
      <c r="F21" s="24"/>
      <c r="G21" s="24"/>
    </row>
    <row r="22" spans="1:7" s="97" customFormat="1" ht="12.75">
      <c r="A22" s="88"/>
      <c r="B22" s="282" t="s">
        <v>152</v>
      </c>
      <c r="C22" s="94" t="s">
        <v>153</v>
      </c>
      <c r="D22" s="96">
        <f>+D19+D16+D13</f>
        <v>88500</v>
      </c>
      <c r="E22" s="96">
        <f>+E19+E16+E13</f>
        <v>0</v>
      </c>
      <c r="F22" s="96">
        <f>+F19+F16+F13</f>
        <v>88500</v>
      </c>
      <c r="G22" s="96">
        <f>+G19+G16+G13</f>
        <v>0</v>
      </c>
    </row>
    <row r="23" spans="1:7" s="298" customFormat="1" ht="12.75">
      <c r="A23" s="294"/>
      <c r="B23" s="299" t="s">
        <v>689</v>
      </c>
      <c r="C23" s="300" t="s">
        <v>690</v>
      </c>
      <c r="D23" s="126"/>
      <c r="E23" s="126"/>
      <c r="F23" s="126"/>
      <c r="G23" s="126"/>
    </row>
    <row r="24" spans="2:7" ht="12.75">
      <c r="B24" s="128" t="s">
        <v>691</v>
      </c>
      <c r="C24" s="99" t="s">
        <v>690</v>
      </c>
      <c r="D24" s="24"/>
      <c r="E24" s="24"/>
      <c r="F24" s="24"/>
      <c r="G24" s="24"/>
    </row>
    <row r="25" spans="2:7" ht="12.75">
      <c r="B25" s="128" t="s">
        <v>692</v>
      </c>
      <c r="C25" s="99" t="s">
        <v>690</v>
      </c>
      <c r="D25" s="24"/>
      <c r="E25" s="24"/>
      <c r="F25" s="24"/>
      <c r="G25" s="24"/>
    </row>
    <row r="26" spans="1:7" s="297" customFormat="1" ht="12.75">
      <c r="A26" s="294"/>
      <c r="B26" s="301" t="s">
        <v>693</v>
      </c>
      <c r="C26" s="296" t="s">
        <v>694</v>
      </c>
      <c r="D26" s="124">
        <v>0</v>
      </c>
      <c r="E26" s="124">
        <v>0</v>
      </c>
      <c r="F26" s="124">
        <v>0</v>
      </c>
      <c r="G26" s="124">
        <v>0</v>
      </c>
    </row>
    <row r="27" spans="2:7" ht="12.75">
      <c r="B27" s="128" t="s">
        <v>685</v>
      </c>
      <c r="C27" s="99" t="s">
        <v>694</v>
      </c>
      <c r="D27" s="24"/>
      <c r="E27" s="24"/>
      <c r="F27" s="24"/>
      <c r="G27" s="24"/>
    </row>
    <row r="28" spans="1:7" s="297" customFormat="1" ht="12.75">
      <c r="A28" s="294"/>
      <c r="B28" s="302" t="s">
        <v>695</v>
      </c>
      <c r="C28" s="296" t="s">
        <v>696</v>
      </c>
      <c r="D28" s="124"/>
      <c r="E28" s="124"/>
      <c r="F28" s="124"/>
      <c r="G28" s="124"/>
    </row>
    <row r="29" spans="1:7" s="298" customFormat="1" ht="12.75">
      <c r="A29" s="294"/>
      <c r="B29" s="303"/>
      <c r="C29" s="99" t="s">
        <v>697</v>
      </c>
      <c r="D29" s="100"/>
      <c r="E29" s="100"/>
      <c r="F29" s="100"/>
      <c r="G29" s="100"/>
    </row>
    <row r="30" spans="1:7" s="297" customFormat="1" ht="12.75">
      <c r="A30" s="294"/>
      <c r="B30" s="302" t="s">
        <v>698</v>
      </c>
      <c r="C30" s="296" t="s">
        <v>697</v>
      </c>
      <c r="D30" s="124">
        <f>+D29</f>
        <v>0</v>
      </c>
      <c r="E30" s="124">
        <f>+E29</f>
        <v>0</v>
      </c>
      <c r="F30" s="124">
        <f>+F29</f>
        <v>0</v>
      </c>
      <c r="G30" s="124">
        <f>+G29</f>
        <v>0</v>
      </c>
    </row>
    <row r="31" spans="2:7" ht="12.75">
      <c r="B31" s="128" t="s">
        <v>692</v>
      </c>
      <c r="C31" s="99" t="s">
        <v>697</v>
      </c>
      <c r="D31" s="24"/>
      <c r="E31" s="24"/>
      <c r="F31" s="24"/>
      <c r="G31" s="24"/>
    </row>
    <row r="32" spans="2:7" ht="12.75">
      <c r="B32" s="128" t="s">
        <v>685</v>
      </c>
      <c r="C32" s="99" t="s">
        <v>697</v>
      </c>
      <c r="D32" s="24"/>
      <c r="E32" s="24"/>
      <c r="F32" s="24"/>
      <c r="G32" s="24"/>
    </row>
    <row r="33" spans="1:7" s="97" customFormat="1" ht="12.75">
      <c r="A33" s="88"/>
      <c r="B33" s="304" t="s">
        <v>154</v>
      </c>
      <c r="C33" s="94" t="s">
        <v>155</v>
      </c>
      <c r="D33" s="96">
        <f>+D30+D28+D26+D23</f>
        <v>0</v>
      </c>
      <c r="E33" s="96">
        <f>+E30+E28+E26+E23</f>
        <v>0</v>
      </c>
      <c r="F33" s="96">
        <f>+F30+F28+F26+F23</f>
        <v>0</v>
      </c>
      <c r="G33" s="96">
        <f>+G30+G28+G26+G23</f>
        <v>0</v>
      </c>
    </row>
    <row r="34" spans="2:7" ht="12.75">
      <c r="B34" s="305" t="s">
        <v>156</v>
      </c>
      <c r="C34" s="50" t="s">
        <v>157</v>
      </c>
      <c r="D34" s="24"/>
      <c r="E34" s="24"/>
      <c r="F34" s="24"/>
      <c r="G34" s="24"/>
    </row>
    <row r="35" spans="2:7" ht="12.75">
      <c r="B35" s="305" t="s">
        <v>158</v>
      </c>
      <c r="C35" s="50" t="s">
        <v>159</v>
      </c>
      <c r="D35" s="24"/>
      <c r="E35" s="24"/>
      <c r="F35" s="24">
        <v>25996</v>
      </c>
      <c r="G35" s="24"/>
    </row>
    <row r="36" spans="2:7" ht="12.75">
      <c r="B36" s="305" t="s">
        <v>699</v>
      </c>
      <c r="C36" s="50" t="s">
        <v>163</v>
      </c>
      <c r="D36" s="24"/>
      <c r="E36" s="24"/>
      <c r="F36" s="24"/>
      <c r="G36" s="24"/>
    </row>
    <row r="37" spans="2:7" ht="12.75">
      <c r="B37" s="305" t="s">
        <v>164</v>
      </c>
      <c r="C37" s="50" t="s">
        <v>165</v>
      </c>
      <c r="D37" s="24"/>
      <c r="E37" s="24"/>
      <c r="F37" s="24"/>
      <c r="G37" s="24"/>
    </row>
    <row r="38" spans="2:7" ht="12.75">
      <c r="B38" s="305" t="s">
        <v>166</v>
      </c>
      <c r="C38" s="50" t="s">
        <v>167</v>
      </c>
      <c r="D38" s="24"/>
      <c r="E38" s="24"/>
      <c r="F38" s="24"/>
      <c r="G38" s="24"/>
    </row>
    <row r="39" spans="1:7" s="97" customFormat="1" ht="12.75">
      <c r="A39" s="88"/>
      <c r="B39" s="304" t="s">
        <v>170</v>
      </c>
      <c r="C39" s="94" t="s">
        <v>171</v>
      </c>
      <c r="D39" s="96">
        <f>SUM(D33:D38)+D22</f>
        <v>88500</v>
      </c>
      <c r="E39" s="96">
        <f>SUM(E33:E38)+E22</f>
        <v>0</v>
      </c>
      <c r="F39" s="96">
        <f>SUM(F33:F38)+F22</f>
        <v>114496</v>
      </c>
      <c r="G39" s="96">
        <f>SUM(G33:G38)+G22</f>
        <v>0</v>
      </c>
    </row>
    <row r="40" spans="2:7" ht="12.75">
      <c r="B40" s="53" t="s">
        <v>700</v>
      </c>
      <c r="C40" s="47" t="s">
        <v>701</v>
      </c>
      <c r="D40" s="24"/>
      <c r="E40" s="24"/>
      <c r="F40" s="24"/>
      <c r="G40" s="24"/>
    </row>
    <row r="41" spans="2:7" ht="12.75">
      <c r="B41" s="52" t="s">
        <v>702</v>
      </c>
      <c r="C41" s="47" t="s">
        <v>703</v>
      </c>
      <c r="D41" s="24"/>
      <c r="E41" s="24"/>
      <c r="F41" s="24"/>
      <c r="G41" s="24"/>
    </row>
    <row r="42" spans="2:7" ht="12.75">
      <c r="B42" s="53" t="s">
        <v>704</v>
      </c>
      <c r="C42" s="47" t="s">
        <v>705</v>
      </c>
      <c r="D42" s="24"/>
      <c r="E42" s="24"/>
      <c r="F42" s="24"/>
      <c r="G42" s="24"/>
    </row>
    <row r="43" spans="2:7" ht="12.75">
      <c r="B43" s="128" t="s">
        <v>685</v>
      </c>
      <c r="C43" s="99" t="s">
        <v>705</v>
      </c>
      <c r="D43" s="24"/>
      <c r="E43" s="24"/>
      <c r="F43" s="24"/>
      <c r="G43" s="24"/>
    </row>
    <row r="44" spans="2:7" ht="12.75">
      <c r="B44" s="53" t="s">
        <v>706</v>
      </c>
      <c r="C44" s="47" t="s">
        <v>707</v>
      </c>
      <c r="D44" s="24"/>
      <c r="E44" s="24"/>
      <c r="F44" s="24"/>
      <c r="G44" s="24"/>
    </row>
    <row r="45" spans="2:7" ht="12.75">
      <c r="B45" s="128" t="s">
        <v>708</v>
      </c>
      <c r="C45" s="99" t="s">
        <v>707</v>
      </c>
      <c r="D45" s="24"/>
      <c r="E45" s="24"/>
      <c r="F45" s="24"/>
      <c r="G45" s="24"/>
    </row>
    <row r="46" spans="2:7" ht="12.75">
      <c r="B46" s="128" t="s">
        <v>709</v>
      </c>
      <c r="C46" s="99" t="s">
        <v>707</v>
      </c>
      <c r="D46" s="24"/>
      <c r="E46" s="24"/>
      <c r="F46" s="24"/>
      <c r="G46" s="24"/>
    </row>
    <row r="47" spans="2:7" ht="12.75">
      <c r="B47" s="128" t="s">
        <v>710</v>
      </c>
      <c r="C47" s="99" t="s">
        <v>707</v>
      </c>
      <c r="D47" s="24"/>
      <c r="E47" s="24"/>
      <c r="F47" s="24"/>
      <c r="G47" s="24"/>
    </row>
    <row r="48" spans="2:7" ht="12.75">
      <c r="B48" s="128" t="s">
        <v>685</v>
      </c>
      <c r="C48" s="99" t="s">
        <v>707</v>
      </c>
      <c r="D48" s="24"/>
      <c r="E48" s="24"/>
      <c r="F48" s="24"/>
      <c r="G48" s="24"/>
    </row>
    <row r="49" spans="1:7" s="97" customFormat="1" ht="12.75">
      <c r="A49" s="88"/>
      <c r="B49" s="304" t="s">
        <v>711</v>
      </c>
      <c r="C49" s="94" t="s">
        <v>173</v>
      </c>
      <c r="D49" s="96">
        <f>+D40+D41+D42+D44</f>
        <v>0</v>
      </c>
      <c r="E49" s="96">
        <f>+E40+E41+E42+E44</f>
        <v>0</v>
      </c>
      <c r="F49" s="96">
        <f>+F40+F41+F42+F44</f>
        <v>0</v>
      </c>
      <c r="G49" s="96">
        <f>+G40+G41+G42+G44</f>
        <v>0</v>
      </c>
    </row>
    <row r="50" ht="12.75">
      <c r="C50" s="284"/>
    </row>
    <row r="51" spans="4:7" ht="12.75">
      <c r="D51" s="287" t="s">
        <v>13</v>
      </c>
      <c r="E51" s="287"/>
      <c r="F51" s="287" t="s">
        <v>14</v>
      </c>
      <c r="G51" s="287"/>
    </row>
    <row r="52" spans="2:7" ht="12.75">
      <c r="B52" s="289" t="s">
        <v>712</v>
      </c>
      <c r="C52" s="42" t="s">
        <v>42</v>
      </c>
      <c r="D52" s="20" t="s">
        <v>16</v>
      </c>
      <c r="E52" s="20" t="s">
        <v>17</v>
      </c>
      <c r="F52" s="20" t="s">
        <v>16</v>
      </c>
      <c r="G52" s="20" t="s">
        <v>17</v>
      </c>
    </row>
    <row r="53" spans="1:7" ht="12.75">
      <c r="A53" s="88" t="s">
        <v>713</v>
      </c>
      <c r="B53" s="306"/>
      <c r="C53" s="99" t="s">
        <v>280</v>
      </c>
      <c r="D53" s="100">
        <v>0</v>
      </c>
      <c r="E53" s="100"/>
      <c r="F53" s="100">
        <v>0</v>
      </c>
      <c r="G53" s="100"/>
    </row>
    <row r="54" spans="1:7" ht="12.75">
      <c r="A54" s="88" t="s">
        <v>714</v>
      </c>
      <c r="B54" s="307"/>
      <c r="C54" s="99" t="s">
        <v>280</v>
      </c>
      <c r="D54" s="100"/>
      <c r="E54" s="100"/>
      <c r="F54" s="100"/>
      <c r="G54" s="100"/>
    </row>
    <row r="55" spans="1:7" s="297" customFormat="1" ht="12.75">
      <c r="A55" s="294"/>
      <c r="B55" s="301" t="s">
        <v>715</v>
      </c>
      <c r="C55" s="296" t="s">
        <v>280</v>
      </c>
      <c r="D55" s="124">
        <f>+D54+D53</f>
        <v>0</v>
      </c>
      <c r="E55" s="124">
        <f>+E54+E53</f>
        <v>0</v>
      </c>
      <c r="F55" s="124">
        <f>+F54+F53</f>
        <v>0</v>
      </c>
      <c r="G55" s="124">
        <f>+G54+G53</f>
        <v>0</v>
      </c>
    </row>
    <row r="56" spans="2:7" ht="12.75">
      <c r="B56" s="128" t="s">
        <v>684</v>
      </c>
      <c r="C56" s="99" t="s">
        <v>280</v>
      </c>
      <c r="D56" s="24">
        <f>+D55</f>
        <v>0</v>
      </c>
      <c r="E56" s="24">
        <f>+E55</f>
        <v>0</v>
      </c>
      <c r="F56" s="24">
        <f>+F55</f>
        <v>0</v>
      </c>
      <c r="G56" s="24">
        <f>+G55</f>
        <v>0</v>
      </c>
    </row>
    <row r="57" spans="2:7" ht="12.75">
      <c r="B57" s="128"/>
      <c r="C57" s="99" t="s">
        <v>282</v>
      </c>
      <c r="D57" s="24"/>
      <c r="E57" s="24"/>
      <c r="F57" s="24"/>
      <c r="G57" s="24"/>
    </row>
    <row r="58" spans="1:7" s="297" customFormat="1" ht="22.5" customHeight="1">
      <c r="A58" s="294"/>
      <c r="B58" s="295" t="s">
        <v>716</v>
      </c>
      <c r="C58" s="296" t="s">
        <v>282</v>
      </c>
      <c r="D58" s="124">
        <f>+D57</f>
        <v>0</v>
      </c>
      <c r="E58" s="124">
        <f>+E57</f>
        <v>0</v>
      </c>
      <c r="F58" s="124">
        <f>+F57</f>
        <v>0</v>
      </c>
      <c r="G58" s="124">
        <f>+G57</f>
        <v>0</v>
      </c>
    </row>
    <row r="59" spans="1:7" s="298" customFormat="1" ht="12.75">
      <c r="A59" s="88" t="s">
        <v>717</v>
      </c>
      <c r="B59" s="98" t="s">
        <v>718</v>
      </c>
      <c r="C59" s="99" t="s">
        <v>284</v>
      </c>
      <c r="D59" s="100">
        <v>88500</v>
      </c>
      <c r="E59" s="126"/>
      <c r="F59" s="100">
        <v>88500</v>
      </c>
      <c r="G59" s="126"/>
    </row>
    <row r="60" spans="1:7" s="297" customFormat="1" ht="12.75">
      <c r="A60" s="294"/>
      <c r="B60" s="301" t="s">
        <v>719</v>
      </c>
      <c r="C60" s="296" t="s">
        <v>284</v>
      </c>
      <c r="D60" s="124">
        <f>+D59</f>
        <v>88500</v>
      </c>
      <c r="E60" s="124">
        <f>+E59</f>
        <v>0</v>
      </c>
      <c r="F60" s="124">
        <f>+F59</f>
        <v>88500</v>
      </c>
      <c r="G60" s="124">
        <f>+G59</f>
        <v>0</v>
      </c>
    </row>
    <row r="61" spans="2:7" ht="12.75">
      <c r="B61" s="128" t="s">
        <v>684</v>
      </c>
      <c r="C61" s="99" t="s">
        <v>284</v>
      </c>
      <c r="D61" s="24">
        <f>+D60</f>
        <v>88500</v>
      </c>
      <c r="E61" s="24">
        <f>+E60</f>
        <v>0</v>
      </c>
      <c r="F61" s="24">
        <f>+F60</f>
        <v>88500</v>
      </c>
      <c r="G61" s="24">
        <f>+G60</f>
        <v>0</v>
      </c>
    </row>
    <row r="62" spans="1:7" s="97" customFormat="1" ht="12.75">
      <c r="A62" s="88"/>
      <c r="B62" s="282" t="s">
        <v>720</v>
      </c>
      <c r="C62" s="94" t="s">
        <v>286</v>
      </c>
      <c r="D62" s="96">
        <f>+D55+D58+D60</f>
        <v>88500</v>
      </c>
      <c r="E62" s="96">
        <f>+E55+E58+E60</f>
        <v>0</v>
      </c>
      <c r="F62" s="96">
        <f>+F55+F58+F60</f>
        <v>88500</v>
      </c>
      <c r="G62" s="96">
        <f>+G55+G58+G60</f>
        <v>0</v>
      </c>
    </row>
    <row r="63" spans="2:7" ht="12.75">
      <c r="B63" s="52" t="s">
        <v>721</v>
      </c>
      <c r="C63" s="47" t="s">
        <v>288</v>
      </c>
      <c r="D63" s="24"/>
      <c r="E63" s="24"/>
      <c r="F63" s="24"/>
      <c r="G63" s="24"/>
    </row>
    <row r="64" spans="2:7" ht="12.75">
      <c r="B64" s="128" t="s">
        <v>691</v>
      </c>
      <c r="C64" s="99" t="s">
        <v>288</v>
      </c>
      <c r="D64" s="24"/>
      <c r="E64" s="24"/>
      <c r="F64" s="24"/>
      <c r="G64" s="24"/>
    </row>
    <row r="65" spans="2:7" ht="12.75">
      <c r="B65" s="53" t="s">
        <v>722</v>
      </c>
      <c r="C65" s="47" t="s">
        <v>290</v>
      </c>
      <c r="D65" s="24"/>
      <c r="E65" s="24"/>
      <c r="F65" s="24"/>
      <c r="G65" s="24"/>
    </row>
    <row r="66" spans="2:7" ht="12.75">
      <c r="B66" s="60" t="s">
        <v>723</v>
      </c>
      <c r="C66" s="47" t="s">
        <v>292</v>
      </c>
      <c r="D66" s="24"/>
      <c r="E66" s="24"/>
      <c r="F66" s="24"/>
      <c r="G66" s="24"/>
    </row>
    <row r="67" spans="2:7" ht="12.75">
      <c r="B67" s="128" t="s">
        <v>692</v>
      </c>
      <c r="C67" s="99" t="s">
        <v>292</v>
      </c>
      <c r="D67" s="24"/>
      <c r="E67" s="24"/>
      <c r="F67" s="24"/>
      <c r="G67" s="24"/>
    </row>
    <row r="68" spans="2:7" ht="12.75">
      <c r="B68" s="53" t="s">
        <v>724</v>
      </c>
      <c r="C68" s="47" t="s">
        <v>294</v>
      </c>
      <c r="D68" s="24"/>
      <c r="E68" s="24"/>
      <c r="F68" s="24"/>
      <c r="G68" s="24"/>
    </row>
    <row r="69" spans="2:7" ht="12.75">
      <c r="B69" s="305" t="s">
        <v>587</v>
      </c>
      <c r="C69" s="50" t="s">
        <v>296</v>
      </c>
      <c r="D69" s="24"/>
      <c r="E69" s="24"/>
      <c r="F69" s="24"/>
      <c r="G69" s="24"/>
    </row>
    <row r="70" spans="2:7" ht="12.75">
      <c r="B70" s="305" t="s">
        <v>305</v>
      </c>
      <c r="C70" s="50" t="s">
        <v>306</v>
      </c>
      <c r="D70" s="24"/>
      <c r="E70" s="24"/>
      <c r="F70" s="24"/>
      <c r="G70" s="24"/>
    </row>
    <row r="71" spans="2:7" ht="12.75">
      <c r="B71" s="305" t="s">
        <v>307</v>
      </c>
      <c r="C71" s="50" t="s">
        <v>308</v>
      </c>
      <c r="D71" s="24"/>
      <c r="E71" s="24"/>
      <c r="F71" s="24"/>
      <c r="G71" s="24"/>
    </row>
    <row r="72" spans="2:7" ht="12.75">
      <c r="B72" s="305" t="s">
        <v>725</v>
      </c>
      <c r="C72" s="50" t="s">
        <v>312</v>
      </c>
      <c r="D72" s="24"/>
      <c r="E72" s="24"/>
      <c r="F72" s="24"/>
      <c r="G72" s="24"/>
    </row>
    <row r="73" spans="2:7" ht="12.75">
      <c r="B73" s="308" t="s">
        <v>726</v>
      </c>
      <c r="C73" s="50" t="s">
        <v>314</v>
      </c>
      <c r="D73" s="24"/>
      <c r="E73" s="24"/>
      <c r="F73" s="24"/>
      <c r="G73" s="24"/>
    </row>
    <row r="74" spans="2:7" ht="12.75">
      <c r="B74" s="128" t="s">
        <v>727</v>
      </c>
      <c r="C74" s="140" t="s">
        <v>314</v>
      </c>
      <c r="D74" s="24"/>
      <c r="E74" s="24"/>
      <c r="F74" s="24"/>
      <c r="G74" s="24"/>
    </row>
    <row r="75" spans="1:7" s="97" customFormat="1" ht="12.75">
      <c r="A75" s="88"/>
      <c r="B75" s="282" t="s">
        <v>317</v>
      </c>
      <c r="C75" s="94" t="s">
        <v>318</v>
      </c>
      <c r="D75" s="96">
        <f>+D62+D69+D70+D71+D72+D73</f>
        <v>88500</v>
      </c>
      <c r="E75" s="96">
        <f>+E62+E69+E70+E71+E72+E73</f>
        <v>0</v>
      </c>
      <c r="F75" s="96">
        <f>+F62+F69+F70+F71+F72+F73</f>
        <v>88500</v>
      </c>
      <c r="G75" s="96">
        <f>+G62+G69+G70+G71+G72+G73</f>
        <v>0</v>
      </c>
    </row>
    <row r="76" spans="2:7" ht="12.75">
      <c r="B76" s="52" t="s">
        <v>728</v>
      </c>
      <c r="C76" s="47" t="s">
        <v>729</v>
      </c>
      <c r="D76" s="24"/>
      <c r="E76" s="24"/>
      <c r="F76" s="24"/>
      <c r="G76" s="24"/>
    </row>
    <row r="77" spans="2:7" ht="12.75">
      <c r="B77" s="60" t="s">
        <v>730</v>
      </c>
      <c r="C77" s="47" t="s">
        <v>731</v>
      </c>
      <c r="D77" s="24"/>
      <c r="E77" s="24"/>
      <c r="F77" s="24"/>
      <c r="G77" s="24"/>
    </row>
    <row r="78" spans="2:7" ht="12.75">
      <c r="B78" s="53" t="s">
        <v>732</v>
      </c>
      <c r="C78" s="47" t="s">
        <v>733</v>
      </c>
      <c r="D78" s="24"/>
      <c r="E78" s="24"/>
      <c r="F78" s="24"/>
      <c r="G78" s="24"/>
    </row>
    <row r="79" spans="2:7" ht="12.75">
      <c r="B79" s="53" t="s">
        <v>734</v>
      </c>
      <c r="C79" s="47" t="s">
        <v>735</v>
      </c>
      <c r="D79" s="24"/>
      <c r="E79" s="24"/>
      <c r="F79" s="24"/>
      <c r="G79" s="24"/>
    </row>
    <row r="80" spans="2:7" ht="12.75">
      <c r="B80" s="128" t="s">
        <v>708</v>
      </c>
      <c r="C80" s="99" t="s">
        <v>735</v>
      </c>
      <c r="D80" s="24"/>
      <c r="E80" s="24"/>
      <c r="F80" s="24"/>
      <c r="G80" s="24"/>
    </row>
    <row r="81" spans="2:7" ht="12.75">
      <c r="B81" s="128" t="s">
        <v>709</v>
      </c>
      <c r="C81" s="99" t="s">
        <v>735</v>
      </c>
      <c r="D81" s="24"/>
      <c r="E81" s="24"/>
      <c r="F81" s="24"/>
      <c r="G81" s="24"/>
    </row>
    <row r="82" spans="2:7" ht="12.75">
      <c r="B82" s="128" t="s">
        <v>710</v>
      </c>
      <c r="C82" s="99" t="s">
        <v>735</v>
      </c>
      <c r="D82" s="24"/>
      <c r="E82" s="24"/>
      <c r="F82" s="24"/>
      <c r="G82" s="24"/>
    </row>
    <row r="83" spans="1:7" s="97" customFormat="1" ht="12.75">
      <c r="A83" s="88"/>
      <c r="B83" s="304" t="s">
        <v>736</v>
      </c>
      <c r="C83" s="94" t="s">
        <v>320</v>
      </c>
      <c r="D83" s="96">
        <f>SUM(D76:D79)</f>
        <v>0</v>
      </c>
      <c r="E83" s="96">
        <f>SUM(E76:E79)</f>
        <v>0</v>
      </c>
      <c r="F83" s="96">
        <f>SUM(F76:F79)</f>
        <v>0</v>
      </c>
      <c r="G83" s="96">
        <f>SUM(G76:G79)</f>
        <v>0</v>
      </c>
    </row>
  </sheetData>
  <sheetProtection selectLockedCells="1" selectUnlockedCells="1"/>
  <mergeCells count="5">
    <mergeCell ref="B6:E6"/>
    <mergeCell ref="D8:E8"/>
    <mergeCell ref="F8:G8"/>
    <mergeCell ref="D51:E51"/>
    <mergeCell ref="F51:G51"/>
  </mergeCells>
  <printOptions horizontalCentered="1"/>
  <pageMargins left="0.7083333333333334" right="0.7083333333333334" top="0.42986111111111114" bottom="0.5805555555555555" header="0.5118055555555555" footer="0.31527777777777777"/>
  <pageSetup fitToHeight="1" fitToWidth="1" horizontalDpi="300" verticalDpi="300" orientation="portrait" paperSize="9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26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55.28125" style="13" customWidth="1"/>
    <col min="2" max="2" width="14.00390625" style="13" customWidth="1"/>
    <col min="3" max="3" width="10.8515625" style="13" customWidth="1"/>
    <col min="4" max="4" width="14.140625" style="13" customWidth="1"/>
    <col min="5" max="7" width="9.140625" style="13" customWidth="1"/>
    <col min="8" max="8" width="11.421875" style="13" customWidth="1"/>
    <col min="9" max="9" width="13.8515625" style="13" customWidth="1"/>
    <col min="10" max="16384" width="9.140625" style="13" customWidth="1"/>
  </cols>
  <sheetData>
    <row r="1" ht="12.75">
      <c r="I1" s="32" t="s">
        <v>737</v>
      </c>
    </row>
    <row r="2" ht="12.75">
      <c r="I2" s="15" t="s">
        <v>10</v>
      </c>
    </row>
    <row r="3" spans="1:9" ht="30.75" customHeight="1">
      <c r="A3" s="4" t="s">
        <v>11</v>
      </c>
      <c r="B3" s="4"/>
      <c r="C3" s="36"/>
      <c r="D3" s="36"/>
      <c r="E3" s="36"/>
      <c r="F3" s="36"/>
      <c r="G3" s="36"/>
      <c r="H3" s="36"/>
      <c r="I3" s="36"/>
    </row>
    <row r="4" spans="1:9" ht="23.25" customHeight="1">
      <c r="A4" s="119" t="s">
        <v>738</v>
      </c>
      <c r="B4" s="119"/>
      <c r="C4" s="119"/>
      <c r="D4" s="119"/>
      <c r="E4" s="119"/>
      <c r="F4" s="119"/>
      <c r="G4" s="119"/>
      <c r="H4" s="119"/>
      <c r="I4" s="119"/>
    </row>
    <row r="7" spans="1:9" s="22" customFormat="1" ht="12.75">
      <c r="A7" s="309" t="s">
        <v>739</v>
      </c>
      <c r="B7" s="309" t="s">
        <v>740</v>
      </c>
      <c r="C7" s="309" t="s">
        <v>741</v>
      </c>
      <c r="D7" s="309" t="s">
        <v>742</v>
      </c>
      <c r="E7" s="309" t="s">
        <v>743</v>
      </c>
      <c r="F7" s="309" t="s">
        <v>744</v>
      </c>
      <c r="G7" s="309" t="s">
        <v>745</v>
      </c>
      <c r="H7" s="309" t="s">
        <v>746</v>
      </c>
      <c r="I7" s="309" t="s">
        <v>528</v>
      </c>
    </row>
    <row r="8" spans="1:9" ht="12.75">
      <c r="A8" s="23"/>
      <c r="B8" s="310"/>
      <c r="C8" s="292"/>
      <c r="D8" s="292"/>
      <c r="E8" s="292"/>
      <c r="F8" s="292"/>
      <c r="G8" s="292"/>
      <c r="H8" s="292"/>
      <c r="I8" s="292">
        <f>SUM(C8:H8)</f>
        <v>0</v>
      </c>
    </row>
    <row r="9" spans="1:9" ht="12.75">
      <c r="A9" s="23"/>
      <c r="B9" s="310"/>
      <c r="C9" s="292"/>
      <c r="D9" s="292"/>
      <c r="E9" s="292"/>
      <c r="F9" s="292"/>
      <c r="G9" s="292"/>
      <c r="H9" s="292"/>
      <c r="I9" s="292">
        <f>SUM(C9:H9)</f>
        <v>0</v>
      </c>
    </row>
    <row r="10" spans="1:9" ht="12.75">
      <c r="A10" s="311"/>
      <c r="B10" s="310"/>
      <c r="C10" s="292"/>
      <c r="D10" s="292"/>
      <c r="E10" s="292"/>
      <c r="F10" s="292"/>
      <c r="G10" s="292"/>
      <c r="H10" s="292"/>
      <c r="I10" s="292">
        <f>SUM(C10:H10)</f>
        <v>0</v>
      </c>
    </row>
    <row r="11" spans="1:9" ht="12.75">
      <c r="A11" s="23"/>
      <c r="B11" s="310"/>
      <c r="C11" s="292"/>
      <c r="D11" s="292"/>
      <c r="E11" s="292"/>
      <c r="F11" s="292"/>
      <c r="G11" s="292"/>
      <c r="H11" s="292"/>
      <c r="I11" s="292">
        <f>SUM(C11:H11)</f>
        <v>0</v>
      </c>
    </row>
    <row r="12" spans="1:9" s="97" customFormat="1" ht="12.75">
      <c r="A12" s="312" t="s">
        <v>747</v>
      </c>
      <c r="B12" s="312"/>
      <c r="C12" s="313">
        <f>SUM(C8:C11)</f>
        <v>0</v>
      </c>
      <c r="D12" s="313">
        <f>SUM(D8:D11)</f>
        <v>0</v>
      </c>
      <c r="E12" s="313">
        <f>SUM(E8:E11)</f>
        <v>0</v>
      </c>
      <c r="F12" s="313">
        <f>SUM(F8:F11)</f>
        <v>0</v>
      </c>
      <c r="G12" s="313">
        <f>SUM(G8:G11)</f>
        <v>0</v>
      </c>
      <c r="H12" s="313">
        <f>SUM(H8:H11)</f>
        <v>0</v>
      </c>
      <c r="I12" s="313">
        <f>SUM(I8:I11)</f>
        <v>0</v>
      </c>
    </row>
    <row r="13" spans="1:9" ht="12.75">
      <c r="A13" s="310"/>
      <c r="B13" s="310"/>
      <c r="C13" s="292"/>
      <c r="D13" s="292"/>
      <c r="E13" s="292"/>
      <c r="F13" s="292"/>
      <c r="G13" s="292"/>
      <c r="H13" s="292"/>
      <c r="I13" s="292">
        <f>SUM(C13:H13)</f>
        <v>0</v>
      </c>
    </row>
    <row r="14" spans="1:9" ht="12.75">
      <c r="A14" s="306"/>
      <c r="B14" s="310"/>
      <c r="C14" s="292"/>
      <c r="D14" s="292"/>
      <c r="E14" s="292"/>
      <c r="F14" s="292"/>
      <c r="G14" s="292"/>
      <c r="H14" s="292"/>
      <c r="I14" s="292"/>
    </row>
    <row r="15" spans="1:9" s="97" customFormat="1" ht="12.75">
      <c r="A15" s="312" t="s">
        <v>748</v>
      </c>
      <c r="B15" s="312"/>
      <c r="C15" s="313">
        <f>SUM(C14:C14)</f>
        <v>0</v>
      </c>
      <c r="D15" s="313">
        <f>SUM(D14:D14)</f>
        <v>0</v>
      </c>
      <c r="E15" s="313">
        <f>SUM(E14:E14)</f>
        <v>0</v>
      </c>
      <c r="F15" s="313">
        <f>SUM(F14:F14)</f>
        <v>0</v>
      </c>
      <c r="G15" s="313">
        <f>SUM(G14:G14)</f>
        <v>0</v>
      </c>
      <c r="H15" s="313">
        <f>SUM(H14:H14)</f>
        <v>0</v>
      </c>
      <c r="I15" s="313">
        <f>SUM(I14:I14)</f>
        <v>0</v>
      </c>
    </row>
    <row r="16" spans="1:9" ht="12.75">
      <c r="A16" s="310"/>
      <c r="B16" s="310"/>
      <c r="C16" s="292"/>
      <c r="D16" s="292"/>
      <c r="E16" s="292"/>
      <c r="F16" s="292"/>
      <c r="G16" s="292"/>
      <c r="H16" s="292"/>
      <c r="I16" s="292">
        <f>SUM(C16:H16)</f>
        <v>0</v>
      </c>
    </row>
    <row r="17" spans="1:9" ht="12.75">
      <c r="A17" s="310"/>
      <c r="B17" s="310"/>
      <c r="C17" s="292"/>
      <c r="D17" s="292"/>
      <c r="E17" s="292"/>
      <c r="F17" s="292"/>
      <c r="G17" s="292"/>
      <c r="H17" s="292"/>
      <c r="I17" s="292">
        <f>SUM(C17:H17)</f>
        <v>0</v>
      </c>
    </row>
    <row r="18" spans="1:9" ht="12.75">
      <c r="A18" s="310"/>
      <c r="B18" s="310"/>
      <c r="C18" s="292"/>
      <c r="D18" s="292"/>
      <c r="E18" s="292"/>
      <c r="F18" s="292"/>
      <c r="G18" s="292"/>
      <c r="H18" s="292"/>
      <c r="I18" s="292">
        <f>SUM(C18:H18)</f>
        <v>0</v>
      </c>
    </row>
    <row r="19" spans="1:9" ht="12.75">
      <c r="A19" s="310"/>
      <c r="B19" s="310"/>
      <c r="C19" s="292"/>
      <c r="D19" s="292"/>
      <c r="E19" s="292"/>
      <c r="F19" s="292"/>
      <c r="G19" s="292"/>
      <c r="H19" s="292"/>
      <c r="I19" s="292">
        <f>SUM(C19:H19)</f>
        <v>0</v>
      </c>
    </row>
    <row r="20" spans="1:9" s="97" customFormat="1" ht="12.75">
      <c r="A20" s="312" t="s">
        <v>749</v>
      </c>
      <c r="B20" s="312"/>
      <c r="C20" s="313">
        <f>SUM(C16:C19)</f>
        <v>0</v>
      </c>
      <c r="D20" s="313">
        <f>SUM(D16:D19)</f>
        <v>0</v>
      </c>
      <c r="E20" s="313">
        <f>SUM(E16:E19)</f>
        <v>0</v>
      </c>
      <c r="F20" s="313">
        <f>SUM(F16:F19)</f>
        <v>0</v>
      </c>
      <c r="G20" s="313">
        <f>SUM(G16:G19)</f>
        <v>0</v>
      </c>
      <c r="H20" s="313">
        <f>SUM(H16:H19)</f>
        <v>0</v>
      </c>
      <c r="I20" s="313">
        <f>SUM(I16:I19)</f>
        <v>0</v>
      </c>
    </row>
    <row r="21" spans="1:9" ht="12.75">
      <c r="A21" s="310"/>
      <c r="B21" s="310"/>
      <c r="C21" s="292"/>
      <c r="D21" s="292"/>
      <c r="E21" s="292"/>
      <c r="F21" s="292"/>
      <c r="G21" s="292"/>
      <c r="H21" s="292"/>
      <c r="I21" s="292">
        <f>SUM(C21:H21)</f>
        <v>0</v>
      </c>
    </row>
    <row r="22" spans="1:9" ht="12.75">
      <c r="A22" s="310"/>
      <c r="B22" s="310"/>
      <c r="C22" s="292"/>
      <c r="D22" s="292"/>
      <c r="E22" s="292"/>
      <c r="F22" s="292"/>
      <c r="G22" s="292"/>
      <c r="H22" s="292"/>
      <c r="I22" s="292">
        <f>SUM(C22:H22)</f>
        <v>0</v>
      </c>
    </row>
    <row r="23" spans="1:9" ht="12.75">
      <c r="A23" s="306"/>
      <c r="B23" s="310"/>
      <c r="C23" s="292"/>
      <c r="D23" s="292"/>
      <c r="E23" s="292"/>
      <c r="F23" s="292"/>
      <c r="G23" s="292"/>
      <c r="H23" s="292"/>
      <c r="I23" s="292">
        <f>SUM(C23:H23)</f>
        <v>0</v>
      </c>
    </row>
    <row r="24" spans="1:9" ht="12.75">
      <c r="A24" s="307"/>
      <c r="B24" s="310"/>
      <c r="C24" s="292"/>
      <c r="D24" s="292"/>
      <c r="E24" s="292"/>
      <c r="F24" s="292"/>
      <c r="G24" s="292"/>
      <c r="H24" s="292"/>
      <c r="I24" s="292">
        <f>SUM(C24:H24)</f>
        <v>0</v>
      </c>
    </row>
    <row r="25" spans="1:9" s="97" customFormat="1" ht="12.75">
      <c r="A25" s="312" t="s">
        <v>750</v>
      </c>
      <c r="B25" s="312"/>
      <c r="C25" s="313">
        <f>SUM(C21:C24)</f>
        <v>0</v>
      </c>
      <c r="D25" s="313">
        <f>SUM(D21:D24)</f>
        <v>0</v>
      </c>
      <c r="E25" s="313">
        <f>SUM(E21:E24)</f>
        <v>0</v>
      </c>
      <c r="F25" s="313">
        <f>SUM(F21:F24)</f>
        <v>0</v>
      </c>
      <c r="G25" s="313">
        <f>SUM(G21:G24)</f>
        <v>0</v>
      </c>
      <c r="H25" s="313">
        <f>SUM(H21:H24)</f>
        <v>0</v>
      </c>
      <c r="I25" s="313">
        <f>SUM(I21:I24)</f>
        <v>0</v>
      </c>
    </row>
    <row r="26" spans="1:9" s="97" customFormat="1" ht="12.75">
      <c r="A26" s="314" t="s">
        <v>751</v>
      </c>
      <c r="B26" s="315"/>
      <c r="C26" s="283">
        <f>+C25+C20+C15+C12</f>
        <v>0</v>
      </c>
      <c r="D26" s="283">
        <f>+D25+D20+D15+D12</f>
        <v>0</v>
      </c>
      <c r="E26" s="283">
        <f>+E25+E20+E15+E12</f>
        <v>0</v>
      </c>
      <c r="F26" s="283">
        <f>+F25+F20+F15+F12</f>
        <v>0</v>
      </c>
      <c r="G26" s="283">
        <f>+G25+G20+G15+G12</f>
        <v>0</v>
      </c>
      <c r="H26" s="283">
        <f>+H25+H20+H15+H12</f>
        <v>0</v>
      </c>
      <c r="I26" s="283">
        <f>+I25+I20+I15+I12</f>
        <v>0</v>
      </c>
    </row>
  </sheetData>
  <sheetProtection selectLockedCells="1" selectUnlockedCells="1"/>
  <mergeCells count="2">
    <mergeCell ref="A3:B3"/>
    <mergeCell ref="A4:I4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A1">
      <selection activeCell="G3" sqref="G3"/>
    </sheetView>
  </sheetViews>
  <sheetFormatPr defaultColWidth="9.140625" defaultRowHeight="15"/>
  <cols>
    <col min="1" max="1" width="58.28125" style="13" customWidth="1"/>
    <col min="2" max="2" width="10.28125" style="14" customWidth="1"/>
    <col min="3" max="3" width="11.57421875" style="14" customWidth="1"/>
    <col min="4" max="4" width="12.421875" style="14" customWidth="1"/>
    <col min="5" max="5" width="10.28125" style="14" customWidth="1"/>
    <col min="6" max="6" width="11.57421875" style="14" customWidth="1"/>
    <col min="7" max="7" width="12.421875" style="14" customWidth="1"/>
    <col min="8" max="16384" width="9.140625" style="13" customWidth="1"/>
  </cols>
  <sheetData>
    <row r="1" spans="4:7" ht="12.75">
      <c r="D1" s="15"/>
      <c r="G1" s="15" t="s">
        <v>9</v>
      </c>
    </row>
    <row r="2" spans="4:7" ht="12.75">
      <c r="D2" s="15"/>
      <c r="G2" s="15" t="s">
        <v>10</v>
      </c>
    </row>
    <row r="3" spans="4:7" ht="12.75">
      <c r="D3" s="15"/>
      <c r="G3" s="15"/>
    </row>
    <row r="4" ht="12.75">
      <c r="A4" s="16" t="s">
        <v>11</v>
      </c>
    </row>
    <row r="5" ht="12.75">
      <c r="A5" s="16"/>
    </row>
    <row r="6" ht="50.25" customHeight="1">
      <c r="A6" s="17" t="s">
        <v>12</v>
      </c>
    </row>
    <row r="7" ht="12.75">
      <c r="A7" s="17"/>
    </row>
    <row r="8" spans="2:7" ht="12.75">
      <c r="B8" s="18" t="s">
        <v>13</v>
      </c>
      <c r="C8" s="18"/>
      <c r="D8" s="18"/>
      <c r="E8" s="18" t="s">
        <v>14</v>
      </c>
      <c r="F8" s="18"/>
      <c r="G8" s="18"/>
    </row>
    <row r="9" spans="1:7" s="22" customFormat="1" ht="12.75">
      <c r="A9" s="19" t="s">
        <v>15</v>
      </c>
      <c r="B9" s="20" t="s">
        <v>16</v>
      </c>
      <c r="C9" s="20" t="s">
        <v>17</v>
      </c>
      <c r="D9" s="21" t="s">
        <v>18</v>
      </c>
      <c r="E9" s="20" t="s">
        <v>16</v>
      </c>
      <c r="F9" s="20" t="s">
        <v>17</v>
      </c>
      <c r="G9" s="21" t="s">
        <v>18</v>
      </c>
    </row>
    <row r="10" spans="1:7" ht="12.75">
      <c r="A10" s="23" t="s">
        <v>19</v>
      </c>
      <c r="B10" s="24">
        <f>+'2 Össz'!C9</f>
        <v>799740</v>
      </c>
      <c r="C10" s="24">
        <f>+'2 Össz'!D9</f>
        <v>263498</v>
      </c>
      <c r="D10" s="25">
        <f>SUM(B10:C10)</f>
        <v>1063238</v>
      </c>
      <c r="E10" s="24">
        <f>+'2 Össz'!F9</f>
        <v>811642</v>
      </c>
      <c r="F10" s="24">
        <f>+'2 Össz'!G9</f>
        <v>265033</v>
      </c>
      <c r="G10" s="25">
        <f>SUM(E10:F10)</f>
        <v>1076675</v>
      </c>
    </row>
    <row r="11" spans="1:7" ht="12.75">
      <c r="A11" s="23" t="s">
        <v>20</v>
      </c>
      <c r="B11" s="24">
        <f>+'2 Össz'!C10</f>
        <v>196662</v>
      </c>
      <c r="C11" s="24">
        <f>+'2 Össz'!D10</f>
        <v>56852</v>
      </c>
      <c r="D11" s="25">
        <f>SUM(B11:C11)</f>
        <v>253514</v>
      </c>
      <c r="E11" s="24">
        <f>+'2 Össz'!F10</f>
        <v>199458</v>
      </c>
      <c r="F11" s="24">
        <f>+'2 Össz'!G10</f>
        <v>57370</v>
      </c>
      <c r="G11" s="25">
        <f>SUM(E11:F11)</f>
        <v>256828</v>
      </c>
    </row>
    <row r="12" spans="1:7" ht="12.75">
      <c r="A12" s="23" t="s">
        <v>21</v>
      </c>
      <c r="B12" s="24">
        <f>+'2 Össz'!C16</f>
        <v>695972</v>
      </c>
      <c r="C12" s="24">
        <f>+'2 Össz'!D16</f>
        <v>311864</v>
      </c>
      <c r="D12" s="25">
        <f>SUM(B12:C12)</f>
        <v>1007836</v>
      </c>
      <c r="E12" s="24">
        <f>+'2 Össz'!F16</f>
        <v>840507</v>
      </c>
      <c r="F12" s="24">
        <f>+'2 Össz'!G16</f>
        <v>311864</v>
      </c>
      <c r="G12" s="25">
        <f>SUM(E12:F12)</f>
        <v>1152371</v>
      </c>
    </row>
    <row r="13" spans="1:7" ht="12.75">
      <c r="A13" s="23" t="s">
        <v>22</v>
      </c>
      <c r="B13" s="24">
        <f>+'2 Össz'!C17</f>
        <v>105033</v>
      </c>
      <c r="C13" s="24">
        <f>+'2 Össz'!D17</f>
        <v>0</v>
      </c>
      <c r="D13" s="25">
        <f>SUM(B13:C13)</f>
        <v>105033</v>
      </c>
      <c r="E13" s="24">
        <f>+'2 Össz'!F17</f>
        <v>105033</v>
      </c>
      <c r="F13" s="24">
        <f>+'2 Össz'!G17</f>
        <v>0</v>
      </c>
      <c r="G13" s="25">
        <f>SUM(E13:F13)</f>
        <v>105033</v>
      </c>
    </row>
    <row r="14" spans="1:7" ht="12.75">
      <c r="A14" s="23" t="s">
        <v>23</v>
      </c>
      <c r="B14" s="24">
        <f>+'2 Össz'!C32</f>
        <v>218859</v>
      </c>
      <c r="C14" s="24">
        <f>+'2 Össz'!D32</f>
        <v>30300</v>
      </c>
      <c r="D14" s="25">
        <f>SUM(B14:C14)</f>
        <v>249159</v>
      </c>
      <c r="E14" s="24">
        <f>+'2 Össz'!F32</f>
        <v>201079</v>
      </c>
      <c r="F14" s="24">
        <f>+'2 Össz'!G32</f>
        <v>30872</v>
      </c>
      <c r="G14" s="25">
        <f>SUM(E14:F14)</f>
        <v>231951</v>
      </c>
    </row>
    <row r="15" spans="1:7" ht="12.75">
      <c r="A15" s="23" t="s">
        <v>24</v>
      </c>
      <c r="B15" s="24">
        <f>+'2 Össz'!C41</f>
        <v>23801</v>
      </c>
      <c r="C15" s="24">
        <f>+'2 Össz'!D41</f>
        <v>62078</v>
      </c>
      <c r="D15" s="25">
        <f>SUM(B15:C15)</f>
        <v>85879</v>
      </c>
      <c r="E15" s="24">
        <f>+'2 Össz'!F41</f>
        <v>56703</v>
      </c>
      <c r="F15" s="24">
        <f>+'2 Össz'!G41</f>
        <v>70683</v>
      </c>
      <c r="G15" s="25">
        <f>SUM(E15:F15)</f>
        <v>127386</v>
      </c>
    </row>
    <row r="16" spans="1:7" ht="12.75">
      <c r="A16" s="23" t="s">
        <v>25</v>
      </c>
      <c r="B16" s="24">
        <f>+'2 Össz'!C46</f>
        <v>873815</v>
      </c>
      <c r="C16" s="24">
        <f>+'2 Össz'!D46</f>
        <v>699150</v>
      </c>
      <c r="D16" s="25">
        <f>SUM(B16:C16)</f>
        <v>1572965</v>
      </c>
      <c r="E16" s="24">
        <f>+'2 Össz'!F46</f>
        <v>893796</v>
      </c>
      <c r="F16" s="24">
        <f>+'2 Össz'!G46</f>
        <v>699150</v>
      </c>
      <c r="G16" s="25">
        <f>SUM(E16:F16)</f>
        <v>1592946</v>
      </c>
    </row>
    <row r="17" spans="1:7" ht="12.75">
      <c r="A17" s="23" t="s">
        <v>26</v>
      </c>
      <c r="B17" s="24">
        <f>+'2 Össz'!C56</f>
        <v>59132</v>
      </c>
      <c r="C17" s="24">
        <f>+'2 Össz'!D56</f>
        <v>3000</v>
      </c>
      <c r="D17" s="25">
        <f>SUM(B17:C17)</f>
        <v>62132</v>
      </c>
      <c r="E17" s="24">
        <f>+'2 Össz'!F56</f>
        <v>59132</v>
      </c>
      <c r="F17" s="24">
        <f>+'2 Össz'!G56</f>
        <v>3000</v>
      </c>
      <c r="G17" s="25">
        <f>SUM(E17:F17)</f>
        <v>62132</v>
      </c>
    </row>
    <row r="18" spans="1:7" s="27" customFormat="1" ht="12.75">
      <c r="A18" s="26" t="s">
        <v>27</v>
      </c>
      <c r="B18" s="25">
        <f>SUM(B10:B17)</f>
        <v>2973014</v>
      </c>
      <c r="C18" s="25">
        <f>SUM(C10:C17)</f>
        <v>1426742</v>
      </c>
      <c r="D18" s="25">
        <f>SUM(D10:D17)</f>
        <v>4399756</v>
      </c>
      <c r="E18" s="25">
        <f>SUM(E10:E17)</f>
        <v>3167350</v>
      </c>
      <c r="F18" s="25">
        <f>SUM(F10:F17)</f>
        <v>1437972</v>
      </c>
      <c r="G18" s="25">
        <f>SUM(G10:G17)</f>
        <v>4605322</v>
      </c>
    </row>
    <row r="19" spans="1:7" s="27" customFormat="1" ht="12.75">
      <c r="A19" s="26" t="s">
        <v>28</v>
      </c>
      <c r="B19" s="25">
        <f>+'2 Össz'!C75</f>
        <v>88500</v>
      </c>
      <c r="C19" s="25">
        <f>+'2 Össz'!D75</f>
        <v>0</v>
      </c>
      <c r="D19" s="25">
        <f>SUM(B19:C19)</f>
        <v>88500</v>
      </c>
      <c r="E19" s="25">
        <f>+'2 Össz'!F75</f>
        <v>114496</v>
      </c>
      <c r="F19" s="25">
        <f>+'2 Össz'!G75</f>
        <v>0</v>
      </c>
      <c r="G19" s="25">
        <f>SUM(E19:F19)</f>
        <v>114496</v>
      </c>
    </row>
    <row r="20" spans="1:7" s="27" customFormat="1" ht="12.75">
      <c r="A20" s="28" t="s">
        <v>29</v>
      </c>
      <c r="B20" s="29">
        <f>+B19+B18</f>
        <v>3061514</v>
      </c>
      <c r="C20" s="29">
        <f>+C19+C18</f>
        <v>1426742</v>
      </c>
      <c r="D20" s="29">
        <f>+D19+D18</f>
        <v>4488256</v>
      </c>
      <c r="E20" s="29">
        <f>+E19+E18</f>
        <v>3281846</v>
      </c>
      <c r="F20" s="29">
        <f>+F19+F18</f>
        <v>1437972</v>
      </c>
      <c r="G20" s="29">
        <f>+G19+G18</f>
        <v>4719818</v>
      </c>
    </row>
    <row r="21" spans="1:7" ht="12.75">
      <c r="A21" s="23" t="s">
        <v>30</v>
      </c>
      <c r="B21" s="24">
        <f>+'2 Össz'!C92</f>
        <v>1225320</v>
      </c>
      <c r="C21" s="24">
        <f>+'2 Össz'!D92</f>
        <v>471417</v>
      </c>
      <c r="D21" s="25">
        <f>SUM(B21:C21)</f>
        <v>1696737</v>
      </c>
      <c r="E21" s="24">
        <f>+'2 Össz'!F92</f>
        <v>1371414</v>
      </c>
      <c r="F21" s="24">
        <f>+'2 Össz'!G92</f>
        <v>479999</v>
      </c>
      <c r="G21" s="25">
        <f>SUM(E21:F21)</f>
        <v>1851413</v>
      </c>
    </row>
    <row r="22" spans="1:7" ht="12.75">
      <c r="A22" s="23" t="s">
        <v>31</v>
      </c>
      <c r="B22" s="24">
        <f>+'2 Össz'!C93</f>
        <v>899854</v>
      </c>
      <c r="C22" s="24">
        <f>+'2 Össz'!D93</f>
        <v>731252</v>
      </c>
      <c r="D22" s="25">
        <f>SUM(B22:C22)</f>
        <v>1631106</v>
      </c>
      <c r="E22" s="24">
        <f>+'2 Össz'!F93</f>
        <v>917654</v>
      </c>
      <c r="F22" s="24">
        <f>+'2 Össz'!G93</f>
        <v>731252</v>
      </c>
      <c r="G22" s="25">
        <f>SUM(E22:F22)</f>
        <v>1648906</v>
      </c>
    </row>
    <row r="23" spans="1:7" ht="12.75">
      <c r="A23" s="23" t="s">
        <v>32</v>
      </c>
      <c r="B23" s="24">
        <f>+'2 Össz'!C100</f>
        <v>335673</v>
      </c>
      <c r="C23" s="24">
        <f>+'2 Össz'!D100</f>
        <v>22027</v>
      </c>
      <c r="D23" s="25">
        <f>SUM(B23:C23)</f>
        <v>357700</v>
      </c>
      <c r="E23" s="24">
        <f>+'2 Össz'!F100</f>
        <v>333048</v>
      </c>
      <c r="F23" s="24">
        <f>+'2 Össz'!G100</f>
        <v>24652</v>
      </c>
      <c r="G23" s="25">
        <f>SUM(E23:F23)</f>
        <v>357700</v>
      </c>
    </row>
    <row r="24" spans="1:7" ht="12.75">
      <c r="A24" s="23" t="s">
        <v>33</v>
      </c>
      <c r="B24" s="24">
        <f>+'2 Össz'!C112</f>
        <v>281519</v>
      </c>
      <c r="C24" s="24">
        <f>+'2 Össz'!D112</f>
        <v>157508</v>
      </c>
      <c r="D24" s="25">
        <f>SUM(B24:C24)</f>
        <v>439027</v>
      </c>
      <c r="E24" s="24">
        <f>+'2 Össz'!F112</f>
        <v>281519</v>
      </c>
      <c r="F24" s="24">
        <f>+'2 Össz'!G112</f>
        <v>157348</v>
      </c>
      <c r="G24" s="25">
        <f>SUM(E24:F24)</f>
        <v>438867</v>
      </c>
    </row>
    <row r="25" spans="1:7" ht="12.75">
      <c r="A25" s="23" t="s">
        <v>34</v>
      </c>
      <c r="B25" s="24">
        <f>+'2 Össz'!C118</f>
        <v>24632</v>
      </c>
      <c r="C25" s="24">
        <f>+'2 Össz'!D118</f>
        <v>32976</v>
      </c>
      <c r="D25" s="25">
        <f>SUM(B25:C25)</f>
        <v>57608</v>
      </c>
      <c r="E25" s="24">
        <f>+'2 Össz'!F118</f>
        <v>24632</v>
      </c>
      <c r="F25" s="24">
        <f>+'2 Össz'!G118</f>
        <v>33136</v>
      </c>
      <c r="G25" s="25">
        <f>SUM(E25:F25)</f>
        <v>57768</v>
      </c>
    </row>
    <row r="26" spans="1:7" ht="12.75">
      <c r="A26" s="23" t="s">
        <v>35</v>
      </c>
      <c r="B26" s="24">
        <f>+'2 Össz'!C119</f>
        <v>8301</v>
      </c>
      <c r="C26" s="24">
        <f>+'2 Össz'!D119</f>
        <v>8582</v>
      </c>
      <c r="D26" s="25">
        <f>SUM(B26:C26)</f>
        <v>16883</v>
      </c>
      <c r="E26" s="24">
        <f>+'2 Össz'!F119</f>
        <v>2000</v>
      </c>
      <c r="F26" s="24">
        <f>+'2 Össz'!G119</f>
        <v>0</v>
      </c>
      <c r="G26" s="25">
        <f>SUM(E26:F26)</f>
        <v>2000</v>
      </c>
    </row>
    <row r="27" spans="1:7" ht="12.75">
      <c r="A27" s="23" t="s">
        <v>36</v>
      </c>
      <c r="B27" s="24">
        <f>+'2 Össz'!C125</f>
        <v>32262</v>
      </c>
      <c r="C27" s="24">
        <f>+'2 Össz'!D125</f>
        <v>0</v>
      </c>
      <c r="D27" s="25">
        <f>SUM(B27:C27)</f>
        <v>32262</v>
      </c>
      <c r="E27" s="24">
        <f>+'2 Össz'!F125</f>
        <v>32262</v>
      </c>
      <c r="F27" s="24">
        <f>+'2 Össz'!G125</f>
        <v>0</v>
      </c>
      <c r="G27" s="25">
        <f>SUM(E27:F27)</f>
        <v>32262</v>
      </c>
    </row>
    <row r="28" spans="1:7" s="27" customFormat="1" ht="12.75">
      <c r="A28" s="26" t="s">
        <v>37</v>
      </c>
      <c r="B28" s="25">
        <f>SUM(B21:B27)</f>
        <v>2807561</v>
      </c>
      <c r="C28" s="25">
        <f>SUM(C21:C27)</f>
        <v>1423762</v>
      </c>
      <c r="D28" s="25">
        <f>SUM(D21:D27)</f>
        <v>4231323</v>
      </c>
      <c r="E28" s="25">
        <f>SUM(E21:E27)</f>
        <v>2962529</v>
      </c>
      <c r="F28" s="25">
        <f>SUM(F21:F27)</f>
        <v>1426387</v>
      </c>
      <c r="G28" s="25">
        <f>SUM(G21:G27)</f>
        <v>4388916</v>
      </c>
    </row>
    <row r="29" spans="1:7" s="27" customFormat="1" ht="12.75">
      <c r="A29" s="26" t="s">
        <v>38</v>
      </c>
      <c r="B29" s="25">
        <f>+'2 Össz'!C153</f>
        <v>253953</v>
      </c>
      <c r="C29" s="25">
        <f>+'2 Össz'!D153</f>
        <v>2980</v>
      </c>
      <c r="D29" s="25">
        <f>SUM(B29:C29)</f>
        <v>256933</v>
      </c>
      <c r="E29" s="25">
        <f>+'2 Össz'!F153</f>
        <v>319317</v>
      </c>
      <c r="F29" s="25">
        <f>+'2 Össz'!G153</f>
        <v>11585</v>
      </c>
      <c r="G29" s="25">
        <f>SUM(E29:F29)</f>
        <v>330902</v>
      </c>
    </row>
    <row r="30" spans="1:7" s="27" customFormat="1" ht="12.75">
      <c r="A30" s="28" t="s">
        <v>39</v>
      </c>
      <c r="B30" s="29">
        <f>+B29+B28</f>
        <v>3061514</v>
      </c>
      <c r="C30" s="29">
        <f>+C29+C28</f>
        <v>1426742</v>
      </c>
      <c r="D30" s="29">
        <f>+D29+D28</f>
        <v>4488256</v>
      </c>
      <c r="E30" s="29">
        <f>+E29+E28</f>
        <v>3281846</v>
      </c>
      <c r="F30" s="29">
        <f>+F29+F28</f>
        <v>1437972</v>
      </c>
      <c r="G30" s="29">
        <f>+G29+G28</f>
        <v>4719818</v>
      </c>
    </row>
    <row r="33" spans="2:7" ht="12.75">
      <c r="B33" s="14">
        <f>+B30-B20</f>
        <v>0</v>
      </c>
      <c r="C33" s="14">
        <f>+C30-C20</f>
        <v>0</v>
      </c>
      <c r="D33" s="14">
        <f>+D30-D20</f>
        <v>0</v>
      </c>
      <c r="E33" s="14">
        <f>+E30-E20</f>
        <v>0</v>
      </c>
      <c r="F33" s="14">
        <f>+F30-F20</f>
        <v>0</v>
      </c>
      <c r="G33" s="14">
        <f>+G30-G20</f>
        <v>0</v>
      </c>
    </row>
  </sheetData>
  <sheetProtection selectLockedCells="1" selectUnlockedCells="1"/>
  <mergeCells count="2">
    <mergeCell ref="B8:D8"/>
    <mergeCell ref="E8:G8"/>
  </mergeCells>
  <printOptions/>
  <pageMargins left="0.7083333333333334" right="0.4097222222222222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G197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83.28125" style="13" customWidth="1"/>
    <col min="2" max="2" width="15.00390625" style="13" customWidth="1"/>
    <col min="3" max="5" width="9.140625" style="13" customWidth="1"/>
    <col min="6" max="6" width="38.8515625" style="13" customWidth="1"/>
    <col min="7" max="16384" width="9.140625" style="13" customWidth="1"/>
  </cols>
  <sheetData>
    <row r="1" ht="12.75">
      <c r="B1" s="32" t="s">
        <v>752</v>
      </c>
    </row>
    <row r="2" ht="12.75">
      <c r="B2" s="15" t="s">
        <v>10</v>
      </c>
    </row>
    <row r="4" spans="1:2" ht="12.75" customHeight="1">
      <c r="A4" s="4" t="s">
        <v>11</v>
      </c>
      <c r="B4" s="4"/>
    </row>
    <row r="5" spans="1:2" ht="12.75">
      <c r="A5" s="34"/>
      <c r="B5" s="90"/>
    </row>
    <row r="6" spans="1:7" ht="39.75" customHeight="1">
      <c r="A6" s="119" t="s">
        <v>753</v>
      </c>
      <c r="B6" s="119"/>
      <c r="C6" s="316"/>
      <c r="D6" s="316"/>
      <c r="E6" s="316"/>
      <c r="G6" s="316"/>
    </row>
    <row r="7" spans="1:7" ht="12.75">
      <c r="A7" s="38"/>
      <c r="B7" s="38"/>
      <c r="C7" s="316"/>
      <c r="D7" s="316"/>
      <c r="E7" s="316"/>
      <c r="G7" s="316"/>
    </row>
    <row r="9" spans="1:2" ht="12.75">
      <c r="A9" s="317" t="s">
        <v>447</v>
      </c>
      <c r="B9" s="318" t="s">
        <v>654</v>
      </c>
    </row>
    <row r="10" spans="1:2" ht="12.75">
      <c r="A10" s="319" t="s">
        <v>19</v>
      </c>
      <c r="B10" s="138"/>
    </row>
    <row r="11" spans="1:2" ht="12.75">
      <c r="A11" s="320" t="s">
        <v>20</v>
      </c>
      <c r="B11" s="138"/>
    </row>
    <row r="12" spans="1:2" ht="12.75">
      <c r="A12" s="319" t="s">
        <v>21</v>
      </c>
      <c r="B12" s="138"/>
    </row>
    <row r="13" spans="1:2" ht="12.75">
      <c r="A13" s="319" t="s">
        <v>22</v>
      </c>
      <c r="B13" s="138"/>
    </row>
    <row r="14" spans="1:2" ht="12.75">
      <c r="A14" s="319" t="s">
        <v>23</v>
      </c>
      <c r="B14" s="138"/>
    </row>
    <row r="15" spans="1:2" ht="12.75">
      <c r="A15" s="319" t="s">
        <v>24</v>
      </c>
      <c r="B15" s="138"/>
    </row>
    <row r="16" spans="1:2" ht="12.75">
      <c r="A16" s="319" t="s">
        <v>25</v>
      </c>
      <c r="B16" s="138">
        <v>164700</v>
      </c>
    </row>
    <row r="17" spans="1:2" ht="12.75">
      <c r="A17" s="319" t="s">
        <v>26</v>
      </c>
      <c r="B17" s="138"/>
    </row>
    <row r="18" spans="1:2" s="97" customFormat="1" ht="12.75">
      <c r="A18" s="318" t="s">
        <v>754</v>
      </c>
      <c r="B18" s="321">
        <f>SUM(B10:B17)</f>
        <v>164700</v>
      </c>
    </row>
    <row r="19" spans="1:2" ht="12.75">
      <c r="A19" s="60" t="s">
        <v>755</v>
      </c>
      <c r="B19" s="138"/>
    </row>
    <row r="20" spans="1:2" ht="12.75">
      <c r="A20" s="60" t="s">
        <v>756</v>
      </c>
      <c r="B20" s="138">
        <v>139995</v>
      </c>
    </row>
    <row r="21" spans="1:2" ht="12.75">
      <c r="A21" s="47" t="s">
        <v>757</v>
      </c>
      <c r="B21" s="138"/>
    </row>
    <row r="22" spans="1:2" ht="12.75">
      <c r="A22" s="47" t="s">
        <v>758</v>
      </c>
      <c r="B22" s="138"/>
    </row>
    <row r="23" spans="1:2" ht="12.75">
      <c r="A23" s="319" t="s">
        <v>759</v>
      </c>
      <c r="B23" s="138">
        <v>24705</v>
      </c>
    </row>
    <row r="24" spans="1:2" s="97" customFormat="1" ht="12.75">
      <c r="A24" s="51" t="s">
        <v>760</v>
      </c>
      <c r="B24" s="321">
        <f>SUM(B19:B23)</f>
        <v>164700</v>
      </c>
    </row>
    <row r="25" spans="1:2" ht="12.75">
      <c r="A25" s="308" t="s">
        <v>761</v>
      </c>
      <c r="B25" s="322"/>
    </row>
    <row r="26" spans="1:3" s="97" customFormat="1" ht="12.75">
      <c r="A26" s="318" t="s">
        <v>327</v>
      </c>
      <c r="B26" s="321">
        <f>+B25+B24</f>
        <v>164700</v>
      </c>
      <c r="C26" s="323"/>
    </row>
    <row r="27" spans="1:2" ht="12.75">
      <c r="A27" s="88"/>
      <c r="B27" s="88"/>
    </row>
    <row r="28" spans="1:2" ht="12.75">
      <c r="A28" s="324" t="s">
        <v>762</v>
      </c>
      <c r="B28" s="318" t="s">
        <v>654</v>
      </c>
    </row>
    <row r="29" spans="1:2" ht="12.75">
      <c r="A29" s="319" t="s">
        <v>19</v>
      </c>
      <c r="B29" s="138"/>
    </row>
    <row r="30" spans="1:2" ht="12.75">
      <c r="A30" s="320" t="s">
        <v>20</v>
      </c>
      <c r="B30" s="138"/>
    </row>
    <row r="31" spans="1:2" ht="12.75">
      <c r="A31" s="319" t="s">
        <v>21</v>
      </c>
      <c r="B31" s="138"/>
    </row>
    <row r="32" spans="1:2" ht="12.75">
      <c r="A32" s="319" t="s">
        <v>22</v>
      </c>
      <c r="B32" s="138"/>
    </row>
    <row r="33" spans="1:2" ht="12.75">
      <c r="A33" s="319" t="s">
        <v>23</v>
      </c>
      <c r="B33" s="138"/>
    </row>
    <row r="34" spans="1:2" ht="12.75">
      <c r="A34" s="319" t="s">
        <v>24</v>
      </c>
      <c r="B34" s="138">
        <v>115000</v>
      </c>
    </row>
    <row r="35" spans="1:2" ht="12.75">
      <c r="A35" s="319" t="s">
        <v>25</v>
      </c>
      <c r="B35" s="138">
        <v>150000</v>
      </c>
    </row>
    <row r="36" spans="1:2" ht="12.75">
      <c r="A36" s="319" t="s">
        <v>26</v>
      </c>
      <c r="B36" s="138"/>
    </row>
    <row r="37" spans="1:2" ht="12.75">
      <c r="A37" s="318" t="s">
        <v>754</v>
      </c>
      <c r="B37" s="321">
        <f>SUM(B29:B36)</f>
        <v>265000</v>
      </c>
    </row>
    <row r="38" spans="1:2" s="97" customFormat="1" ht="12.75">
      <c r="A38" s="60" t="s">
        <v>755</v>
      </c>
      <c r="B38" s="138"/>
    </row>
    <row r="39" spans="1:2" ht="12.75">
      <c r="A39" s="60" t="s">
        <v>756</v>
      </c>
      <c r="B39" s="138">
        <v>265000</v>
      </c>
    </row>
    <row r="40" spans="1:2" ht="12.75">
      <c r="A40" s="47" t="s">
        <v>757</v>
      </c>
      <c r="B40" s="138"/>
    </row>
    <row r="41" spans="1:2" ht="12.75">
      <c r="A41" s="47" t="s">
        <v>758</v>
      </c>
      <c r="B41" s="138"/>
    </row>
    <row r="42" spans="1:2" ht="12.75">
      <c r="A42" s="319" t="s">
        <v>759</v>
      </c>
      <c r="B42" s="138"/>
    </row>
    <row r="43" spans="1:2" ht="12.75">
      <c r="A43" s="51" t="s">
        <v>760</v>
      </c>
      <c r="B43" s="321">
        <f>SUM(B38:B42)</f>
        <v>265000</v>
      </c>
    </row>
    <row r="44" spans="1:2" s="97" customFormat="1" ht="12.75">
      <c r="A44" s="308" t="s">
        <v>761</v>
      </c>
      <c r="B44" s="322">
        <v>0</v>
      </c>
    </row>
    <row r="45" spans="1:2" ht="12.75">
      <c r="A45" s="318" t="s">
        <v>327</v>
      </c>
      <c r="B45" s="321">
        <f>+B44+B43</f>
        <v>265000</v>
      </c>
    </row>
    <row r="46" spans="1:2" s="97" customFormat="1" ht="12.75">
      <c r="A46" s="325"/>
      <c r="B46" s="326"/>
    </row>
    <row r="47" spans="1:2" ht="12.75">
      <c r="A47" s="324" t="s">
        <v>763</v>
      </c>
      <c r="B47" s="318" t="s">
        <v>654</v>
      </c>
    </row>
    <row r="48" spans="1:2" ht="12.75">
      <c r="A48" s="319" t="s">
        <v>19</v>
      </c>
      <c r="B48" s="138"/>
    </row>
    <row r="49" spans="1:2" ht="12.75">
      <c r="A49" s="320" t="s">
        <v>20</v>
      </c>
      <c r="B49" s="138"/>
    </row>
    <row r="50" spans="1:2" ht="12.75">
      <c r="A50" s="319" t="s">
        <v>21</v>
      </c>
      <c r="B50" s="138"/>
    </row>
    <row r="51" spans="1:2" ht="12.75">
      <c r="A51" s="319" t="s">
        <v>22</v>
      </c>
      <c r="B51" s="138"/>
    </row>
    <row r="52" spans="1:2" ht="12.75">
      <c r="A52" s="319" t="s">
        <v>23</v>
      </c>
      <c r="B52" s="138"/>
    </row>
    <row r="53" spans="1:2" ht="12.75">
      <c r="A53" s="319" t="s">
        <v>24</v>
      </c>
      <c r="B53" s="138">
        <v>77750</v>
      </c>
    </row>
    <row r="54" spans="1:2" ht="12.75">
      <c r="A54" s="319" t="s">
        <v>25</v>
      </c>
      <c r="B54" s="138"/>
    </row>
    <row r="55" spans="1:2" ht="12.75">
      <c r="A55" s="319" t="s">
        <v>26</v>
      </c>
      <c r="B55" s="138"/>
    </row>
    <row r="56" spans="1:2" ht="12.75">
      <c r="A56" s="318" t="s">
        <v>754</v>
      </c>
      <c r="B56" s="321">
        <f>SUM(B48:B55)</f>
        <v>77750</v>
      </c>
    </row>
    <row r="57" spans="1:2" ht="12.75">
      <c r="A57" s="60" t="s">
        <v>755</v>
      </c>
      <c r="B57" s="138"/>
    </row>
    <row r="58" spans="1:2" s="97" customFormat="1" ht="12.75">
      <c r="A58" s="60" t="s">
        <v>756</v>
      </c>
      <c r="B58" s="138">
        <v>60000</v>
      </c>
    </row>
    <row r="59" spans="1:2" ht="12.75">
      <c r="A59" s="47" t="s">
        <v>757</v>
      </c>
      <c r="B59" s="138"/>
    </row>
    <row r="60" spans="1:2" ht="12.75">
      <c r="A60" s="47" t="s">
        <v>758</v>
      </c>
      <c r="B60" s="138"/>
    </row>
    <row r="61" spans="1:2" ht="12.75">
      <c r="A61" s="319" t="s">
        <v>759</v>
      </c>
      <c r="B61" s="138">
        <v>17750</v>
      </c>
    </row>
    <row r="62" spans="1:2" ht="12.75">
      <c r="A62" s="51" t="s">
        <v>760</v>
      </c>
      <c r="B62" s="321">
        <f>SUM(B57:B61)</f>
        <v>77750</v>
      </c>
    </row>
    <row r="63" spans="1:2" ht="12.75">
      <c r="A63" s="308" t="s">
        <v>761</v>
      </c>
      <c r="B63" s="322">
        <v>0</v>
      </c>
    </row>
    <row r="64" spans="1:2" s="97" customFormat="1" ht="12.75">
      <c r="A64" s="318" t="s">
        <v>327</v>
      </c>
      <c r="B64" s="321">
        <f>+B63+B62</f>
        <v>77750</v>
      </c>
    </row>
    <row r="65" spans="1:2" ht="12.75">
      <c r="A65" s="325"/>
      <c r="B65" s="326"/>
    </row>
    <row r="66" spans="1:2" s="97" customFormat="1" ht="12.75">
      <c r="A66" s="324" t="s">
        <v>764</v>
      </c>
      <c r="B66" s="318" t="s">
        <v>654</v>
      </c>
    </row>
    <row r="67" spans="1:2" ht="12.75">
      <c r="A67" s="319" t="s">
        <v>19</v>
      </c>
      <c r="B67" s="138"/>
    </row>
    <row r="68" spans="1:2" ht="12.75">
      <c r="A68" s="320" t="s">
        <v>20</v>
      </c>
      <c r="B68" s="138"/>
    </row>
    <row r="69" spans="1:2" ht="12.75">
      <c r="A69" s="319" t="s">
        <v>21</v>
      </c>
      <c r="B69" s="138"/>
    </row>
    <row r="70" spans="1:2" ht="12.75">
      <c r="A70" s="319" t="s">
        <v>22</v>
      </c>
      <c r="B70" s="138"/>
    </row>
    <row r="71" spans="1:2" ht="12.75">
      <c r="A71" s="319" t="s">
        <v>23</v>
      </c>
      <c r="B71" s="138"/>
    </row>
    <row r="72" spans="1:2" ht="12.75">
      <c r="A72" s="319" t="s">
        <v>24</v>
      </c>
      <c r="B72" s="138">
        <v>311150</v>
      </c>
    </row>
    <row r="73" spans="1:2" ht="12.75">
      <c r="A73" s="319" t="s">
        <v>25</v>
      </c>
      <c r="B73" s="138">
        <v>85000</v>
      </c>
    </row>
    <row r="74" spans="1:2" ht="12.75">
      <c r="A74" s="319" t="s">
        <v>26</v>
      </c>
      <c r="B74" s="138"/>
    </row>
    <row r="75" spans="1:2" ht="12.75">
      <c r="A75" s="318" t="s">
        <v>754</v>
      </c>
      <c r="B75" s="321">
        <f>SUM(B67:B74)</f>
        <v>396150</v>
      </c>
    </row>
    <row r="76" spans="1:2" ht="12.75">
      <c r="A76" s="60" t="s">
        <v>755</v>
      </c>
      <c r="B76" s="138"/>
    </row>
    <row r="77" spans="1:2" ht="12.75">
      <c r="A77" s="60" t="s">
        <v>756</v>
      </c>
      <c r="B77" s="138">
        <v>297113</v>
      </c>
    </row>
    <row r="78" spans="1:2" s="97" customFormat="1" ht="12.75">
      <c r="A78" s="47" t="s">
        <v>757</v>
      </c>
      <c r="B78" s="138"/>
    </row>
    <row r="79" spans="1:2" ht="12.75">
      <c r="A79" s="47" t="s">
        <v>758</v>
      </c>
      <c r="B79" s="138"/>
    </row>
    <row r="80" spans="1:2" ht="12.75">
      <c r="A80" s="319" t="s">
        <v>759</v>
      </c>
      <c r="B80" s="138">
        <v>99037</v>
      </c>
    </row>
    <row r="81" spans="1:2" ht="12.75">
      <c r="A81" s="51" t="s">
        <v>760</v>
      </c>
      <c r="B81" s="321">
        <f>SUM(B76:B80)</f>
        <v>396150</v>
      </c>
    </row>
    <row r="82" spans="1:2" ht="12.75">
      <c r="A82" s="308" t="s">
        <v>761</v>
      </c>
      <c r="B82" s="322">
        <v>0</v>
      </c>
    </row>
    <row r="83" spans="1:2" ht="12.75">
      <c r="A83" s="318" t="s">
        <v>327</v>
      </c>
      <c r="B83" s="321">
        <f>+B82+B81</f>
        <v>396150</v>
      </c>
    </row>
    <row r="84" spans="1:2" s="97" customFormat="1" ht="12.75">
      <c r="A84" s="325"/>
      <c r="B84" s="326"/>
    </row>
    <row r="85" spans="1:2" s="97" customFormat="1" ht="12.75">
      <c r="A85" s="324" t="s">
        <v>445</v>
      </c>
      <c r="B85" s="318" t="s">
        <v>654</v>
      </c>
    </row>
    <row r="86" spans="1:2" ht="12.75">
      <c r="A86" s="319" t="s">
        <v>19</v>
      </c>
      <c r="B86" s="138"/>
    </row>
    <row r="87" spans="1:2" ht="12.75">
      <c r="A87" s="320" t="s">
        <v>20</v>
      </c>
      <c r="B87" s="138"/>
    </row>
    <row r="88" spans="1:2" ht="12.75">
      <c r="A88" s="319" t="s">
        <v>21</v>
      </c>
      <c r="B88" s="138"/>
    </row>
    <row r="89" spans="1:2" ht="12.75">
      <c r="A89" s="319" t="s">
        <v>22</v>
      </c>
      <c r="B89" s="138"/>
    </row>
    <row r="90" spans="1:2" ht="12.75">
      <c r="A90" s="319" t="s">
        <v>23</v>
      </c>
      <c r="B90" s="138"/>
    </row>
    <row r="91" spans="1:2" ht="12.75">
      <c r="A91" s="319" t="s">
        <v>24</v>
      </c>
      <c r="B91" s="138"/>
    </row>
    <row r="92" spans="1:2" ht="12.75">
      <c r="A92" s="319" t="s">
        <v>25</v>
      </c>
      <c r="B92" s="138">
        <v>37680</v>
      </c>
    </row>
    <row r="93" spans="1:2" ht="12.75">
      <c r="A93" s="319" t="s">
        <v>26</v>
      </c>
      <c r="B93" s="138"/>
    </row>
    <row r="94" spans="1:2" ht="12.75">
      <c r="A94" s="318" t="s">
        <v>754</v>
      </c>
      <c r="B94" s="321">
        <f>SUM(B86:B93)</f>
        <v>37680</v>
      </c>
    </row>
    <row r="95" spans="1:2" ht="12.75">
      <c r="A95" s="60" t="s">
        <v>755</v>
      </c>
      <c r="B95" s="138"/>
    </row>
    <row r="96" spans="1:2" ht="12.75">
      <c r="A96" s="60" t="s">
        <v>756</v>
      </c>
      <c r="B96" s="138">
        <v>37680</v>
      </c>
    </row>
    <row r="97" spans="1:2" ht="12.75">
      <c r="A97" s="47" t="s">
        <v>757</v>
      </c>
      <c r="B97" s="138"/>
    </row>
    <row r="98" spans="1:2" ht="12.75">
      <c r="A98" s="47" t="s">
        <v>758</v>
      </c>
      <c r="B98" s="138"/>
    </row>
    <row r="99" spans="1:2" ht="12.75">
      <c r="A99" s="319" t="s">
        <v>759</v>
      </c>
      <c r="B99" s="138"/>
    </row>
    <row r="100" spans="1:2" ht="12.75">
      <c r="A100" s="51" t="s">
        <v>760</v>
      </c>
      <c r="B100" s="321">
        <f>SUM(B95:B99)</f>
        <v>37680</v>
      </c>
    </row>
    <row r="101" spans="1:2" ht="12.75">
      <c r="A101" s="308" t="s">
        <v>761</v>
      </c>
      <c r="B101" s="322">
        <v>0</v>
      </c>
    </row>
    <row r="102" spans="1:2" ht="12.75">
      <c r="A102" s="318" t="s">
        <v>327</v>
      </c>
      <c r="B102" s="321">
        <f>+B101+B100</f>
        <v>37680</v>
      </c>
    </row>
    <row r="103" spans="1:2" ht="12.75">
      <c r="A103" s="88"/>
      <c r="B103" s="88"/>
    </row>
    <row r="104" spans="1:2" ht="12.75">
      <c r="A104" s="324" t="s">
        <v>765</v>
      </c>
      <c r="B104" s="318" t="s">
        <v>654</v>
      </c>
    </row>
    <row r="105" spans="1:2" ht="12.75">
      <c r="A105" s="319" t="s">
        <v>19</v>
      </c>
      <c r="B105" s="138"/>
    </row>
    <row r="106" spans="1:2" ht="12.75">
      <c r="A106" s="320" t="s">
        <v>20</v>
      </c>
      <c r="B106" s="138"/>
    </row>
    <row r="107" spans="1:2" ht="12.75">
      <c r="A107" s="319" t="s">
        <v>21</v>
      </c>
      <c r="B107" s="138"/>
    </row>
    <row r="108" spans="1:2" ht="12.75">
      <c r="A108" s="319" t="s">
        <v>22</v>
      </c>
      <c r="B108" s="138"/>
    </row>
    <row r="109" spans="1:2" ht="12.75">
      <c r="A109" s="319" t="s">
        <v>23</v>
      </c>
      <c r="B109" s="138"/>
    </row>
    <row r="110" spans="1:2" ht="12.75">
      <c r="A110" s="319" t="s">
        <v>24</v>
      </c>
      <c r="B110" s="138">
        <v>49143</v>
      </c>
    </row>
    <row r="111" spans="1:2" ht="12.75">
      <c r="A111" s="319" t="s">
        <v>25</v>
      </c>
      <c r="B111" s="138"/>
    </row>
    <row r="112" spans="1:2" ht="12.75">
      <c r="A112" s="319" t="s">
        <v>26</v>
      </c>
      <c r="B112" s="138"/>
    </row>
    <row r="113" spans="1:2" ht="12.75">
      <c r="A113" s="318" t="s">
        <v>754</v>
      </c>
      <c r="B113" s="321">
        <f>SUM(B105:B112)</f>
        <v>49143</v>
      </c>
    </row>
    <row r="114" spans="1:2" ht="12.75">
      <c r="A114" s="60" t="s">
        <v>755</v>
      </c>
      <c r="B114" s="138"/>
    </row>
    <row r="115" spans="1:2" ht="12.75">
      <c r="A115" s="60" t="s">
        <v>756</v>
      </c>
      <c r="B115" s="138">
        <v>35102</v>
      </c>
    </row>
    <row r="116" spans="1:2" ht="12.75">
      <c r="A116" s="47" t="s">
        <v>757</v>
      </c>
      <c r="B116" s="138"/>
    </row>
    <row r="117" spans="1:2" ht="12.75">
      <c r="A117" s="47" t="s">
        <v>758</v>
      </c>
      <c r="B117" s="138"/>
    </row>
    <row r="118" spans="1:2" ht="12.75">
      <c r="A118" s="319" t="s">
        <v>759</v>
      </c>
      <c r="B118" s="138">
        <v>14041</v>
      </c>
    </row>
    <row r="119" spans="1:2" ht="12.75">
      <c r="A119" s="51" t="s">
        <v>760</v>
      </c>
      <c r="B119" s="321">
        <f>SUM(B114:B118)</f>
        <v>49143</v>
      </c>
    </row>
    <row r="120" spans="1:2" ht="12.75">
      <c r="A120" s="308" t="s">
        <v>761</v>
      </c>
      <c r="B120" s="322">
        <v>0</v>
      </c>
    </row>
    <row r="121" spans="1:2" ht="12.75">
      <c r="A121" s="318" t="s">
        <v>327</v>
      </c>
      <c r="B121" s="321">
        <f>+B120+B119</f>
        <v>49143</v>
      </c>
    </row>
    <row r="122" spans="1:2" ht="12.75">
      <c r="A122" s="88"/>
      <c r="B122" s="88"/>
    </row>
    <row r="123" spans="1:2" ht="12.75">
      <c r="A123" s="324" t="s">
        <v>766</v>
      </c>
      <c r="B123" s="318" t="s">
        <v>654</v>
      </c>
    </row>
    <row r="124" spans="1:2" ht="12.75">
      <c r="A124" s="319" t="s">
        <v>19</v>
      </c>
      <c r="B124" s="138"/>
    </row>
    <row r="125" spans="1:2" ht="12.75">
      <c r="A125" s="320" t="s">
        <v>20</v>
      </c>
      <c r="B125" s="138"/>
    </row>
    <row r="126" spans="1:2" ht="12.75">
      <c r="A126" s="327" t="s">
        <v>21</v>
      </c>
      <c r="B126" s="138"/>
    </row>
    <row r="127" spans="1:2" ht="12.75">
      <c r="A127" s="319" t="s">
        <v>22</v>
      </c>
      <c r="B127" s="138"/>
    </row>
    <row r="128" spans="1:2" ht="12.75">
      <c r="A128" s="319" t="s">
        <v>23</v>
      </c>
      <c r="B128" s="138"/>
    </row>
    <row r="129" spans="1:2" ht="12.75">
      <c r="A129" s="319" t="s">
        <v>24</v>
      </c>
      <c r="B129" s="138"/>
    </row>
    <row r="130" spans="1:2" ht="12.75">
      <c r="A130" s="319" t="s">
        <v>25</v>
      </c>
      <c r="B130" s="138">
        <v>131074</v>
      </c>
    </row>
    <row r="131" spans="1:2" ht="12.75">
      <c r="A131" s="319" t="s">
        <v>26</v>
      </c>
      <c r="B131" s="138"/>
    </row>
    <row r="132" spans="1:2" ht="12.75">
      <c r="A132" s="318" t="s">
        <v>754</v>
      </c>
      <c r="B132" s="321">
        <f>SUM(B124:B131)</f>
        <v>131074</v>
      </c>
    </row>
    <row r="133" spans="1:2" ht="12.75">
      <c r="A133" s="60" t="s">
        <v>755</v>
      </c>
      <c r="B133" s="138"/>
    </row>
    <row r="134" spans="1:2" ht="12.75">
      <c r="A134" s="60" t="s">
        <v>756</v>
      </c>
      <c r="B134" s="138">
        <v>131074</v>
      </c>
    </row>
    <row r="135" spans="1:2" ht="12.75">
      <c r="A135" s="47" t="s">
        <v>757</v>
      </c>
      <c r="B135" s="138"/>
    </row>
    <row r="136" spans="1:2" ht="12.75">
      <c r="A136" s="47" t="s">
        <v>758</v>
      </c>
      <c r="B136" s="138"/>
    </row>
    <row r="137" spans="1:2" ht="12.75">
      <c r="A137" s="319" t="s">
        <v>759</v>
      </c>
      <c r="B137" s="138"/>
    </row>
    <row r="138" spans="1:2" ht="12.75">
      <c r="A138" s="51" t="s">
        <v>760</v>
      </c>
      <c r="B138" s="321">
        <f>SUM(B133:B137)</f>
        <v>131074</v>
      </c>
    </row>
    <row r="139" spans="1:2" ht="12.75">
      <c r="A139" s="308" t="s">
        <v>761</v>
      </c>
      <c r="B139" s="322">
        <v>0</v>
      </c>
    </row>
    <row r="140" spans="1:2" ht="12.75">
      <c r="A140" s="318" t="s">
        <v>327</v>
      </c>
      <c r="B140" s="321">
        <f>+B139+B138</f>
        <v>131074</v>
      </c>
    </row>
    <row r="141" spans="1:2" ht="12.75">
      <c r="A141" s="88"/>
      <c r="B141" s="88"/>
    </row>
    <row r="142" spans="1:2" ht="12.75">
      <c r="A142" s="324" t="s">
        <v>767</v>
      </c>
      <c r="B142" s="318" t="s">
        <v>654</v>
      </c>
    </row>
    <row r="143" spans="1:2" ht="12.75">
      <c r="A143" s="319" t="s">
        <v>19</v>
      </c>
      <c r="B143" s="138"/>
    </row>
    <row r="144" spans="1:2" ht="12.75">
      <c r="A144" s="320" t="s">
        <v>20</v>
      </c>
      <c r="B144" s="138"/>
    </row>
    <row r="145" spans="1:2" ht="12.75">
      <c r="A145" s="319" t="s">
        <v>21</v>
      </c>
      <c r="B145" s="138"/>
    </row>
    <row r="146" spans="1:2" ht="12.75">
      <c r="A146" s="319" t="s">
        <v>22</v>
      </c>
      <c r="B146" s="138"/>
    </row>
    <row r="147" spans="1:2" ht="12.75">
      <c r="A147" s="319" t="s">
        <v>23</v>
      </c>
      <c r="B147" s="138"/>
    </row>
    <row r="148" spans="1:2" ht="12.75">
      <c r="A148" s="319" t="s">
        <v>24</v>
      </c>
      <c r="B148" s="138">
        <v>112395</v>
      </c>
    </row>
    <row r="149" spans="1:2" ht="12.75">
      <c r="A149" s="319" t="s">
        <v>25</v>
      </c>
      <c r="B149" s="138"/>
    </row>
    <row r="150" spans="1:2" ht="12.75">
      <c r="A150" s="319" t="s">
        <v>26</v>
      </c>
      <c r="B150" s="138"/>
    </row>
    <row r="151" spans="1:2" ht="12.75">
      <c r="A151" s="318" t="s">
        <v>754</v>
      </c>
      <c r="B151" s="321">
        <f>SUM(B143:B150)</f>
        <v>112395</v>
      </c>
    </row>
    <row r="152" spans="1:2" ht="12.75">
      <c r="A152" s="60" t="s">
        <v>755</v>
      </c>
      <c r="B152" s="138"/>
    </row>
    <row r="153" spans="1:2" ht="12.75">
      <c r="A153" s="60" t="s">
        <v>756</v>
      </c>
      <c r="B153" s="138">
        <v>84296</v>
      </c>
    </row>
    <row r="154" spans="1:2" ht="12.75">
      <c r="A154" s="47" t="s">
        <v>757</v>
      </c>
      <c r="B154" s="138"/>
    </row>
    <row r="155" spans="1:2" ht="12.75">
      <c r="A155" s="47" t="s">
        <v>758</v>
      </c>
      <c r="B155" s="138"/>
    </row>
    <row r="156" spans="1:2" ht="12.75">
      <c r="A156" s="319" t="s">
        <v>759</v>
      </c>
      <c r="B156" s="138">
        <v>28099</v>
      </c>
    </row>
    <row r="157" spans="1:2" ht="12.75">
      <c r="A157" s="51" t="s">
        <v>760</v>
      </c>
      <c r="B157" s="321">
        <f>SUM(B152:B156)</f>
        <v>112395</v>
      </c>
    </row>
    <row r="158" spans="1:2" ht="12.75">
      <c r="A158" s="308" t="s">
        <v>761</v>
      </c>
      <c r="B158" s="322">
        <v>0</v>
      </c>
    </row>
    <row r="159" spans="1:2" ht="12.75">
      <c r="A159" s="318" t="s">
        <v>327</v>
      </c>
      <c r="B159" s="321">
        <f>+B158+B157</f>
        <v>112395</v>
      </c>
    </row>
    <row r="160" spans="1:2" s="76" customFormat="1" ht="12.75">
      <c r="A160" s="325"/>
      <c r="B160" s="326"/>
    </row>
    <row r="161" spans="1:2" ht="12.75">
      <c r="A161" s="324" t="s">
        <v>768</v>
      </c>
      <c r="B161" s="318" t="s">
        <v>654</v>
      </c>
    </row>
    <row r="162" spans="1:2" ht="12.75">
      <c r="A162" s="319" t="s">
        <v>19</v>
      </c>
      <c r="B162" s="138"/>
    </row>
    <row r="163" spans="1:2" ht="12.75">
      <c r="A163" s="320" t="s">
        <v>20</v>
      </c>
      <c r="B163" s="138"/>
    </row>
    <row r="164" spans="1:2" ht="12.75">
      <c r="A164" s="319" t="s">
        <v>21</v>
      </c>
      <c r="B164" s="138"/>
    </row>
    <row r="165" spans="1:2" ht="12.75">
      <c r="A165" s="319" t="s">
        <v>22</v>
      </c>
      <c r="B165" s="138"/>
    </row>
    <row r="166" spans="1:2" ht="12.75">
      <c r="A166" s="319" t="s">
        <v>23</v>
      </c>
      <c r="B166" s="138"/>
    </row>
    <row r="167" spans="1:2" ht="12.75">
      <c r="A167" s="319" t="s">
        <v>24</v>
      </c>
      <c r="B167" s="138">
        <v>300000</v>
      </c>
    </row>
    <row r="168" spans="1:2" ht="12.75">
      <c r="A168" s="319" t="s">
        <v>25</v>
      </c>
      <c r="B168" s="138"/>
    </row>
    <row r="169" spans="1:2" ht="12.75">
      <c r="A169" s="319" t="s">
        <v>26</v>
      </c>
      <c r="B169" s="138"/>
    </row>
    <row r="170" spans="1:2" ht="12.75">
      <c r="A170" s="318" t="s">
        <v>754</v>
      </c>
      <c r="B170" s="321">
        <f>SUM(B162:B169)</f>
        <v>300000</v>
      </c>
    </row>
    <row r="171" spans="1:2" ht="12.75">
      <c r="A171" s="60" t="s">
        <v>755</v>
      </c>
      <c r="B171" s="138"/>
    </row>
    <row r="172" spans="1:2" ht="12.75">
      <c r="A172" s="60" t="s">
        <v>756</v>
      </c>
      <c r="B172" s="138">
        <v>285000</v>
      </c>
    </row>
    <row r="173" spans="1:2" ht="12.75">
      <c r="A173" s="47" t="s">
        <v>757</v>
      </c>
      <c r="B173" s="138"/>
    </row>
    <row r="174" spans="1:2" ht="12.75">
      <c r="A174" s="47" t="s">
        <v>758</v>
      </c>
      <c r="B174" s="138"/>
    </row>
    <row r="175" spans="1:2" ht="12.75">
      <c r="A175" s="319" t="s">
        <v>759</v>
      </c>
      <c r="B175" s="138">
        <f>300000-285000</f>
        <v>15000</v>
      </c>
    </row>
    <row r="176" spans="1:2" ht="12.75">
      <c r="A176" s="51" t="s">
        <v>760</v>
      </c>
      <c r="B176" s="321">
        <f>SUM(B171:B175)</f>
        <v>300000</v>
      </c>
    </row>
    <row r="177" spans="1:2" ht="12.75">
      <c r="A177" s="308" t="s">
        <v>761</v>
      </c>
      <c r="B177" s="322">
        <v>0</v>
      </c>
    </row>
    <row r="178" spans="1:2" ht="12.75">
      <c r="A178" s="318" t="s">
        <v>327</v>
      </c>
      <c r="B178" s="321">
        <f>+B177+B176</f>
        <v>300000</v>
      </c>
    </row>
    <row r="180" spans="1:2" ht="12.75">
      <c r="A180" s="324" t="s">
        <v>769</v>
      </c>
      <c r="B180" s="318" t="s">
        <v>654</v>
      </c>
    </row>
    <row r="181" spans="1:2" ht="12.75">
      <c r="A181" s="319" t="s">
        <v>19</v>
      </c>
      <c r="B181" s="138"/>
    </row>
    <row r="182" spans="1:2" ht="12.75">
      <c r="A182" s="320" t="s">
        <v>20</v>
      </c>
      <c r="B182" s="138"/>
    </row>
    <row r="183" spans="1:2" ht="12.75">
      <c r="A183" s="319" t="s">
        <v>21</v>
      </c>
      <c r="B183" s="138">
        <f>5264+1947</f>
        <v>7211</v>
      </c>
    </row>
    <row r="184" spans="1:2" ht="12.75">
      <c r="A184" s="319" t="s">
        <v>22</v>
      </c>
      <c r="B184" s="138"/>
    </row>
    <row r="185" spans="1:2" ht="12.75">
      <c r="A185" s="319" t="s">
        <v>23</v>
      </c>
      <c r="B185" s="138"/>
    </row>
    <row r="186" spans="1:2" ht="12.75">
      <c r="A186" s="319" t="s">
        <v>24</v>
      </c>
      <c r="B186" s="138">
        <f>40+120+43</f>
        <v>203</v>
      </c>
    </row>
    <row r="187" spans="1:2" ht="12.75">
      <c r="A187" s="319" t="s">
        <v>25</v>
      </c>
      <c r="B187" s="138"/>
    </row>
    <row r="188" spans="1:2" ht="12.75">
      <c r="A188" s="319" t="s">
        <v>26</v>
      </c>
      <c r="B188" s="138"/>
    </row>
    <row r="189" spans="1:2" ht="12.75">
      <c r="A189" s="318" t="s">
        <v>754</v>
      </c>
      <c r="B189" s="321">
        <f>SUM(B181:B188)</f>
        <v>7414</v>
      </c>
    </row>
    <row r="190" spans="1:2" ht="12.75">
      <c r="A190" s="60" t="s">
        <v>755</v>
      </c>
      <c r="B190" s="138">
        <v>7043</v>
      </c>
    </row>
    <row r="191" spans="1:2" ht="12.75">
      <c r="A191" s="60" t="s">
        <v>756</v>
      </c>
      <c r="B191" s="138"/>
    </row>
    <row r="192" spans="1:2" ht="12.75">
      <c r="A192" s="47" t="s">
        <v>757</v>
      </c>
      <c r="B192" s="138"/>
    </row>
    <row r="193" spans="1:2" ht="12.75">
      <c r="A193" s="47" t="s">
        <v>758</v>
      </c>
      <c r="B193" s="138"/>
    </row>
    <row r="194" spans="1:2" ht="12.75">
      <c r="A194" s="319" t="s">
        <v>759</v>
      </c>
      <c r="B194" s="138">
        <v>371</v>
      </c>
    </row>
    <row r="195" spans="1:2" ht="12.75">
      <c r="A195" s="51" t="s">
        <v>760</v>
      </c>
      <c r="B195" s="321">
        <f>SUM(B190:B194)</f>
        <v>7414</v>
      </c>
    </row>
    <row r="196" spans="1:2" ht="12.75">
      <c r="A196" s="308" t="s">
        <v>761</v>
      </c>
      <c r="B196" s="322">
        <v>0</v>
      </c>
    </row>
    <row r="197" spans="1:2" ht="12.75">
      <c r="A197" s="318" t="s">
        <v>327</v>
      </c>
      <c r="B197" s="321">
        <f>+B196+B195</f>
        <v>7414</v>
      </c>
    </row>
  </sheetData>
  <sheetProtection selectLockedCells="1" selectUnlockedCells="1"/>
  <mergeCells count="2">
    <mergeCell ref="A4:B4"/>
    <mergeCell ref="A6:B6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88"/>
  <headerFooter alignWithMargins="0">
    <oddFooter>&amp;R&amp;P</oddFooter>
  </headerFooter>
  <rowBreaks count="4" manualBreakCount="4">
    <brk id="45" max="255" man="1"/>
    <brk id="83" max="255" man="1"/>
    <brk id="121" max="255" man="1"/>
    <brk id="15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21.00390625" style="328" customWidth="1"/>
    <col min="2" max="2" width="29.140625" style="328" customWidth="1"/>
    <col min="3" max="3" width="18.421875" style="328" customWidth="1"/>
    <col min="4" max="4" width="9.28125" style="328" customWidth="1"/>
    <col min="5" max="5" width="12.57421875" style="328" customWidth="1"/>
    <col min="6" max="16384" width="9.140625" style="328" customWidth="1"/>
  </cols>
  <sheetData>
    <row r="1" ht="12.75">
      <c r="E1" s="32" t="s">
        <v>770</v>
      </c>
    </row>
    <row r="2" spans="4:5" ht="12.75">
      <c r="D2" s="329"/>
      <c r="E2" s="15" t="s">
        <v>10</v>
      </c>
    </row>
    <row r="3" ht="12.75">
      <c r="E3" s="330"/>
    </row>
    <row r="4" spans="1:5" ht="12.75">
      <c r="A4" s="331" t="s">
        <v>771</v>
      </c>
      <c r="B4" s="331"/>
      <c r="C4" s="331"/>
      <c r="D4" s="331"/>
      <c r="E4" s="331"/>
    </row>
    <row r="8" spans="1:5" ht="12.75" customHeight="1">
      <c r="A8" s="332" t="s">
        <v>772</v>
      </c>
      <c r="B8" s="333" t="s">
        <v>527</v>
      </c>
      <c r="C8" s="334" t="s">
        <v>773</v>
      </c>
      <c r="D8" s="334"/>
      <c r="E8" s="334"/>
    </row>
    <row r="9" spans="1:5" ht="12.75">
      <c r="A9" s="332"/>
      <c r="B9" s="333"/>
      <c r="C9" s="335" t="s">
        <v>774</v>
      </c>
      <c r="D9" s="335" t="s">
        <v>775</v>
      </c>
      <c r="E9" s="336" t="s">
        <v>776</v>
      </c>
    </row>
    <row r="10" spans="1:5" ht="12.75">
      <c r="A10" s="337">
        <v>1</v>
      </c>
      <c r="B10" s="338">
        <v>2</v>
      </c>
      <c r="C10" s="338">
        <v>3</v>
      </c>
      <c r="D10" s="338">
        <v>4</v>
      </c>
      <c r="E10" s="339">
        <v>5</v>
      </c>
    </row>
    <row r="11" spans="1:5" s="344" customFormat="1" ht="12.75">
      <c r="A11" s="340" t="s">
        <v>777</v>
      </c>
      <c r="B11" s="341" t="s">
        <v>778</v>
      </c>
      <c r="C11" s="341" t="s">
        <v>779</v>
      </c>
      <c r="D11" s="342">
        <f>62+89+5</f>
        <v>156</v>
      </c>
      <c r="E11" s="343">
        <f>199+786+2062</f>
        <v>3047</v>
      </c>
    </row>
    <row r="12" spans="1:5" s="344" customFormat="1" ht="12.75">
      <c r="A12" s="345" t="s">
        <v>777</v>
      </c>
      <c r="B12" s="346" t="s">
        <v>780</v>
      </c>
      <c r="C12" s="341" t="s">
        <v>781</v>
      </c>
      <c r="D12" s="347">
        <f>2+2</f>
        <v>4</v>
      </c>
      <c r="E12" s="348">
        <f>96+83</f>
        <v>179</v>
      </c>
    </row>
    <row r="13" spans="1:5" s="344" customFormat="1" ht="12.75">
      <c r="A13" s="345" t="s">
        <v>777</v>
      </c>
      <c r="B13" s="346" t="s">
        <v>782</v>
      </c>
      <c r="C13" s="341" t="s">
        <v>781</v>
      </c>
      <c r="D13" s="347">
        <f>4+1</f>
        <v>5</v>
      </c>
      <c r="E13" s="348">
        <f>13+3</f>
        <v>16</v>
      </c>
    </row>
    <row r="14" spans="1:5" s="344" customFormat="1" ht="12.75">
      <c r="A14" s="345" t="s">
        <v>777</v>
      </c>
      <c r="B14" s="346" t="s">
        <v>783</v>
      </c>
      <c r="C14" s="341" t="s">
        <v>781</v>
      </c>
      <c r="D14" s="347">
        <v>3</v>
      </c>
      <c r="E14" s="348">
        <v>85</v>
      </c>
    </row>
    <row r="15" spans="1:5" s="344" customFormat="1" ht="12.75">
      <c r="A15" s="349"/>
      <c r="B15" s="346" t="s">
        <v>784</v>
      </c>
      <c r="C15" s="341" t="s">
        <v>781</v>
      </c>
      <c r="D15" s="347">
        <v>5</v>
      </c>
      <c r="E15" s="348">
        <f>26+27</f>
        <v>53</v>
      </c>
    </row>
    <row r="16" spans="1:5" s="344" customFormat="1" ht="12.75">
      <c r="A16" s="349"/>
      <c r="B16" s="346" t="s">
        <v>785</v>
      </c>
      <c r="C16" s="341" t="s">
        <v>781</v>
      </c>
      <c r="D16" s="347"/>
      <c r="E16" s="348">
        <v>0</v>
      </c>
    </row>
    <row r="17" spans="1:5" s="344" customFormat="1" ht="50.25" customHeight="1">
      <c r="A17" s="350"/>
      <c r="B17" s="351" t="s">
        <v>786</v>
      </c>
      <c r="C17" s="341" t="s">
        <v>787</v>
      </c>
      <c r="D17" s="352">
        <v>537</v>
      </c>
      <c r="E17" s="353">
        <v>6150</v>
      </c>
    </row>
    <row r="18" spans="1:5" ht="12.75">
      <c r="A18" s="354" t="s">
        <v>788</v>
      </c>
      <c r="B18" s="354"/>
      <c r="C18" s="354"/>
      <c r="D18" s="354"/>
      <c r="E18" s="355">
        <f>SUM(E11:E17)</f>
        <v>9530</v>
      </c>
    </row>
  </sheetData>
  <sheetProtection selectLockedCells="1" selectUnlockedCells="1"/>
  <mergeCells count="5">
    <mergeCell ref="A4:E4"/>
    <mergeCell ref="A8:A9"/>
    <mergeCell ref="B8:B9"/>
    <mergeCell ref="C8:E8"/>
    <mergeCell ref="A18:D18"/>
  </mergeCells>
  <printOptions horizontalCentered="1"/>
  <pageMargins left="0.5513888888888889" right="0.42986111111111114" top="0.9840277777777777" bottom="0.9840277777777777" header="0.5118055555555555" footer="0.5118055555555555"/>
  <pageSetup horizontalDpi="300" verticalDpi="300" orientation="portrait" paperSize="9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F157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78.00390625" style="13" customWidth="1"/>
    <col min="2" max="2" width="10.421875" style="13" customWidth="1"/>
    <col min="3" max="4" width="11.57421875" style="13" customWidth="1"/>
    <col min="5" max="5" width="11.57421875" style="87" customWidth="1"/>
    <col min="6" max="16384" width="9.140625" style="13" customWidth="1"/>
  </cols>
  <sheetData>
    <row r="1" ht="12.75">
      <c r="E1" s="32" t="s">
        <v>789</v>
      </c>
    </row>
    <row r="2" ht="12.75">
      <c r="E2" s="15" t="s">
        <v>10</v>
      </c>
    </row>
    <row r="3" spans="1:5" ht="26.25" customHeight="1">
      <c r="A3" s="34" t="s">
        <v>11</v>
      </c>
      <c r="B3" s="89"/>
      <c r="C3" s="89"/>
      <c r="D3" s="89"/>
      <c r="E3" s="356"/>
    </row>
    <row r="4" spans="1:5" ht="12.75" customHeight="1">
      <c r="A4" s="119" t="s">
        <v>790</v>
      </c>
      <c r="B4" s="119"/>
      <c r="C4" s="119"/>
      <c r="D4" s="119"/>
      <c r="E4" s="119"/>
    </row>
    <row r="6" spans="1:5" ht="12.75">
      <c r="A6" s="19" t="s">
        <v>15</v>
      </c>
      <c r="B6" s="42" t="s">
        <v>42</v>
      </c>
      <c r="C6" s="43" t="s">
        <v>791</v>
      </c>
      <c r="D6" s="43" t="s">
        <v>792</v>
      </c>
      <c r="E6" s="357" t="s">
        <v>793</v>
      </c>
    </row>
    <row r="7" spans="1:5" ht="12.75">
      <c r="A7" s="45" t="s">
        <v>43</v>
      </c>
      <c r="B7" s="46" t="s">
        <v>44</v>
      </c>
      <c r="C7" s="24">
        <v>927899</v>
      </c>
      <c r="D7" s="24">
        <v>1014719</v>
      </c>
      <c r="E7" s="103">
        <f>+'2 Össz'!E7</f>
        <v>1022524</v>
      </c>
    </row>
    <row r="8" spans="1:5" ht="12.75">
      <c r="A8" s="47" t="s">
        <v>45</v>
      </c>
      <c r="B8" s="46" t="s">
        <v>46</v>
      </c>
      <c r="C8" s="24"/>
      <c r="D8" s="24">
        <v>65286</v>
      </c>
      <c r="E8" s="103">
        <f>+'2 Össz'!E8</f>
        <v>40714</v>
      </c>
    </row>
    <row r="9" spans="1:5" s="108" customFormat="1" ht="12.75">
      <c r="A9" s="106" t="s">
        <v>47</v>
      </c>
      <c r="B9" s="358" t="s">
        <v>48</v>
      </c>
      <c r="C9" s="96">
        <f>SUM(C7:C8)</f>
        <v>927899</v>
      </c>
      <c r="D9" s="96">
        <f>SUM(D7:D8)</f>
        <v>1080005</v>
      </c>
      <c r="E9" s="96">
        <f>SUM(E7:E8)</f>
        <v>1063238</v>
      </c>
    </row>
    <row r="10" spans="1:5" s="27" customFormat="1" ht="12.75">
      <c r="A10" s="50" t="s">
        <v>49</v>
      </c>
      <c r="B10" s="49" t="s">
        <v>50</v>
      </c>
      <c r="C10" s="25">
        <v>229028</v>
      </c>
      <c r="D10" s="25">
        <v>274218</v>
      </c>
      <c r="E10" s="359">
        <f>+'2 Össz'!E10</f>
        <v>253514</v>
      </c>
    </row>
    <row r="11" spans="1:5" ht="12.75">
      <c r="A11" s="47" t="s">
        <v>51</v>
      </c>
      <c r="B11" s="46" t="s">
        <v>52</v>
      </c>
      <c r="C11" s="24"/>
      <c r="D11" s="24">
        <v>294981</v>
      </c>
      <c r="E11" s="103">
        <f>+'2 Össz'!E11</f>
        <v>265156</v>
      </c>
    </row>
    <row r="12" spans="1:5" ht="12.75">
      <c r="A12" s="47" t="s">
        <v>53</v>
      </c>
      <c r="B12" s="46" t="s">
        <v>54</v>
      </c>
      <c r="C12" s="24"/>
      <c r="D12" s="24">
        <v>19187</v>
      </c>
      <c r="E12" s="103">
        <f>+'2 Össz'!E12</f>
        <v>15495</v>
      </c>
    </row>
    <row r="13" spans="1:5" ht="12.75">
      <c r="A13" s="47" t="s">
        <v>55</v>
      </c>
      <c r="B13" s="46" t="s">
        <v>56</v>
      </c>
      <c r="C13" s="24"/>
      <c r="D13" s="24">
        <v>444444</v>
      </c>
      <c r="E13" s="103">
        <f>+'2 Össz'!E13</f>
        <v>418371</v>
      </c>
    </row>
    <row r="14" spans="1:5" ht="12.75">
      <c r="A14" s="47" t="s">
        <v>57</v>
      </c>
      <c r="B14" s="46" t="s">
        <v>58</v>
      </c>
      <c r="C14" s="24"/>
      <c r="D14" s="24">
        <v>8892</v>
      </c>
      <c r="E14" s="103">
        <f>+'2 Össz'!E14</f>
        <v>8080</v>
      </c>
    </row>
    <row r="15" spans="1:5" ht="12.75">
      <c r="A15" s="47" t="s">
        <v>59</v>
      </c>
      <c r="B15" s="46" t="s">
        <v>60</v>
      </c>
      <c r="C15" s="24"/>
      <c r="D15" s="24">
        <v>238152</v>
      </c>
      <c r="E15" s="103">
        <f>+'2 Össz'!E15</f>
        <v>300734</v>
      </c>
    </row>
    <row r="16" spans="1:5" s="108" customFormat="1" ht="12.75">
      <c r="A16" s="94" t="s">
        <v>61</v>
      </c>
      <c r="B16" s="358" t="s">
        <v>62</v>
      </c>
      <c r="C16" s="96">
        <v>947201</v>
      </c>
      <c r="D16" s="96">
        <f>SUM(D11:D15)</f>
        <v>1005656</v>
      </c>
      <c r="E16" s="96">
        <f>SUM(E11:E15)</f>
        <v>1007836</v>
      </c>
    </row>
    <row r="17" spans="1:5" s="27" customFormat="1" ht="12.75">
      <c r="A17" s="51" t="s">
        <v>63</v>
      </c>
      <c r="B17" s="49" t="s">
        <v>64</v>
      </c>
      <c r="C17" s="25">
        <v>249443</v>
      </c>
      <c r="D17" s="25">
        <v>279362</v>
      </c>
      <c r="E17" s="359">
        <f>+'2 Össz'!E17</f>
        <v>105033</v>
      </c>
    </row>
    <row r="18" spans="1:5" ht="12.75">
      <c r="A18" s="52" t="s">
        <v>65</v>
      </c>
      <c r="B18" s="46" t="s">
        <v>66</v>
      </c>
      <c r="C18" s="24"/>
      <c r="D18" s="24"/>
      <c r="E18" s="103">
        <f>+'2 Össz'!E18</f>
        <v>0</v>
      </c>
    </row>
    <row r="19" spans="1:5" ht="12.75">
      <c r="A19" s="52" t="s">
        <v>67</v>
      </c>
      <c r="B19" s="46" t="s">
        <v>68</v>
      </c>
      <c r="C19" s="24"/>
      <c r="D19" s="24">
        <v>14284</v>
      </c>
      <c r="E19" s="103">
        <f>+'2 Össz'!E19</f>
        <v>12806</v>
      </c>
    </row>
    <row r="20" spans="1:5" ht="12.75">
      <c r="A20" s="52" t="s">
        <v>69</v>
      </c>
      <c r="B20" s="46" t="s">
        <v>70</v>
      </c>
      <c r="C20" s="24"/>
      <c r="D20" s="24"/>
      <c r="E20" s="103">
        <f>+'2 Össz'!E20</f>
        <v>0</v>
      </c>
    </row>
    <row r="21" spans="1:5" ht="12.75">
      <c r="A21" s="52" t="s">
        <v>71</v>
      </c>
      <c r="B21" s="46" t="s">
        <v>72</v>
      </c>
      <c r="C21" s="24"/>
      <c r="D21" s="24"/>
      <c r="E21" s="103">
        <f>+'2 Össz'!E21</f>
        <v>0</v>
      </c>
    </row>
    <row r="22" spans="1:5" ht="12.75">
      <c r="A22" s="52" t="s">
        <v>73</v>
      </c>
      <c r="B22" s="46" t="s">
        <v>74</v>
      </c>
      <c r="C22" s="24"/>
      <c r="D22" s="24"/>
      <c r="E22" s="103">
        <f>+'2 Össz'!E22</f>
        <v>0</v>
      </c>
    </row>
    <row r="23" spans="1:5" ht="12.75">
      <c r="A23" s="52" t="s">
        <v>75</v>
      </c>
      <c r="B23" s="46" t="s">
        <v>76</v>
      </c>
      <c r="C23" s="24">
        <v>304545</v>
      </c>
      <c r="D23" s="24">
        <v>154125</v>
      </c>
      <c r="E23" s="103">
        <f>+'2 Össz'!E23</f>
        <v>152060</v>
      </c>
    </row>
    <row r="24" spans="1:5" ht="12.75">
      <c r="A24" s="52" t="s">
        <v>77</v>
      </c>
      <c r="B24" s="46" t="s">
        <v>78</v>
      </c>
      <c r="C24" s="24"/>
      <c r="D24" s="24"/>
      <c r="E24" s="103">
        <f>+'2 Össz'!E24</f>
        <v>0</v>
      </c>
    </row>
    <row r="25" spans="1:5" ht="12.75">
      <c r="A25" s="52" t="s">
        <v>79</v>
      </c>
      <c r="B25" s="46" t="s">
        <v>80</v>
      </c>
      <c r="C25" s="24"/>
      <c r="D25" s="24"/>
      <c r="E25" s="103">
        <f>+'2 Össz'!E25</f>
        <v>0</v>
      </c>
    </row>
    <row r="26" spans="1:5" ht="12.75">
      <c r="A26" s="52" t="s">
        <v>81</v>
      </c>
      <c r="B26" s="46" t="s">
        <v>82</v>
      </c>
      <c r="C26" s="24"/>
      <c r="D26" s="24"/>
      <c r="E26" s="103">
        <f>+'2 Össz'!E26</f>
        <v>0</v>
      </c>
    </row>
    <row r="27" spans="1:5" ht="12.75">
      <c r="A27" s="53" t="s">
        <v>83</v>
      </c>
      <c r="B27" s="46" t="s">
        <v>84</v>
      </c>
      <c r="C27" s="24"/>
      <c r="D27" s="24"/>
      <c r="E27" s="103">
        <f>+'2 Össz'!E27</f>
        <v>0</v>
      </c>
    </row>
    <row r="28" spans="1:5" ht="12.75">
      <c r="A28" s="52" t="s">
        <v>85</v>
      </c>
      <c r="B28" s="46" t="s">
        <v>86</v>
      </c>
      <c r="C28" s="24"/>
      <c r="D28" s="24"/>
      <c r="E28" s="103">
        <f>+'2 Össz'!E28</f>
        <v>0</v>
      </c>
    </row>
    <row r="29" spans="1:5" ht="12.75">
      <c r="A29" s="52" t="s">
        <v>87</v>
      </c>
      <c r="B29" s="46" t="s">
        <v>88</v>
      </c>
      <c r="C29" s="24">
        <f>63626+20427</f>
        <v>84053</v>
      </c>
      <c r="D29" s="24">
        <v>155687</v>
      </c>
      <c r="E29" s="103">
        <f>+'2 Össz'!E29</f>
        <v>39993</v>
      </c>
    </row>
    <row r="30" spans="1:5" ht="12.75">
      <c r="A30" s="53" t="s">
        <v>89</v>
      </c>
      <c r="B30" s="46" t="s">
        <v>90</v>
      </c>
      <c r="C30" s="24"/>
      <c r="D30" s="24">
        <v>6897</v>
      </c>
      <c r="E30" s="103">
        <f>+'2 Össz'!E30</f>
        <v>40000</v>
      </c>
    </row>
    <row r="31" spans="1:5" ht="12.75">
      <c r="A31" s="53" t="s">
        <v>91</v>
      </c>
      <c r="B31" s="46" t="s">
        <v>90</v>
      </c>
      <c r="C31" s="24"/>
      <c r="D31" s="24">
        <v>340</v>
      </c>
      <c r="E31" s="103">
        <f>+'2 Össz'!E31</f>
        <v>4300</v>
      </c>
    </row>
    <row r="32" spans="1:5" s="108" customFormat="1" ht="12.75">
      <c r="A32" s="143" t="s">
        <v>92</v>
      </c>
      <c r="B32" s="358" t="s">
        <v>93</v>
      </c>
      <c r="C32" s="96">
        <f>SUM(C18:C31)</f>
        <v>388598</v>
      </c>
      <c r="D32" s="96">
        <f>SUM(D18:D31)</f>
        <v>331333</v>
      </c>
      <c r="E32" s="96">
        <f>SUM(E18:E31)</f>
        <v>249159</v>
      </c>
    </row>
    <row r="33" spans="1:5" s="108" customFormat="1" ht="12.75">
      <c r="A33" s="360" t="s">
        <v>94</v>
      </c>
      <c r="B33" s="358" t="s">
        <v>95</v>
      </c>
      <c r="C33" s="96">
        <f>+C32+C17+C16+C10+C9</f>
        <v>2742169</v>
      </c>
      <c r="D33" s="96">
        <f>+D32+D17+D16+D10+D9</f>
        <v>2970574</v>
      </c>
      <c r="E33" s="96">
        <f>+E32+E17+E16+E10+E9</f>
        <v>2678780</v>
      </c>
    </row>
    <row r="34" spans="1:5" ht="12.75">
      <c r="A34" s="57" t="s">
        <v>96</v>
      </c>
      <c r="B34" s="46" t="s">
        <v>97</v>
      </c>
      <c r="C34" s="24"/>
      <c r="D34" s="24">
        <v>8052</v>
      </c>
      <c r="E34" s="103">
        <f>+'2 Össz'!E34</f>
        <v>843</v>
      </c>
    </row>
    <row r="35" spans="1:5" ht="12.75">
      <c r="A35" s="57" t="s">
        <v>98</v>
      </c>
      <c r="B35" s="46" t="s">
        <v>99</v>
      </c>
      <c r="C35" s="24">
        <v>71855</v>
      </c>
      <c r="D35" s="24">
        <v>27471</v>
      </c>
      <c r="E35" s="103">
        <f>+'2 Össz'!E35</f>
        <v>3150</v>
      </c>
    </row>
    <row r="36" spans="1:5" ht="12.75">
      <c r="A36" s="57" t="s">
        <v>100</v>
      </c>
      <c r="B36" s="46" t="s">
        <v>101</v>
      </c>
      <c r="C36" s="24"/>
      <c r="D36" s="24">
        <v>4869</v>
      </c>
      <c r="E36" s="103">
        <f>+'2 Össz'!E36</f>
        <v>2199</v>
      </c>
    </row>
    <row r="37" spans="1:5" ht="12.75">
      <c r="A37" s="57" t="s">
        <v>102</v>
      </c>
      <c r="B37" s="46" t="s">
        <v>103</v>
      </c>
      <c r="C37" s="24"/>
      <c r="D37" s="24">
        <v>48496</v>
      </c>
      <c r="E37" s="103">
        <f>+'2 Össz'!E37</f>
        <v>61256</v>
      </c>
    </row>
    <row r="38" spans="1:5" ht="12.75">
      <c r="A38" s="58" t="s">
        <v>104</v>
      </c>
      <c r="B38" s="46" t="s">
        <v>105</v>
      </c>
      <c r="C38" s="24"/>
      <c r="D38" s="24"/>
      <c r="E38" s="103">
        <f>+'2 Össz'!E38</f>
        <v>0</v>
      </c>
    </row>
    <row r="39" spans="1:5" ht="12.75">
      <c r="A39" s="58" t="s">
        <v>106</v>
      </c>
      <c r="B39" s="46" t="s">
        <v>107</v>
      </c>
      <c r="C39" s="24"/>
      <c r="D39" s="24">
        <v>16767</v>
      </c>
      <c r="E39" s="103">
        <f>+'2 Össz'!E39</f>
        <v>0</v>
      </c>
    </row>
    <row r="40" spans="1:5" ht="12.75">
      <c r="A40" s="58" t="s">
        <v>108</v>
      </c>
      <c r="B40" s="46" t="s">
        <v>109</v>
      </c>
      <c r="C40" s="24"/>
      <c r="D40" s="24"/>
      <c r="E40" s="103">
        <f>+'2 Össz'!E40</f>
        <v>18431</v>
      </c>
    </row>
    <row r="41" spans="1:5" s="108" customFormat="1" ht="12.75">
      <c r="A41" s="95" t="s">
        <v>110</v>
      </c>
      <c r="B41" s="358" t="s">
        <v>111</v>
      </c>
      <c r="C41" s="96">
        <f>SUM(C34:C40)</f>
        <v>71855</v>
      </c>
      <c r="D41" s="96">
        <f>SUM(D34:D40)</f>
        <v>105655</v>
      </c>
      <c r="E41" s="96">
        <f>SUM(E34:E40)</f>
        <v>85879</v>
      </c>
    </row>
    <row r="42" spans="1:5" ht="12.75">
      <c r="A42" s="60" t="s">
        <v>112</v>
      </c>
      <c r="B42" s="46" t="s">
        <v>113</v>
      </c>
      <c r="C42" s="24">
        <v>34240</v>
      </c>
      <c r="D42" s="24">
        <v>40058</v>
      </c>
      <c r="E42" s="103">
        <f>+'2 Össz'!E42</f>
        <v>1067608</v>
      </c>
    </row>
    <row r="43" spans="1:5" ht="12.75">
      <c r="A43" s="60" t="s">
        <v>114</v>
      </c>
      <c r="B43" s="46" t="s">
        <v>115</v>
      </c>
      <c r="C43" s="24"/>
      <c r="D43" s="24"/>
      <c r="E43" s="103">
        <f>+'2 Össz'!E43</f>
        <v>0</v>
      </c>
    </row>
    <row r="44" spans="1:5" ht="12.75">
      <c r="A44" s="60" t="s">
        <v>116</v>
      </c>
      <c r="B44" s="46" t="s">
        <v>117</v>
      </c>
      <c r="C44" s="24"/>
      <c r="D44" s="24">
        <v>5876</v>
      </c>
      <c r="E44" s="103">
        <f>+'2 Össz'!E44</f>
        <v>149685</v>
      </c>
    </row>
    <row r="45" spans="1:5" ht="12.75">
      <c r="A45" s="60" t="s">
        <v>118</v>
      </c>
      <c r="B45" s="46" t="s">
        <v>119</v>
      </c>
      <c r="C45" s="24"/>
      <c r="D45" s="24">
        <v>13877</v>
      </c>
      <c r="E45" s="103">
        <f>+'2 Össz'!E45</f>
        <v>355672</v>
      </c>
    </row>
    <row r="46" spans="1:5" s="108" customFormat="1" ht="12.75">
      <c r="A46" s="94" t="s">
        <v>120</v>
      </c>
      <c r="B46" s="358" t="s">
        <v>121</v>
      </c>
      <c r="C46" s="96">
        <f>SUM(C42:C45)</f>
        <v>34240</v>
      </c>
      <c r="D46" s="96">
        <f>SUM(D42:D45)</f>
        <v>59811</v>
      </c>
      <c r="E46" s="96">
        <f>SUM(E42:E45)</f>
        <v>1572965</v>
      </c>
    </row>
    <row r="47" spans="1:5" ht="12.75">
      <c r="A47" s="60" t="s">
        <v>122</v>
      </c>
      <c r="B47" s="46" t="s">
        <v>123</v>
      </c>
      <c r="C47" s="24"/>
      <c r="D47" s="24"/>
      <c r="E47" s="103">
        <f>+'2 Össz'!E47</f>
        <v>0</v>
      </c>
    </row>
    <row r="48" spans="1:5" ht="12.75">
      <c r="A48" s="60" t="s">
        <v>124</v>
      </c>
      <c r="B48" s="46" t="s">
        <v>125</v>
      </c>
      <c r="C48" s="24"/>
      <c r="D48" s="24"/>
      <c r="E48" s="103">
        <f>+'2 Össz'!E48</f>
        <v>0</v>
      </c>
    </row>
    <row r="49" spans="1:5" ht="12.75">
      <c r="A49" s="60" t="s">
        <v>126</v>
      </c>
      <c r="B49" s="46" t="s">
        <v>127</v>
      </c>
      <c r="C49" s="24"/>
      <c r="D49" s="24"/>
      <c r="E49" s="103">
        <f>+'2 Össz'!E49</f>
        <v>0</v>
      </c>
    </row>
    <row r="50" spans="1:5" ht="12.75">
      <c r="A50" s="60" t="s">
        <v>128</v>
      </c>
      <c r="B50" s="46" t="s">
        <v>129</v>
      </c>
      <c r="C50" s="24">
        <v>4885</v>
      </c>
      <c r="D50" s="24">
        <v>77816</v>
      </c>
      <c r="E50" s="103">
        <f>+'2 Össz'!E50</f>
        <v>59132</v>
      </c>
    </row>
    <row r="51" spans="1:5" ht="12.75">
      <c r="A51" s="60" t="s">
        <v>130</v>
      </c>
      <c r="B51" s="46" t="s">
        <v>131</v>
      </c>
      <c r="C51" s="24"/>
      <c r="D51" s="24"/>
      <c r="E51" s="103">
        <f>+'2 Össz'!E51</f>
        <v>0</v>
      </c>
    </row>
    <row r="52" spans="1:5" ht="12.75">
      <c r="A52" s="60" t="s">
        <v>132</v>
      </c>
      <c r="B52" s="46" t="s">
        <v>133</v>
      </c>
      <c r="C52" s="24"/>
      <c r="D52" s="24"/>
      <c r="E52" s="103">
        <f>+'2 Össz'!E52</f>
        <v>0</v>
      </c>
    </row>
    <row r="53" spans="1:5" ht="12.75">
      <c r="A53" s="60" t="s">
        <v>134</v>
      </c>
      <c r="B53" s="46" t="s">
        <v>135</v>
      </c>
      <c r="C53" s="24"/>
      <c r="D53" s="24"/>
      <c r="E53" s="103">
        <f>+'2 Össz'!E53</f>
        <v>0</v>
      </c>
    </row>
    <row r="54" spans="1:5" ht="12.75">
      <c r="A54" s="60" t="s">
        <v>136</v>
      </c>
      <c r="B54" s="46" t="s">
        <v>137</v>
      </c>
      <c r="C54" s="24"/>
      <c r="D54" s="24"/>
      <c r="E54" s="103">
        <f>+'2 Össz'!E54</f>
        <v>0</v>
      </c>
    </row>
    <row r="55" spans="1:5" ht="12.75">
      <c r="A55" s="60" t="s">
        <v>138</v>
      </c>
      <c r="B55" s="46" t="s">
        <v>139</v>
      </c>
      <c r="C55" s="24"/>
      <c r="D55" s="24">
        <v>3000</v>
      </c>
      <c r="E55" s="103">
        <f>+'2 Össz'!E55</f>
        <v>3000</v>
      </c>
    </row>
    <row r="56" spans="1:5" s="108" customFormat="1" ht="12.75">
      <c r="A56" s="143" t="s">
        <v>140</v>
      </c>
      <c r="B56" s="358" t="s">
        <v>141</v>
      </c>
      <c r="C56" s="96">
        <f>SUM(C47:C55)</f>
        <v>4885</v>
      </c>
      <c r="D56" s="96">
        <f>SUM(D47:D55)</f>
        <v>80816</v>
      </c>
      <c r="E56" s="96">
        <f>SUM(E47:E55)</f>
        <v>62132</v>
      </c>
    </row>
    <row r="57" spans="1:5" s="108" customFormat="1" ht="12.75">
      <c r="A57" s="360" t="s">
        <v>142</v>
      </c>
      <c r="B57" s="358" t="s">
        <v>143</v>
      </c>
      <c r="C57" s="96">
        <f>+C56+C46+C41</f>
        <v>110980</v>
      </c>
      <c r="D57" s="96">
        <f>+D56+D46+D41</f>
        <v>246282</v>
      </c>
      <c r="E57" s="96">
        <f>+E56+E46+E41</f>
        <v>1720976</v>
      </c>
    </row>
    <row r="58" spans="1:5" s="108" customFormat="1" ht="12.75">
      <c r="A58" s="95" t="s">
        <v>144</v>
      </c>
      <c r="B58" s="358" t="s">
        <v>145</v>
      </c>
      <c r="C58" s="96">
        <f>+C56+C46+C41+C32+C17+C16+C10+C9</f>
        <v>2853149</v>
      </c>
      <c r="D58" s="96">
        <f>+D56+D46+D41+D32+D17+D16+D10+D9</f>
        <v>3216856</v>
      </c>
      <c r="E58" s="96">
        <f>+E56+E46+E41+E32+E17+E16+E10+E9</f>
        <v>4399756</v>
      </c>
    </row>
    <row r="59" spans="1:5" ht="12.75">
      <c r="A59" s="60" t="s">
        <v>146</v>
      </c>
      <c r="B59" s="47" t="s">
        <v>147</v>
      </c>
      <c r="C59" s="24">
        <f>32976+20125</f>
        <v>53101</v>
      </c>
      <c r="D59" s="24">
        <v>105887</v>
      </c>
      <c r="E59" s="103">
        <f>+'2 Össz'!E59</f>
        <v>0</v>
      </c>
    </row>
    <row r="60" spans="1:5" ht="12.75">
      <c r="A60" s="60" t="s">
        <v>148</v>
      </c>
      <c r="B60" s="47" t="s">
        <v>149</v>
      </c>
      <c r="C60" s="24"/>
      <c r="D60" s="24"/>
      <c r="E60" s="103">
        <f>+'2 Össz'!E60</f>
        <v>0</v>
      </c>
    </row>
    <row r="61" spans="1:5" ht="12.75">
      <c r="A61" s="60" t="s">
        <v>150</v>
      </c>
      <c r="B61" s="47" t="s">
        <v>151</v>
      </c>
      <c r="C61" s="24">
        <f>4320+617691-8930</f>
        <v>613081</v>
      </c>
      <c r="D61" s="24">
        <v>205809</v>
      </c>
      <c r="E61" s="103">
        <f>+'2 Össz'!E61</f>
        <v>88500</v>
      </c>
    </row>
    <row r="62" spans="1:5" s="108" customFormat="1" ht="12.75">
      <c r="A62" s="143" t="s">
        <v>152</v>
      </c>
      <c r="B62" s="94" t="s">
        <v>153</v>
      </c>
      <c r="C62" s="361">
        <f>SUM(C59:C61)</f>
        <v>666182</v>
      </c>
      <c r="D62" s="361">
        <f>SUM(D59:D61)</f>
        <v>311696</v>
      </c>
      <c r="E62" s="361">
        <f>SUM(E59:E61)</f>
        <v>88500</v>
      </c>
    </row>
    <row r="63" spans="1:5" ht="12.75">
      <c r="A63" s="68" t="s">
        <v>154</v>
      </c>
      <c r="B63" s="47" t="s">
        <v>155</v>
      </c>
      <c r="C63" s="24"/>
      <c r="D63" s="24"/>
      <c r="E63" s="103">
        <f>+'2 Össz'!E63</f>
        <v>0</v>
      </c>
    </row>
    <row r="64" spans="1:5" ht="12.75">
      <c r="A64" s="68" t="s">
        <v>156</v>
      </c>
      <c r="B64" s="47" t="s">
        <v>157</v>
      </c>
      <c r="C64" s="24"/>
      <c r="D64" s="24"/>
      <c r="E64" s="103">
        <f>+'2 Össz'!E64</f>
        <v>0</v>
      </c>
    </row>
    <row r="65" spans="1:5" ht="12.75">
      <c r="A65" s="68" t="s">
        <v>158</v>
      </c>
      <c r="B65" s="47" t="s">
        <v>159</v>
      </c>
      <c r="C65" s="24"/>
      <c r="D65" s="24"/>
      <c r="E65" s="103">
        <f>+'2 Össz'!E65</f>
        <v>0</v>
      </c>
    </row>
    <row r="66" spans="1:5" ht="12.75">
      <c r="A66" s="68" t="s">
        <v>160</v>
      </c>
      <c r="B66" s="47" t="s">
        <v>161</v>
      </c>
      <c r="C66" s="24"/>
      <c r="D66" s="24"/>
      <c r="E66" s="103">
        <f>+'2 Össz'!E66</f>
        <v>0</v>
      </c>
    </row>
    <row r="67" spans="1:5" s="108" customFormat="1" ht="12.75">
      <c r="A67" s="68" t="s">
        <v>162</v>
      </c>
      <c r="B67" s="47" t="s">
        <v>163</v>
      </c>
      <c r="C67" s="24"/>
      <c r="D67" s="24"/>
      <c r="E67" s="103">
        <f>+'2 Össz'!E67</f>
        <v>0</v>
      </c>
    </row>
    <row r="68" spans="1:5" ht="12.75">
      <c r="A68" s="68" t="s">
        <v>164</v>
      </c>
      <c r="B68" s="47" t="s">
        <v>165</v>
      </c>
      <c r="C68" s="24"/>
      <c r="D68" s="24"/>
      <c r="E68" s="103">
        <f>+'2 Össz'!E68</f>
        <v>0</v>
      </c>
    </row>
    <row r="69" spans="1:5" ht="12.75">
      <c r="A69" s="68" t="s">
        <v>166</v>
      </c>
      <c r="B69" s="47" t="s">
        <v>167</v>
      </c>
      <c r="C69" s="24"/>
      <c r="D69" s="24"/>
      <c r="E69" s="103">
        <f>+'2 Össz'!E69</f>
        <v>0</v>
      </c>
    </row>
    <row r="70" spans="1:5" ht="12.75">
      <c r="A70" s="68" t="s">
        <v>168</v>
      </c>
      <c r="B70" s="47" t="s">
        <v>169</v>
      </c>
      <c r="C70" s="24"/>
      <c r="D70" s="24"/>
      <c r="E70" s="103">
        <f>+'2 Össz'!E70</f>
        <v>0</v>
      </c>
    </row>
    <row r="71" spans="1:5" ht="12.75">
      <c r="A71" s="362" t="s">
        <v>170</v>
      </c>
      <c r="B71" s="94" t="s">
        <v>171</v>
      </c>
      <c r="C71" s="107">
        <f>SUM(C62:C70)</f>
        <v>666182</v>
      </c>
      <c r="D71" s="107">
        <f>SUM(D62:D70)</f>
        <v>311696</v>
      </c>
      <c r="E71" s="107">
        <f>SUM(E62:E70)</f>
        <v>88500</v>
      </c>
    </row>
    <row r="72" spans="1:5" ht="12.75">
      <c r="A72" s="68" t="s">
        <v>172</v>
      </c>
      <c r="B72" s="47" t="s">
        <v>173</v>
      </c>
      <c r="C72" s="24"/>
      <c r="D72" s="24"/>
      <c r="E72" s="103">
        <f>+'2 Össz'!E72</f>
        <v>0</v>
      </c>
    </row>
    <row r="73" spans="1:5" ht="12.75">
      <c r="A73" s="60" t="s">
        <v>174</v>
      </c>
      <c r="B73" s="47" t="s">
        <v>175</v>
      </c>
      <c r="C73" s="24"/>
      <c r="D73" s="24"/>
      <c r="E73" s="103">
        <f>+'2 Össz'!E73</f>
        <v>0</v>
      </c>
    </row>
    <row r="74" spans="1:5" s="108" customFormat="1" ht="12.75">
      <c r="A74" s="60" t="s">
        <v>176</v>
      </c>
      <c r="B74" s="47" t="s">
        <v>177</v>
      </c>
      <c r="C74" s="24"/>
      <c r="D74" s="24"/>
      <c r="E74" s="103">
        <f>+'2 Össz'!E74</f>
        <v>0</v>
      </c>
    </row>
    <row r="75" spans="1:5" s="108" customFormat="1" ht="12.75">
      <c r="A75" s="362" t="s">
        <v>178</v>
      </c>
      <c r="B75" s="94" t="s">
        <v>179</v>
      </c>
      <c r="C75" s="363">
        <f>+C73+C72+C71+C74</f>
        <v>666182</v>
      </c>
      <c r="D75" s="363">
        <f>+D73+D72+D71+D74</f>
        <v>311696</v>
      </c>
      <c r="E75" s="363">
        <f>+E73+E72+E71+E74</f>
        <v>88500</v>
      </c>
    </row>
    <row r="76" spans="1:5" s="108" customFormat="1" ht="12.75">
      <c r="A76" s="116" t="s">
        <v>180</v>
      </c>
      <c r="B76" s="116" t="s">
        <v>181</v>
      </c>
      <c r="C76" s="96">
        <f>+C58+C75</f>
        <v>3519331</v>
      </c>
      <c r="D76" s="96">
        <f>+D58+D75</f>
        <v>3528552</v>
      </c>
      <c r="E76" s="96">
        <f>+E58+E75</f>
        <v>4488256</v>
      </c>
    </row>
    <row r="77" spans="2:5" ht="12.75">
      <c r="B77" s="76"/>
      <c r="C77" s="77"/>
      <c r="D77" s="77"/>
      <c r="E77" s="364"/>
    </row>
    <row r="78" spans="2:5" ht="12.75">
      <c r="B78" s="76"/>
      <c r="C78" s="77"/>
      <c r="D78" s="77"/>
      <c r="E78" s="364"/>
    </row>
    <row r="79" spans="1:5" ht="12.75">
      <c r="A79" s="19" t="s">
        <v>15</v>
      </c>
      <c r="B79" s="42" t="s">
        <v>182</v>
      </c>
      <c r="C79" s="43" t="s">
        <v>791</v>
      </c>
      <c r="D79" s="43" t="s">
        <v>792</v>
      </c>
      <c r="E79" s="357" t="s">
        <v>793</v>
      </c>
    </row>
    <row r="80" spans="1:5" ht="12.75">
      <c r="A80" s="45" t="s">
        <v>183</v>
      </c>
      <c r="B80" s="58" t="s">
        <v>184</v>
      </c>
      <c r="C80" s="24">
        <f>168427+167677</f>
        <v>336104</v>
      </c>
      <c r="D80" s="24">
        <v>269625</v>
      </c>
      <c r="E80" s="103">
        <f>+'2 Össz'!E80</f>
        <v>242088</v>
      </c>
    </row>
    <row r="81" spans="1:5" ht="12.75">
      <c r="A81" s="47" t="s">
        <v>185</v>
      </c>
      <c r="B81" s="58" t="s">
        <v>186</v>
      </c>
      <c r="C81" s="24">
        <v>286473</v>
      </c>
      <c r="D81" s="24">
        <v>168485</v>
      </c>
      <c r="E81" s="103">
        <f>+'2 Össz'!E81</f>
        <v>270670</v>
      </c>
    </row>
    <row r="82" spans="1:5" ht="12.75">
      <c r="A82" s="47" t="s">
        <v>187</v>
      </c>
      <c r="B82" s="58" t="s">
        <v>188</v>
      </c>
      <c r="C82" s="24">
        <f>138936+178972</f>
        <v>317908</v>
      </c>
      <c r="D82" s="24">
        <v>518748</v>
      </c>
      <c r="E82" s="103">
        <f>+'2 Össz'!E82</f>
        <v>356931</v>
      </c>
    </row>
    <row r="83" spans="1:5" ht="12.75">
      <c r="A83" s="47" t="s">
        <v>189</v>
      </c>
      <c r="B83" s="58" t="s">
        <v>190</v>
      </c>
      <c r="C83" s="24">
        <v>13194</v>
      </c>
      <c r="D83" s="24">
        <v>13093</v>
      </c>
      <c r="E83" s="103">
        <f>+'2 Össz'!E83</f>
        <v>13012</v>
      </c>
    </row>
    <row r="84" spans="1:5" ht="12.75">
      <c r="A84" s="47" t="s">
        <v>794</v>
      </c>
      <c r="B84" s="58" t="s">
        <v>192</v>
      </c>
      <c r="C84" s="24">
        <f>231378-C83</f>
        <v>218184</v>
      </c>
      <c r="D84" s="24">
        <v>149310</v>
      </c>
      <c r="E84" s="103">
        <f>+'2 Össz'!E84</f>
        <v>180671</v>
      </c>
    </row>
    <row r="85" spans="1:5" ht="12.75">
      <c r="A85" s="47" t="s">
        <v>795</v>
      </c>
      <c r="B85" s="58" t="s">
        <v>194</v>
      </c>
      <c r="C85" s="24">
        <v>109000</v>
      </c>
      <c r="D85" s="24">
        <v>208296</v>
      </c>
      <c r="E85" s="103">
        <f>+'2 Össz'!E85</f>
        <v>0</v>
      </c>
    </row>
    <row r="86" spans="1:5" s="108" customFormat="1" ht="12.75">
      <c r="A86" s="94" t="s">
        <v>195</v>
      </c>
      <c r="B86" s="95" t="s">
        <v>196</v>
      </c>
      <c r="C86" s="96">
        <f>SUM(C80:C85)</f>
        <v>1280863</v>
      </c>
      <c r="D86" s="96">
        <f>SUM(D80:D85)</f>
        <v>1327557</v>
      </c>
      <c r="E86" s="96">
        <f>SUM(E80:E85)</f>
        <v>1063372</v>
      </c>
    </row>
    <row r="87" spans="1:5" ht="12.75">
      <c r="A87" s="47" t="s">
        <v>197</v>
      </c>
      <c r="B87" s="58" t="s">
        <v>198</v>
      </c>
      <c r="C87" s="24"/>
      <c r="D87" s="24">
        <v>3004</v>
      </c>
      <c r="E87" s="103">
        <f>+'2 Össz'!E87</f>
        <v>0</v>
      </c>
    </row>
    <row r="88" spans="1:5" ht="12.75">
      <c r="A88" s="47" t="s">
        <v>199</v>
      </c>
      <c r="B88" s="58" t="s">
        <v>200</v>
      </c>
      <c r="C88" s="24"/>
      <c r="D88" s="24"/>
      <c r="E88" s="103">
        <f>+'2 Össz'!E88</f>
        <v>0</v>
      </c>
    </row>
    <row r="89" spans="1:5" ht="12.75">
      <c r="A89" s="47" t="s">
        <v>201</v>
      </c>
      <c r="B89" s="58" t="s">
        <v>202</v>
      </c>
      <c r="C89" s="24"/>
      <c r="D89" s="24"/>
      <c r="E89" s="103">
        <f>+'2 Össz'!E89</f>
        <v>0</v>
      </c>
    </row>
    <row r="90" spans="1:5" ht="12.75">
      <c r="A90" s="47" t="s">
        <v>203</v>
      </c>
      <c r="B90" s="58" t="s">
        <v>204</v>
      </c>
      <c r="C90" s="24"/>
      <c r="D90" s="24"/>
      <c r="E90" s="103">
        <f>+'2 Össz'!E90</f>
        <v>0</v>
      </c>
    </row>
    <row r="91" spans="1:5" ht="12.75">
      <c r="A91" s="47" t="s">
        <v>205</v>
      </c>
      <c r="B91" s="58" t="s">
        <v>206</v>
      </c>
      <c r="C91" s="24">
        <v>593635</v>
      </c>
      <c r="D91" s="24">
        <v>671550</v>
      </c>
      <c r="E91" s="103">
        <f>+'2 Össz'!E91</f>
        <v>633365</v>
      </c>
    </row>
    <row r="92" spans="1:5" s="108" customFormat="1" ht="12.75">
      <c r="A92" s="94" t="s">
        <v>207</v>
      </c>
      <c r="B92" s="95" t="s">
        <v>208</v>
      </c>
      <c r="C92" s="96">
        <f>+C91+C90+C89+C88+C87+C86</f>
        <v>1874498</v>
      </c>
      <c r="D92" s="96">
        <f>+D91+D90+D89+D88+D87+D86</f>
        <v>2002111</v>
      </c>
      <c r="E92" s="96">
        <f>+E91+E90+E89+E88+E87+E86</f>
        <v>1696737</v>
      </c>
    </row>
    <row r="93" spans="1:5" s="27" customFormat="1" ht="12.75">
      <c r="A93" s="50" t="s">
        <v>209</v>
      </c>
      <c r="B93" s="59" t="s">
        <v>210</v>
      </c>
      <c r="C93" s="25">
        <f>64851-7645-19862</f>
        <v>37344</v>
      </c>
      <c r="D93" s="25">
        <v>180678</v>
      </c>
      <c r="E93" s="359">
        <f>+'2 Össz'!E93</f>
        <v>1631106</v>
      </c>
    </row>
    <row r="94" spans="1:5" ht="12.75">
      <c r="A94" s="47" t="s">
        <v>211</v>
      </c>
      <c r="B94" s="58" t="s">
        <v>212</v>
      </c>
      <c r="C94" s="24"/>
      <c r="D94" s="24"/>
      <c r="E94" s="103">
        <f>+'2 Össz'!E94</f>
        <v>0</v>
      </c>
    </row>
    <row r="95" spans="1:5" ht="12.75">
      <c r="A95" s="47" t="s">
        <v>213</v>
      </c>
      <c r="B95" s="58" t="s">
        <v>214</v>
      </c>
      <c r="C95" s="24"/>
      <c r="D95" s="24"/>
      <c r="E95" s="103">
        <f>+'2 Össz'!E95</f>
        <v>0</v>
      </c>
    </row>
    <row r="96" spans="1:5" ht="12.75">
      <c r="A96" s="47" t="s">
        <v>215</v>
      </c>
      <c r="B96" s="58" t="s">
        <v>216</v>
      </c>
      <c r="C96" s="24"/>
      <c r="D96" s="24"/>
      <c r="E96" s="103">
        <f>+'2 Össz'!E96</f>
        <v>0</v>
      </c>
    </row>
    <row r="97" spans="1:5" ht="12.75">
      <c r="A97" s="47" t="s">
        <v>217</v>
      </c>
      <c r="B97" s="58" t="s">
        <v>218</v>
      </c>
      <c r="C97" s="24">
        <v>99618</v>
      </c>
      <c r="D97" s="24">
        <v>103044</v>
      </c>
      <c r="E97" s="103">
        <f>+'2 Össz'!E97</f>
        <v>96750</v>
      </c>
    </row>
    <row r="98" spans="1:5" ht="12.75">
      <c r="A98" s="47" t="s">
        <v>219</v>
      </c>
      <c r="B98" s="58" t="s">
        <v>220</v>
      </c>
      <c r="C98" s="24">
        <v>285050</v>
      </c>
      <c r="D98" s="24">
        <v>282232</v>
      </c>
      <c r="E98" s="103">
        <f>+'2 Össz'!E98</f>
        <v>257450</v>
      </c>
    </row>
    <row r="99" spans="1:5" ht="12.75">
      <c r="A99" s="47" t="s">
        <v>221</v>
      </c>
      <c r="B99" s="58" t="s">
        <v>222</v>
      </c>
      <c r="C99" s="24">
        <f>3181+150+2203</f>
        <v>5534</v>
      </c>
      <c r="D99" s="24">
        <v>5787</v>
      </c>
      <c r="E99" s="103">
        <f>+'2 Össz'!E99</f>
        <v>3500</v>
      </c>
    </row>
    <row r="100" spans="1:5" s="108" customFormat="1" ht="12.75">
      <c r="A100" s="94" t="s">
        <v>223</v>
      </c>
      <c r="B100" s="95" t="s">
        <v>224</v>
      </c>
      <c r="C100" s="96">
        <f>SUM(C94:C99)</f>
        <v>390202</v>
      </c>
      <c r="D100" s="96">
        <f>SUM(D94:D99)</f>
        <v>391063</v>
      </c>
      <c r="E100" s="96">
        <f>SUM(E94:E99)</f>
        <v>357700</v>
      </c>
    </row>
    <row r="101" spans="1:5" ht="12.75">
      <c r="A101" s="60" t="s">
        <v>585</v>
      </c>
      <c r="B101" s="58" t="s">
        <v>226</v>
      </c>
      <c r="C101" s="24"/>
      <c r="D101" s="24">
        <v>46</v>
      </c>
      <c r="E101" s="103">
        <f>+'2 Össz'!E101</f>
        <v>850</v>
      </c>
    </row>
    <row r="102" spans="1:5" ht="12.75">
      <c r="A102" s="60" t="s">
        <v>227</v>
      </c>
      <c r="B102" s="58" t="s">
        <v>228</v>
      </c>
      <c r="C102" s="24">
        <f>405507-C105</f>
        <v>159958</v>
      </c>
      <c r="D102" s="24">
        <v>260693</v>
      </c>
      <c r="E102" s="103">
        <f>+'2 Össz'!E102</f>
        <v>229662</v>
      </c>
    </row>
    <row r="103" spans="1:5" ht="12.75">
      <c r="A103" s="60" t="s">
        <v>229</v>
      </c>
      <c r="B103" s="58" t="s">
        <v>230</v>
      </c>
      <c r="C103" s="24"/>
      <c r="D103" s="24">
        <v>824</v>
      </c>
      <c r="E103" s="103">
        <f>+'2 Össz'!E103</f>
        <v>1670</v>
      </c>
    </row>
    <row r="104" spans="1:5" ht="12.75">
      <c r="A104" s="60" t="s">
        <v>231</v>
      </c>
      <c r="B104" s="58" t="s">
        <v>232</v>
      </c>
      <c r="C104" s="24"/>
      <c r="D104" s="24">
        <v>25425</v>
      </c>
      <c r="E104" s="103">
        <f>+'2 Össz'!E104</f>
        <v>5173</v>
      </c>
    </row>
    <row r="105" spans="1:5" ht="12.75">
      <c r="A105" s="60" t="s">
        <v>233</v>
      </c>
      <c r="B105" s="58" t="s">
        <v>234</v>
      </c>
      <c r="C105" s="24">
        <v>245549</v>
      </c>
      <c r="D105" s="24">
        <v>159626</v>
      </c>
      <c r="E105" s="103">
        <f>+'2 Össz'!E105</f>
        <v>168655</v>
      </c>
    </row>
    <row r="106" spans="1:5" ht="12.75">
      <c r="A106" s="60" t="s">
        <v>235</v>
      </c>
      <c r="B106" s="58" t="s">
        <v>236</v>
      </c>
      <c r="C106" s="24"/>
      <c r="D106" s="24">
        <v>34881</v>
      </c>
      <c r="E106" s="103">
        <f>+'2 Össz'!E106</f>
        <v>30627</v>
      </c>
    </row>
    <row r="107" spans="1:5" ht="12.75">
      <c r="A107" s="60" t="s">
        <v>237</v>
      </c>
      <c r="B107" s="58" t="s">
        <v>238</v>
      </c>
      <c r="C107" s="24"/>
      <c r="D107" s="24"/>
      <c r="E107" s="103">
        <f>+'2 Össz'!E107</f>
        <v>0</v>
      </c>
    </row>
    <row r="108" spans="1:5" ht="12.75">
      <c r="A108" s="60" t="s">
        <v>239</v>
      </c>
      <c r="B108" s="58" t="s">
        <v>240</v>
      </c>
      <c r="C108" s="24">
        <v>3011</v>
      </c>
      <c r="D108" s="24">
        <v>33</v>
      </c>
      <c r="E108" s="103">
        <f>+'2 Össz'!E108</f>
        <v>2050</v>
      </c>
    </row>
    <row r="109" spans="1:5" ht="12.75">
      <c r="A109" s="60" t="s">
        <v>241</v>
      </c>
      <c r="B109" s="58" t="s">
        <v>242</v>
      </c>
      <c r="C109" s="24"/>
      <c r="D109" s="24"/>
      <c r="E109" s="103">
        <f>+'2 Össz'!E109</f>
        <v>0</v>
      </c>
    </row>
    <row r="110" spans="1:5" ht="12.75">
      <c r="A110" s="60" t="s">
        <v>243</v>
      </c>
      <c r="B110" s="58" t="s">
        <v>244</v>
      </c>
      <c r="C110" s="24"/>
      <c r="D110" s="24"/>
      <c r="E110" s="103">
        <f>+'2 Össz'!E110</f>
        <v>0</v>
      </c>
    </row>
    <row r="111" spans="1:5" ht="12.75">
      <c r="A111" s="60" t="s">
        <v>245</v>
      </c>
      <c r="B111" s="58" t="s">
        <v>246</v>
      </c>
      <c r="C111" s="24"/>
      <c r="D111" s="24">
        <v>4456</v>
      </c>
      <c r="E111" s="103">
        <f>+'2 Össz'!E111</f>
        <v>340</v>
      </c>
    </row>
    <row r="112" spans="1:5" s="108" customFormat="1" ht="12.75">
      <c r="A112" s="143" t="s">
        <v>247</v>
      </c>
      <c r="B112" s="95" t="s">
        <v>248</v>
      </c>
      <c r="C112" s="96">
        <f>SUM(C101:C111)</f>
        <v>408518</v>
      </c>
      <c r="D112" s="96">
        <f>SUM(D101:D111)</f>
        <v>485984</v>
      </c>
      <c r="E112" s="96">
        <f>SUM(E101:E111)</f>
        <v>439027</v>
      </c>
    </row>
    <row r="113" spans="1:5" ht="12.75">
      <c r="A113" s="60" t="s">
        <v>249</v>
      </c>
      <c r="B113" s="58" t="s">
        <v>250</v>
      </c>
      <c r="C113" s="24"/>
      <c r="D113" s="24"/>
      <c r="E113" s="103">
        <f>+'2 Össz'!E113</f>
        <v>0</v>
      </c>
    </row>
    <row r="114" spans="1:5" ht="12.75">
      <c r="A114" s="60" t="s">
        <v>251</v>
      </c>
      <c r="B114" s="58" t="s">
        <v>252</v>
      </c>
      <c r="C114" s="24">
        <v>7645</v>
      </c>
      <c r="D114" s="24">
        <v>23428</v>
      </c>
      <c r="E114" s="103">
        <f>+'2 Össz'!E114</f>
        <v>57608</v>
      </c>
    </row>
    <row r="115" spans="1:5" ht="12.75">
      <c r="A115" s="60" t="s">
        <v>253</v>
      </c>
      <c r="B115" s="58" t="s">
        <v>254</v>
      </c>
      <c r="C115" s="24"/>
      <c r="D115" s="24">
        <v>278</v>
      </c>
      <c r="E115" s="103">
        <f>+'2 Össz'!E115</f>
        <v>0</v>
      </c>
    </row>
    <row r="116" spans="1:5" ht="12.75">
      <c r="A116" s="60" t="s">
        <v>255</v>
      </c>
      <c r="B116" s="58" t="s">
        <v>256</v>
      </c>
      <c r="C116" s="24"/>
      <c r="D116" s="24"/>
      <c r="E116" s="103">
        <f>+'2 Össz'!E116</f>
        <v>0</v>
      </c>
    </row>
    <row r="117" spans="1:5" ht="12.75">
      <c r="A117" s="60" t="s">
        <v>257</v>
      </c>
      <c r="B117" s="58" t="s">
        <v>258</v>
      </c>
      <c r="C117" s="24"/>
      <c r="D117" s="24"/>
      <c r="E117" s="103">
        <f>+'2 Össz'!E117</f>
        <v>0</v>
      </c>
    </row>
    <row r="118" spans="1:5" s="108" customFormat="1" ht="12.75">
      <c r="A118" s="94" t="s">
        <v>259</v>
      </c>
      <c r="B118" s="95" t="s">
        <v>260</v>
      </c>
      <c r="C118" s="96">
        <f>SUM(C113:C117)</f>
        <v>7645</v>
      </c>
      <c r="D118" s="96">
        <f>SUM(D113:D117)</f>
        <v>23706</v>
      </c>
      <c r="E118" s="96">
        <f>SUM(E113:E117)</f>
        <v>57608</v>
      </c>
    </row>
    <row r="119" spans="1:5" s="27" customFormat="1" ht="12.75">
      <c r="A119" s="50" t="s">
        <v>261</v>
      </c>
      <c r="B119" s="59" t="s">
        <v>262</v>
      </c>
      <c r="C119" s="25">
        <v>161752</v>
      </c>
      <c r="D119" s="25">
        <v>17366</v>
      </c>
      <c r="E119" s="359">
        <f>+'2 Össz'!E119</f>
        <v>16883</v>
      </c>
    </row>
    <row r="120" spans="1:5" ht="12.75">
      <c r="A120" s="60" t="s">
        <v>263</v>
      </c>
      <c r="B120" s="58" t="s">
        <v>264</v>
      </c>
      <c r="C120" s="24"/>
      <c r="D120" s="24"/>
      <c r="E120" s="103">
        <f>+'2 Össz'!E120</f>
        <v>0</v>
      </c>
    </row>
    <row r="121" spans="1:5" ht="12.75">
      <c r="A121" s="47" t="s">
        <v>269</v>
      </c>
      <c r="B121" s="58" t="s">
        <v>266</v>
      </c>
      <c r="C121" s="24"/>
      <c r="D121" s="24">
        <v>2877</v>
      </c>
      <c r="E121" s="103">
        <f>+'2 Össz'!E121</f>
        <v>0</v>
      </c>
    </row>
    <row r="122" spans="1:5" ht="12.75">
      <c r="A122" s="60" t="s">
        <v>267</v>
      </c>
      <c r="B122" s="58" t="s">
        <v>268</v>
      </c>
      <c r="C122" s="24"/>
      <c r="D122" s="24"/>
      <c r="E122" s="103">
        <f>+'2 Össz'!E122</f>
        <v>0</v>
      </c>
    </row>
    <row r="123" spans="1:5" ht="12.75">
      <c r="A123" s="60" t="s">
        <v>269</v>
      </c>
      <c r="B123" s="58" t="s">
        <v>270</v>
      </c>
      <c r="C123" s="24"/>
      <c r="D123" s="24"/>
      <c r="E123" s="103">
        <f>+'2 Össz'!E123</f>
        <v>0</v>
      </c>
    </row>
    <row r="124" spans="1:5" ht="12.75">
      <c r="A124" s="60" t="s">
        <v>271</v>
      </c>
      <c r="B124" s="58" t="s">
        <v>272</v>
      </c>
      <c r="C124" s="24">
        <v>19862</v>
      </c>
      <c r="D124" s="24">
        <v>0</v>
      </c>
      <c r="E124" s="103">
        <f>+'2 Össz'!E124</f>
        <v>32262</v>
      </c>
    </row>
    <row r="125" spans="1:5" s="108" customFormat="1" ht="12.75">
      <c r="A125" s="94" t="s">
        <v>273</v>
      </c>
      <c r="B125" s="95" t="s">
        <v>274</v>
      </c>
      <c r="C125" s="96">
        <f>SUM(C120:C124)</f>
        <v>19862</v>
      </c>
      <c r="D125" s="96">
        <f>SUM(D120:D124)</f>
        <v>2877</v>
      </c>
      <c r="E125" s="96">
        <f>SUM(E120:E124)</f>
        <v>32262</v>
      </c>
    </row>
    <row r="126" spans="1:5" s="108" customFormat="1" ht="12.75">
      <c r="A126" s="143" t="s">
        <v>275</v>
      </c>
      <c r="B126" s="95" t="s">
        <v>276</v>
      </c>
      <c r="C126" s="96">
        <f>+C125+C119+C118+C112+C100+C93+C92</f>
        <v>2899821</v>
      </c>
      <c r="D126" s="96">
        <f>+D125+D119+D118+D112+D100+D93+D92</f>
        <v>3103785</v>
      </c>
      <c r="E126" s="96">
        <f>+E125+E119+E118+E112+E100+E93+E92</f>
        <v>4231323</v>
      </c>
    </row>
    <row r="127" spans="1:5" s="108" customFormat="1" ht="12.75">
      <c r="A127" s="365" t="s">
        <v>277</v>
      </c>
      <c r="B127" s="123"/>
      <c r="C127" s="124">
        <f>+C119+C112+C100+C92-C33</f>
        <v>92801</v>
      </c>
      <c r="D127" s="124">
        <f>+D119+D112+D100+D92-D33</f>
        <v>-74050</v>
      </c>
      <c r="E127" s="124">
        <f>+E119+E112+E100+E92-E33</f>
        <v>-168433</v>
      </c>
    </row>
    <row r="128" spans="1:5" s="108" customFormat="1" ht="12.75">
      <c r="A128" s="365" t="s">
        <v>278</v>
      </c>
      <c r="B128" s="123"/>
      <c r="C128" s="124">
        <f>+C125+C118+C93-C57</f>
        <v>-46129</v>
      </c>
      <c r="D128" s="124">
        <f>+D125+D118+D93-D57</f>
        <v>-39021</v>
      </c>
      <c r="E128" s="124">
        <f>+E125+E118+E93-E57</f>
        <v>0</v>
      </c>
    </row>
    <row r="129" spans="1:5" ht="12.75">
      <c r="A129" s="68" t="s">
        <v>279</v>
      </c>
      <c r="B129" s="47" t="s">
        <v>280</v>
      </c>
      <c r="C129" s="24"/>
      <c r="D129" s="24">
        <v>33038</v>
      </c>
      <c r="E129" s="103">
        <f>+'2 Össz'!E129</f>
        <v>0</v>
      </c>
    </row>
    <row r="130" spans="1:5" ht="12.75">
      <c r="A130" s="60" t="s">
        <v>716</v>
      </c>
      <c r="B130" s="47" t="s">
        <v>282</v>
      </c>
      <c r="C130" s="24"/>
      <c r="D130" s="24"/>
      <c r="E130" s="103">
        <f>+'2 Össz'!E130</f>
        <v>0</v>
      </c>
    </row>
    <row r="131" spans="1:5" ht="12.75">
      <c r="A131" s="68" t="s">
        <v>283</v>
      </c>
      <c r="B131" s="47" t="s">
        <v>284</v>
      </c>
      <c r="C131" s="24">
        <f>735000+9286</f>
        <v>744286</v>
      </c>
      <c r="D131" s="24">
        <v>88500</v>
      </c>
      <c r="E131" s="103">
        <f>+'2 Össz'!E131</f>
        <v>88500</v>
      </c>
    </row>
    <row r="132" spans="1:5" s="108" customFormat="1" ht="12.75">
      <c r="A132" s="143" t="s">
        <v>720</v>
      </c>
      <c r="B132" s="94" t="s">
        <v>286</v>
      </c>
      <c r="C132" s="96">
        <f>SUM(C129:C131)</f>
        <v>744286</v>
      </c>
      <c r="D132" s="96">
        <f>SUM(D129:D131)</f>
        <v>121538</v>
      </c>
      <c r="E132" s="96">
        <f>SUM(E129:E131)</f>
        <v>88500</v>
      </c>
    </row>
    <row r="133" spans="1:5" ht="12.75">
      <c r="A133" s="60" t="s">
        <v>287</v>
      </c>
      <c r="B133" s="47" t="s">
        <v>288</v>
      </c>
      <c r="C133" s="24"/>
      <c r="D133" s="24"/>
      <c r="E133" s="103">
        <f>+'2 Össz'!E133</f>
        <v>0</v>
      </c>
    </row>
    <row r="134" spans="1:5" ht="12.75">
      <c r="A134" s="68" t="s">
        <v>722</v>
      </c>
      <c r="B134" s="47" t="s">
        <v>290</v>
      </c>
      <c r="C134" s="24"/>
      <c r="D134" s="24"/>
      <c r="E134" s="103">
        <f>+'2 Össz'!E134</f>
        <v>0</v>
      </c>
    </row>
    <row r="135" spans="1:5" ht="12.75">
      <c r="A135" s="60" t="s">
        <v>291</v>
      </c>
      <c r="B135" s="47" t="s">
        <v>292</v>
      </c>
      <c r="C135" s="24"/>
      <c r="D135" s="24"/>
      <c r="E135" s="103">
        <f>+'2 Össz'!E135</f>
        <v>0</v>
      </c>
    </row>
    <row r="136" spans="1:5" ht="12.75">
      <c r="A136" s="68" t="s">
        <v>724</v>
      </c>
      <c r="B136" s="47" t="s">
        <v>294</v>
      </c>
      <c r="C136" s="24"/>
      <c r="D136" s="24"/>
      <c r="E136" s="103">
        <f>+'2 Össz'!E136</f>
        <v>0</v>
      </c>
    </row>
    <row r="137" spans="1:5" s="108" customFormat="1" ht="12.75">
      <c r="A137" s="362" t="s">
        <v>295</v>
      </c>
      <c r="B137" s="94" t="s">
        <v>296</v>
      </c>
      <c r="C137" s="96">
        <f>SUM(C133:C136)</f>
        <v>0</v>
      </c>
      <c r="D137" s="96">
        <f>SUM(D133:D136)</f>
        <v>0</v>
      </c>
      <c r="E137" s="96">
        <f>SUM(E133:E136)</f>
        <v>0</v>
      </c>
    </row>
    <row r="138" spans="1:5" ht="12.75">
      <c r="A138" s="47" t="s">
        <v>297</v>
      </c>
      <c r="B138" s="47" t="s">
        <v>298</v>
      </c>
      <c r="C138" s="24">
        <v>129791</v>
      </c>
      <c r="D138" s="24">
        <v>250731</v>
      </c>
      <c r="E138" s="103">
        <f>+'2 Össz'!E138</f>
        <v>168433</v>
      </c>
    </row>
    <row r="139" spans="1:5" ht="12.75">
      <c r="A139" s="47" t="s">
        <v>299</v>
      </c>
      <c r="B139" s="47" t="s">
        <v>298</v>
      </c>
      <c r="C139" s="24">
        <v>63000</v>
      </c>
      <c r="D139" s="24">
        <v>26502</v>
      </c>
      <c r="E139" s="103">
        <f>+'2 Össz'!E139</f>
        <v>0</v>
      </c>
    </row>
    <row r="140" spans="1:5" ht="12.75">
      <c r="A140" s="47" t="s">
        <v>300</v>
      </c>
      <c r="B140" s="47" t="s">
        <v>301</v>
      </c>
      <c r="C140" s="24"/>
      <c r="D140" s="24"/>
      <c r="E140" s="103">
        <f>+'2 Össz'!E140</f>
        <v>0</v>
      </c>
    </row>
    <row r="141" spans="1:5" ht="12.75">
      <c r="A141" s="47" t="s">
        <v>302</v>
      </c>
      <c r="B141" s="47" t="s">
        <v>301</v>
      </c>
      <c r="C141" s="24"/>
      <c r="D141" s="24"/>
      <c r="E141" s="103">
        <f>+'2 Össz'!E141</f>
        <v>0</v>
      </c>
    </row>
    <row r="142" spans="1:5" s="108" customFormat="1" ht="12.75">
      <c r="A142" s="94" t="s">
        <v>303</v>
      </c>
      <c r="B142" s="94" t="s">
        <v>304</v>
      </c>
      <c r="C142" s="96">
        <f>SUM(C138:C141)</f>
        <v>192791</v>
      </c>
      <c r="D142" s="96">
        <f>SUM(D138:D141)</f>
        <v>277233</v>
      </c>
      <c r="E142" s="96">
        <f>SUM(E138:E141)</f>
        <v>168433</v>
      </c>
    </row>
    <row r="143" spans="1:5" ht="12.75">
      <c r="A143" s="68" t="s">
        <v>305</v>
      </c>
      <c r="B143" s="47" t="s">
        <v>306</v>
      </c>
      <c r="C143" s="24"/>
      <c r="D143" s="24">
        <v>25996</v>
      </c>
      <c r="E143" s="103">
        <f>+'2 Össz'!E143</f>
        <v>0</v>
      </c>
    </row>
    <row r="144" spans="1:5" ht="12.75">
      <c r="A144" s="68" t="s">
        <v>307</v>
      </c>
      <c r="B144" s="47" t="s">
        <v>308</v>
      </c>
      <c r="C144" s="24"/>
      <c r="D144" s="24"/>
      <c r="E144" s="103">
        <f>+'2 Össz'!E144</f>
        <v>0</v>
      </c>
    </row>
    <row r="145" spans="1:5" ht="12.75">
      <c r="A145" s="68" t="s">
        <v>309</v>
      </c>
      <c r="B145" s="47" t="s">
        <v>310</v>
      </c>
      <c r="C145" s="24"/>
      <c r="D145" s="24"/>
      <c r="E145" s="103">
        <f>+'2 Össz'!E145</f>
        <v>0</v>
      </c>
    </row>
    <row r="146" spans="1:5" ht="12.75">
      <c r="A146" s="68" t="s">
        <v>725</v>
      </c>
      <c r="B146" s="47" t="s">
        <v>312</v>
      </c>
      <c r="C146" s="24"/>
      <c r="D146" s="24"/>
      <c r="E146" s="103">
        <f>+'2 Össz'!E146</f>
        <v>0</v>
      </c>
    </row>
    <row r="147" spans="1:5" ht="12.75">
      <c r="A147" s="60" t="s">
        <v>313</v>
      </c>
      <c r="B147" s="47" t="s">
        <v>314</v>
      </c>
      <c r="C147" s="24"/>
      <c r="D147" s="24"/>
      <c r="E147" s="103">
        <f>+'2 Össz'!E147</f>
        <v>0</v>
      </c>
    </row>
    <row r="148" spans="1:5" ht="12.75">
      <c r="A148" s="60" t="s">
        <v>315</v>
      </c>
      <c r="B148" s="47" t="s">
        <v>316</v>
      </c>
      <c r="C148" s="24"/>
      <c r="D148" s="24"/>
      <c r="E148" s="103">
        <f>+'2 Össz'!E148</f>
        <v>0</v>
      </c>
    </row>
    <row r="149" spans="1:5" s="108" customFormat="1" ht="12.75">
      <c r="A149" s="143" t="s">
        <v>317</v>
      </c>
      <c r="B149" s="94" t="s">
        <v>318</v>
      </c>
      <c r="C149" s="96">
        <f>+C142+C137+C132</f>
        <v>937077</v>
      </c>
      <c r="D149" s="96">
        <f>+D142+D137+D132+D143+D144</f>
        <v>424767</v>
      </c>
      <c r="E149" s="96">
        <f>+E142+E137+E132+E143+E144</f>
        <v>256933</v>
      </c>
    </row>
    <row r="150" spans="1:5" ht="12.75" hidden="1">
      <c r="A150" s="68" t="s">
        <v>319</v>
      </c>
      <c r="B150" s="47" t="s">
        <v>320</v>
      </c>
      <c r="C150" s="24"/>
      <c r="D150" s="24"/>
      <c r="E150" s="103">
        <f>+'2 Össz'!E150</f>
        <v>0</v>
      </c>
    </row>
    <row r="151" spans="1:5" ht="12.75" hidden="1">
      <c r="A151" s="60" t="s">
        <v>321</v>
      </c>
      <c r="B151" s="47" t="s">
        <v>322</v>
      </c>
      <c r="C151" s="24"/>
      <c r="D151" s="24"/>
      <c r="E151" s="103">
        <f>+'2 Össz'!E151</f>
        <v>0</v>
      </c>
    </row>
    <row r="152" spans="1:5" ht="12.75" hidden="1">
      <c r="A152" s="60" t="s">
        <v>323</v>
      </c>
      <c r="B152" s="47" t="s">
        <v>324</v>
      </c>
      <c r="C152" s="24"/>
      <c r="D152" s="24"/>
      <c r="E152" s="103">
        <f>+'2 Össz'!E152</f>
        <v>0</v>
      </c>
    </row>
    <row r="153" spans="1:5" s="108" customFormat="1" ht="12.75">
      <c r="A153" s="362" t="s">
        <v>325</v>
      </c>
      <c r="B153" s="94" t="s">
        <v>326</v>
      </c>
      <c r="C153" s="96">
        <f>+C152+C150+C149</f>
        <v>937077</v>
      </c>
      <c r="D153" s="96">
        <f>+D152+D150+D149</f>
        <v>424767</v>
      </c>
      <c r="E153" s="96">
        <f>+E152+E150+E149</f>
        <v>256933</v>
      </c>
    </row>
    <row r="154" spans="1:5" s="108" customFormat="1" ht="12.75">
      <c r="A154" s="116" t="s">
        <v>327</v>
      </c>
      <c r="B154" s="116" t="s">
        <v>328</v>
      </c>
      <c r="C154" s="96">
        <f>+C126+C153</f>
        <v>3836898</v>
      </c>
      <c r="D154" s="96">
        <f>+D126+D153</f>
        <v>3528552</v>
      </c>
      <c r="E154" s="96">
        <f>+E126+E153</f>
        <v>4488256</v>
      </c>
    </row>
    <row r="155" spans="3:6" ht="12.75">
      <c r="C155" s="14">
        <f>+C154-C76</f>
        <v>317567</v>
      </c>
      <c r="D155" s="14">
        <f>+D154-D76</f>
        <v>0</v>
      </c>
      <c r="E155" s="14">
        <f>+E154-E76</f>
        <v>0</v>
      </c>
      <c r="F155" s="14"/>
    </row>
    <row r="156" spans="1:5" ht="12.75">
      <c r="A156" s="87"/>
      <c r="C156" s="14"/>
      <c r="D156" s="14"/>
      <c r="E156" s="14"/>
    </row>
    <row r="157" ht="12.75">
      <c r="C157" s="14"/>
    </row>
  </sheetData>
  <sheetProtection selectLockedCells="1" selectUnlockedCells="1"/>
  <mergeCells count="1">
    <mergeCell ref="A4:E4"/>
  </mergeCells>
  <printOptions horizontalCentered="1"/>
  <pageMargins left="0.7083333333333334" right="0.7083333333333334" top="0.5118055555555555" bottom="0.5909722222222222" header="0.5118055555555555" footer="0.31527777777777777"/>
  <pageSetup horizontalDpi="300" verticalDpi="300" orientation="portrait" paperSize="9" scale="60"/>
  <headerFooter alignWithMargins="0">
    <oddFooter>&amp;R&amp;P</oddFooter>
  </headerFooter>
  <rowBreaks count="1" manualBreakCount="1">
    <brk id="7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Q156"/>
  <sheetViews>
    <sheetView view="pageBreakPreview" zoomScaleSheetLayoutView="100" workbookViewId="0" topLeftCell="C1">
      <selection activeCell="G143" sqref="G143"/>
    </sheetView>
  </sheetViews>
  <sheetFormatPr defaultColWidth="9.140625" defaultRowHeight="15"/>
  <cols>
    <col min="1" max="1" width="80.421875" style="0" customWidth="1"/>
    <col min="2" max="2" width="10.28125" style="0" customWidth="1"/>
    <col min="3" max="3" width="11.8515625" style="0" customWidth="1"/>
    <col min="4" max="4" width="14.140625" style="366" customWidth="1"/>
    <col min="5" max="15" width="14.140625" style="0" customWidth="1"/>
    <col min="16" max="16" width="10.57421875" style="0" customWidth="1"/>
  </cols>
  <sheetData>
    <row r="1" ht="12.75">
      <c r="O1" s="32" t="s">
        <v>796</v>
      </c>
    </row>
    <row r="2" ht="12.75">
      <c r="O2" s="15" t="s">
        <v>10</v>
      </c>
    </row>
    <row r="3" spans="1:15" ht="12.75">
      <c r="A3" s="34" t="s">
        <v>11</v>
      </c>
      <c r="B3" s="367"/>
      <c r="C3" s="367"/>
      <c r="D3" s="368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12.75">
      <c r="A4" s="369" t="s">
        <v>797</v>
      </c>
      <c r="B4" s="370"/>
      <c r="C4" s="370"/>
      <c r="D4" s="371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</row>
    <row r="6" ht="12.75">
      <c r="A6" s="372"/>
    </row>
    <row r="7" spans="1:17" s="376" customFormat="1" ht="12.75">
      <c r="A7" s="19" t="s">
        <v>15</v>
      </c>
      <c r="B7" s="42" t="s">
        <v>42</v>
      </c>
      <c r="C7" s="42" t="s">
        <v>528</v>
      </c>
      <c r="D7" s="373" t="s">
        <v>798</v>
      </c>
      <c r="E7" s="374" t="s">
        <v>799</v>
      </c>
      <c r="F7" s="374" t="s">
        <v>800</v>
      </c>
      <c r="G7" s="374" t="s">
        <v>801</v>
      </c>
      <c r="H7" s="374" t="s">
        <v>802</v>
      </c>
      <c r="I7" s="374" t="s">
        <v>803</v>
      </c>
      <c r="J7" s="374" t="s">
        <v>804</v>
      </c>
      <c r="K7" s="374" t="s">
        <v>805</v>
      </c>
      <c r="L7" s="374" t="s">
        <v>806</v>
      </c>
      <c r="M7" s="374" t="s">
        <v>807</v>
      </c>
      <c r="N7" s="374" t="s">
        <v>808</v>
      </c>
      <c r="O7" s="374" t="s">
        <v>809</v>
      </c>
      <c r="P7" s="375"/>
      <c r="Q7" s="375"/>
    </row>
    <row r="8" spans="1:17" ht="12.75">
      <c r="A8" s="45" t="s">
        <v>43</v>
      </c>
      <c r="B8" s="46" t="s">
        <v>44</v>
      </c>
      <c r="C8" s="377">
        <f>+'2 Össz'!E7</f>
        <v>1022524</v>
      </c>
      <c r="D8" s="24">
        <f>+ROUND($C$8/12,0)</f>
        <v>85210</v>
      </c>
      <c r="E8" s="24">
        <f>+ROUND($C$8/12,0)</f>
        <v>85210</v>
      </c>
      <c r="F8" s="24">
        <f>+ROUND($C$8/12,0)</f>
        <v>85210</v>
      </c>
      <c r="G8" s="24">
        <f>+ROUND($C$8/12,0)</f>
        <v>85210</v>
      </c>
      <c r="H8" s="24">
        <f>+ROUND($C$8/12,0)</f>
        <v>85210</v>
      </c>
      <c r="I8" s="24">
        <f>+ROUND($C$8/12,0)</f>
        <v>85210</v>
      </c>
      <c r="J8" s="24">
        <f>+ROUND($C$8/12,0)</f>
        <v>85210</v>
      </c>
      <c r="K8" s="24">
        <f>+ROUND($C$8/12,0)</f>
        <v>85210</v>
      </c>
      <c r="L8" s="24">
        <f>+ROUND($C$8/12,0)</f>
        <v>85210</v>
      </c>
      <c r="M8" s="24">
        <f>+ROUND($C$8/12,0)</f>
        <v>85210</v>
      </c>
      <c r="N8" s="24">
        <f>+ROUND($C$8/12,0)</f>
        <v>85210</v>
      </c>
      <c r="O8" s="24">
        <f>+ROUND($C$8/12,0)+4</f>
        <v>85214</v>
      </c>
      <c r="P8" s="378"/>
      <c r="Q8" s="372"/>
    </row>
    <row r="9" spans="1:17" ht="12.75">
      <c r="A9" s="47" t="s">
        <v>45</v>
      </c>
      <c r="B9" s="46" t="s">
        <v>46</v>
      </c>
      <c r="C9" s="377">
        <f>+'2 Össz'!E8</f>
        <v>40714</v>
      </c>
      <c r="D9" s="24">
        <f>+ROUND($C$9/12,0)</f>
        <v>3393</v>
      </c>
      <c r="E9" s="24">
        <f>+ROUND($C$9/12,0)</f>
        <v>3393</v>
      </c>
      <c r="F9" s="24">
        <f>+ROUND($C$9/12,0)</f>
        <v>3393</v>
      </c>
      <c r="G9" s="24">
        <f>+ROUND($C$9/12,0)</f>
        <v>3393</v>
      </c>
      <c r="H9" s="24">
        <f>+ROUND($C$9/12,0)</f>
        <v>3393</v>
      </c>
      <c r="I9" s="24">
        <f>+ROUND($C$9/12,0)</f>
        <v>3393</v>
      </c>
      <c r="J9" s="24">
        <f>+ROUND($C$9/12,0)</f>
        <v>3393</v>
      </c>
      <c r="K9" s="24">
        <f>+ROUND($C$9/12,0)</f>
        <v>3393</v>
      </c>
      <c r="L9" s="24">
        <f>+ROUND($C$9/12,0)</f>
        <v>3393</v>
      </c>
      <c r="M9" s="24">
        <f>+ROUND($C$9/12,0)</f>
        <v>3393</v>
      </c>
      <c r="N9" s="24">
        <f>+ROUND($C$9/12,0)</f>
        <v>3393</v>
      </c>
      <c r="O9" s="24">
        <f>+ROUND($C$9/12,0)-2</f>
        <v>3391</v>
      </c>
      <c r="P9" s="378"/>
      <c r="Q9" s="372"/>
    </row>
    <row r="10" spans="1:17" s="382" customFormat="1" ht="12.75">
      <c r="A10" s="106" t="s">
        <v>47</v>
      </c>
      <c r="B10" s="358" t="s">
        <v>48</v>
      </c>
      <c r="C10" s="379">
        <f>+'2 Össz'!E9</f>
        <v>1063238</v>
      </c>
      <c r="D10" s="96">
        <f>SUM(D8:D9)</f>
        <v>88603</v>
      </c>
      <c r="E10" s="96">
        <f>SUM(E8:E9)</f>
        <v>88603</v>
      </c>
      <c r="F10" s="96">
        <f>SUM(F8:F9)</f>
        <v>88603</v>
      </c>
      <c r="G10" s="96">
        <f>SUM(G8:G9)</f>
        <v>88603</v>
      </c>
      <c r="H10" s="96">
        <f>SUM(H8:H9)</f>
        <v>88603</v>
      </c>
      <c r="I10" s="96">
        <f>SUM(I8:I9)</f>
        <v>88603</v>
      </c>
      <c r="J10" s="96">
        <f>SUM(J8:J9)</f>
        <v>88603</v>
      </c>
      <c r="K10" s="96">
        <f>SUM(K8:K9)</f>
        <v>88603</v>
      </c>
      <c r="L10" s="96">
        <f>SUM(L8:L9)</f>
        <v>88603</v>
      </c>
      <c r="M10" s="96">
        <f>SUM(M8:M9)</f>
        <v>88603</v>
      </c>
      <c r="N10" s="96">
        <f>SUM(N8:N9)</f>
        <v>88603</v>
      </c>
      <c r="O10" s="96">
        <f>SUM(O8:O9)</f>
        <v>88605</v>
      </c>
      <c r="P10" s="380"/>
      <c r="Q10" s="381"/>
    </row>
    <row r="11" spans="1:17" s="385" customFormat="1" ht="12.75">
      <c r="A11" s="50" t="s">
        <v>49</v>
      </c>
      <c r="B11" s="49" t="s">
        <v>50</v>
      </c>
      <c r="C11" s="377">
        <f>+'2 Össz'!E10</f>
        <v>253514</v>
      </c>
      <c r="D11" s="138">
        <f>+ROUND($C$11/12,0)</f>
        <v>21126</v>
      </c>
      <c r="E11" s="138">
        <f>+ROUND($C$11/12,0)</f>
        <v>21126</v>
      </c>
      <c r="F11" s="138">
        <f>+ROUND($C$11/12,0)</f>
        <v>21126</v>
      </c>
      <c r="G11" s="138">
        <f>+ROUND($C$11/12,0)</f>
        <v>21126</v>
      </c>
      <c r="H11" s="138">
        <f>+ROUND($C$11/12,0)</f>
        <v>21126</v>
      </c>
      <c r="I11" s="138">
        <f>+ROUND($C$11/12,0)</f>
        <v>21126</v>
      </c>
      <c r="J11" s="138">
        <f>+ROUND($C$11/12,0)</f>
        <v>21126</v>
      </c>
      <c r="K11" s="138">
        <f>+ROUND($C$11/12,0)</f>
        <v>21126</v>
      </c>
      <c r="L11" s="138">
        <f>+ROUND($C$11/12,0)</f>
        <v>21126</v>
      </c>
      <c r="M11" s="138">
        <f>+ROUND($C$11/12,0)</f>
        <v>21126</v>
      </c>
      <c r="N11" s="138">
        <f>+ROUND($C$11/12,0)</f>
        <v>21126</v>
      </c>
      <c r="O11" s="138">
        <f>+ROUND($C$11/12,0)+2</f>
        <v>21128</v>
      </c>
      <c r="P11" s="383"/>
      <c r="Q11" s="384"/>
    </row>
    <row r="12" spans="1:17" ht="12.75">
      <c r="A12" s="47" t="s">
        <v>51</v>
      </c>
      <c r="B12" s="46" t="s">
        <v>52</v>
      </c>
      <c r="C12" s="377">
        <f>+'2 Össz'!E11</f>
        <v>265156</v>
      </c>
      <c r="D12" s="24">
        <f>+ROUND($C$12/12,0)</f>
        <v>22096</v>
      </c>
      <c r="E12" s="24">
        <f>+ROUND($C$12/12,0)</f>
        <v>22096</v>
      </c>
      <c r="F12" s="24">
        <f>+ROUND($C$12/12,0)</f>
        <v>22096</v>
      </c>
      <c r="G12" s="24">
        <f>+ROUND($C$12/12,0)</f>
        <v>22096</v>
      </c>
      <c r="H12" s="24">
        <f>+ROUND($C$12/12,0)</f>
        <v>22096</v>
      </c>
      <c r="I12" s="24">
        <f>+ROUND($C$12/12,0)</f>
        <v>22096</v>
      </c>
      <c r="J12" s="24">
        <f>+ROUND($C$12/12,0)</f>
        <v>22096</v>
      </c>
      <c r="K12" s="24">
        <f>+ROUND($C$12/12,0)</f>
        <v>22096</v>
      </c>
      <c r="L12" s="24">
        <f>+ROUND($C$12/12,0)</f>
        <v>22096</v>
      </c>
      <c r="M12" s="24">
        <f>+ROUND($C$12/12,0)</f>
        <v>22096</v>
      </c>
      <c r="N12" s="24">
        <f>+ROUND($C$12/12,0)</f>
        <v>22096</v>
      </c>
      <c r="O12" s="24">
        <f>+ROUND($C$12/12,0)+4</f>
        <v>22100</v>
      </c>
      <c r="P12" s="378"/>
      <c r="Q12" s="372"/>
    </row>
    <row r="13" spans="1:17" ht="12.75">
      <c r="A13" s="47" t="s">
        <v>53</v>
      </c>
      <c r="B13" s="46" t="s">
        <v>54</v>
      </c>
      <c r="C13" s="377">
        <f>+'2 Össz'!E12</f>
        <v>15495</v>
      </c>
      <c r="D13" s="24">
        <f>+ROUND($C$13/12,0)</f>
        <v>1291</v>
      </c>
      <c r="E13" s="24">
        <f>+ROUND($C$13/12,0)</f>
        <v>1291</v>
      </c>
      <c r="F13" s="24">
        <f>+ROUND($C$13/12,0)</f>
        <v>1291</v>
      </c>
      <c r="G13" s="24">
        <f>+ROUND($C$13/12,0)</f>
        <v>1291</v>
      </c>
      <c r="H13" s="24">
        <f>+ROUND($C$13/12,0)</f>
        <v>1291</v>
      </c>
      <c r="I13" s="24">
        <f>+ROUND($C$13/12,0)</f>
        <v>1291</v>
      </c>
      <c r="J13" s="24">
        <f>+ROUND($C$13/12,0)</f>
        <v>1291</v>
      </c>
      <c r="K13" s="24">
        <f>+ROUND($C$13/12,0)</f>
        <v>1291</v>
      </c>
      <c r="L13" s="24">
        <f>+ROUND($C$13/12,0)</f>
        <v>1291</v>
      </c>
      <c r="M13" s="24">
        <f>+ROUND($C$13/12,0)</f>
        <v>1291</v>
      </c>
      <c r="N13" s="24">
        <f>+ROUND($C$13/12,0)</f>
        <v>1291</v>
      </c>
      <c r="O13" s="24">
        <f>+ROUND($C$13/12,0)+3</f>
        <v>1294</v>
      </c>
      <c r="P13" s="378"/>
      <c r="Q13" s="372"/>
    </row>
    <row r="14" spans="1:17" ht="12.75">
      <c r="A14" s="47" t="s">
        <v>55</v>
      </c>
      <c r="B14" s="46" t="s">
        <v>56</v>
      </c>
      <c r="C14" s="377">
        <f>+'2 Össz'!E13</f>
        <v>418371</v>
      </c>
      <c r="D14" s="24">
        <f>+ROUND($C$14/12,0)</f>
        <v>34864</v>
      </c>
      <c r="E14" s="24">
        <f>+ROUND($C$14/12,0)</f>
        <v>34864</v>
      </c>
      <c r="F14" s="24">
        <f>+ROUND($C$14/12,0)</f>
        <v>34864</v>
      </c>
      <c r="G14" s="24">
        <f>+ROUND($C$14/12,0)</f>
        <v>34864</v>
      </c>
      <c r="H14" s="24">
        <f>+ROUND($C$14/12,0)</f>
        <v>34864</v>
      </c>
      <c r="I14" s="24">
        <f>+ROUND($C$14/12,0)</f>
        <v>34864</v>
      </c>
      <c r="J14" s="24">
        <f>+ROUND($C$14/12,0)</f>
        <v>34864</v>
      </c>
      <c r="K14" s="24">
        <f>+ROUND($C$14/12,0)</f>
        <v>34864</v>
      </c>
      <c r="L14" s="24">
        <f>+ROUND($C$14/12,0)</f>
        <v>34864</v>
      </c>
      <c r="M14" s="24">
        <f>+ROUND($C$14/12,0)</f>
        <v>34864</v>
      </c>
      <c r="N14" s="24">
        <f>+ROUND($C$14/12,0)</f>
        <v>34864</v>
      </c>
      <c r="O14" s="24">
        <f>+ROUND($C$14/12,0)+3</f>
        <v>34867</v>
      </c>
      <c r="P14" s="378"/>
      <c r="Q14" s="372"/>
    </row>
    <row r="15" spans="1:17" ht="12.75">
      <c r="A15" s="47" t="s">
        <v>57</v>
      </c>
      <c r="B15" s="46" t="s">
        <v>58</v>
      </c>
      <c r="C15" s="377">
        <f>+'2 Össz'!E14</f>
        <v>8080</v>
      </c>
      <c r="D15" s="24">
        <f>+ROUND($C$15/12,0)</f>
        <v>673</v>
      </c>
      <c r="E15" s="24">
        <f>+ROUND($C$15/12,0)</f>
        <v>673</v>
      </c>
      <c r="F15" s="24">
        <f>+ROUND($C$15/12,0)</f>
        <v>673</v>
      </c>
      <c r="G15" s="24">
        <f>+ROUND($C$15/12,0)</f>
        <v>673</v>
      </c>
      <c r="H15" s="24">
        <f>+ROUND($C$15/12,0)</f>
        <v>673</v>
      </c>
      <c r="I15" s="24">
        <f>+ROUND($C$15/12,0)</f>
        <v>673</v>
      </c>
      <c r="J15" s="24">
        <f>+ROUND($C$15/12,0)</f>
        <v>673</v>
      </c>
      <c r="K15" s="24">
        <f>+ROUND($C$15/12,0)</f>
        <v>673</v>
      </c>
      <c r="L15" s="24">
        <f>+ROUND($C$15/12,0)</f>
        <v>673</v>
      </c>
      <c r="M15" s="24">
        <f>+ROUND($C$15/12,0)</f>
        <v>673</v>
      </c>
      <c r="N15" s="24">
        <f>+ROUND($C$15/12,0)</f>
        <v>673</v>
      </c>
      <c r="O15" s="24">
        <f>+ROUND($C$15/12,0)+4</f>
        <v>677</v>
      </c>
      <c r="P15" s="378"/>
      <c r="Q15" s="372"/>
    </row>
    <row r="16" spans="1:17" ht="12.75">
      <c r="A16" s="47" t="s">
        <v>59</v>
      </c>
      <c r="B16" s="46" t="s">
        <v>60</v>
      </c>
      <c r="C16" s="377">
        <f>+'2 Össz'!E15</f>
        <v>300734</v>
      </c>
      <c r="D16" s="24">
        <f>+ROUND($C$16/12,0)</f>
        <v>25061</v>
      </c>
      <c r="E16" s="24">
        <f>+ROUND($C$16/12,0)</f>
        <v>25061</v>
      </c>
      <c r="F16" s="24">
        <f>+ROUND($C$16/12,0)</f>
        <v>25061</v>
      </c>
      <c r="G16" s="24">
        <f>+ROUND($C$16/12,0)</f>
        <v>25061</v>
      </c>
      <c r="H16" s="24">
        <f>+ROUND($C$16/12,0)</f>
        <v>25061</v>
      </c>
      <c r="I16" s="24">
        <f>+ROUND($C$16/12,0)</f>
        <v>25061</v>
      </c>
      <c r="J16" s="24">
        <f>+ROUND($C$16/12,0)</f>
        <v>25061</v>
      </c>
      <c r="K16" s="24">
        <f>+ROUND($C$16/12,0)</f>
        <v>25061</v>
      </c>
      <c r="L16" s="24">
        <f>+ROUND($C$16/12,0)</f>
        <v>25061</v>
      </c>
      <c r="M16" s="24">
        <f>+ROUND($C$16/12,0)</f>
        <v>25061</v>
      </c>
      <c r="N16" s="24">
        <f>+ROUND($C$16/12,0)</f>
        <v>25061</v>
      </c>
      <c r="O16" s="24">
        <f>+ROUND($C$16/12,0)+2</f>
        <v>25063</v>
      </c>
      <c r="P16" s="378"/>
      <c r="Q16" s="372"/>
    </row>
    <row r="17" spans="1:17" s="382" customFormat="1" ht="12.75">
      <c r="A17" s="94" t="s">
        <v>61</v>
      </c>
      <c r="B17" s="358" t="s">
        <v>62</v>
      </c>
      <c r="C17" s="379">
        <f>+'2 Össz'!E16</f>
        <v>1007836</v>
      </c>
      <c r="D17" s="96">
        <f>SUM(D12:D16)</f>
        <v>83985</v>
      </c>
      <c r="E17" s="96">
        <f>SUM(E12:E16)</f>
        <v>83985</v>
      </c>
      <c r="F17" s="96">
        <f>SUM(F12:F16)</f>
        <v>83985</v>
      </c>
      <c r="G17" s="96">
        <f>SUM(G12:G16)</f>
        <v>83985</v>
      </c>
      <c r="H17" s="96">
        <f>SUM(H12:H16)</f>
        <v>83985</v>
      </c>
      <c r="I17" s="96">
        <f>SUM(I12:I16)</f>
        <v>83985</v>
      </c>
      <c r="J17" s="96">
        <f>SUM(J12:J16)</f>
        <v>83985</v>
      </c>
      <c r="K17" s="96">
        <f>SUM(K12:K16)</f>
        <v>83985</v>
      </c>
      <c r="L17" s="96">
        <f>SUM(L12:L16)</f>
        <v>83985</v>
      </c>
      <c r="M17" s="96">
        <f>SUM(M12:M16)</f>
        <v>83985</v>
      </c>
      <c r="N17" s="96">
        <f>SUM(N12:N16)</f>
        <v>83985</v>
      </c>
      <c r="O17" s="96">
        <f>SUM(O12:O16)</f>
        <v>84001</v>
      </c>
      <c r="P17" s="380"/>
      <c r="Q17" s="381"/>
    </row>
    <row r="18" spans="1:17" s="385" customFormat="1" ht="12.75">
      <c r="A18" s="51" t="s">
        <v>63</v>
      </c>
      <c r="B18" s="49" t="s">
        <v>64</v>
      </c>
      <c r="C18" s="377">
        <f>+'2 Össz'!E17</f>
        <v>105033</v>
      </c>
      <c r="D18" s="138">
        <f>+ROUND($C$18/12,0)</f>
        <v>8753</v>
      </c>
      <c r="E18" s="138">
        <f>+ROUND($C$18/12,0)</f>
        <v>8753</v>
      </c>
      <c r="F18" s="138">
        <f>+ROUND($C$18/12,0)</f>
        <v>8753</v>
      </c>
      <c r="G18" s="138">
        <f>+ROUND($C$18/12,0)</f>
        <v>8753</v>
      </c>
      <c r="H18" s="138">
        <f>+ROUND($C$18/12,0)</f>
        <v>8753</v>
      </c>
      <c r="I18" s="138">
        <f>+ROUND($C$18/12,0)</f>
        <v>8753</v>
      </c>
      <c r="J18" s="138">
        <f>+ROUND($C$18/12,0)</f>
        <v>8753</v>
      </c>
      <c r="K18" s="138">
        <f>+ROUND($C$18/12,0)</f>
        <v>8753</v>
      </c>
      <c r="L18" s="138">
        <f>+ROUND($C$18/12,0)</f>
        <v>8753</v>
      </c>
      <c r="M18" s="138">
        <f>+ROUND($C$18/12,0)</f>
        <v>8753</v>
      </c>
      <c r="N18" s="138">
        <f>+ROUND($C$18/12,0)</f>
        <v>8753</v>
      </c>
      <c r="O18" s="138">
        <f>+ROUND($C$18/12,0)-3</f>
        <v>8750</v>
      </c>
      <c r="P18" s="383"/>
      <c r="Q18" s="384"/>
    </row>
    <row r="19" spans="1:17" ht="12.75">
      <c r="A19" s="52" t="s">
        <v>65</v>
      </c>
      <c r="B19" s="46" t="s">
        <v>66</v>
      </c>
      <c r="C19" s="377">
        <f>+'2 Össz'!E18</f>
        <v>0</v>
      </c>
      <c r="D19" s="24">
        <f>+ROUND($C$19/12,0)</f>
        <v>0</v>
      </c>
      <c r="E19" s="24">
        <f>+ROUND($C$19/12,0)</f>
        <v>0</v>
      </c>
      <c r="F19" s="24">
        <f>+ROUND($C$19/12,0)</f>
        <v>0</v>
      </c>
      <c r="G19" s="24">
        <f>+ROUND($C$19/12,0)</f>
        <v>0</v>
      </c>
      <c r="H19" s="24">
        <f>+ROUND($C$19/12,0)</f>
        <v>0</v>
      </c>
      <c r="I19" s="24">
        <f>+ROUND($C$19/12,0)</f>
        <v>0</v>
      </c>
      <c r="J19" s="24">
        <f>+ROUND($C$19/12,0)</f>
        <v>0</v>
      </c>
      <c r="K19" s="24">
        <f>+ROUND($C$19/12,0)</f>
        <v>0</v>
      </c>
      <c r="L19" s="24">
        <f>+ROUND($C$19/12,0)</f>
        <v>0</v>
      </c>
      <c r="M19" s="24">
        <f>+ROUND($C$19/12,0)</f>
        <v>0</v>
      </c>
      <c r="N19" s="24">
        <f>+ROUND($C$19/12,0)</f>
        <v>0</v>
      </c>
      <c r="O19" s="24">
        <f>+ROUND($C$19/12,0)</f>
        <v>0</v>
      </c>
      <c r="P19" s="378"/>
      <c r="Q19" s="372"/>
    </row>
    <row r="20" spans="1:17" ht="12.75">
      <c r="A20" s="52" t="s">
        <v>67</v>
      </c>
      <c r="B20" s="46" t="s">
        <v>68</v>
      </c>
      <c r="C20" s="377">
        <f>+'2 Össz'!E19</f>
        <v>12806</v>
      </c>
      <c r="D20" s="24">
        <f>+ROUND($C$20/12,0)</f>
        <v>1067</v>
      </c>
      <c r="E20" s="24">
        <f>+ROUND($C$20/12,0)</f>
        <v>1067</v>
      </c>
      <c r="F20" s="24">
        <f>+ROUND($C$20/12,0)</f>
        <v>1067</v>
      </c>
      <c r="G20" s="24">
        <f>+ROUND($C$20/12,0)</f>
        <v>1067</v>
      </c>
      <c r="H20" s="24">
        <f>+ROUND($C$20/12,0)</f>
        <v>1067</v>
      </c>
      <c r="I20" s="24">
        <f>+ROUND($C$20/12,0)</f>
        <v>1067</v>
      </c>
      <c r="J20" s="24">
        <f>+ROUND($C$20/12,0)</f>
        <v>1067</v>
      </c>
      <c r="K20" s="24">
        <f>+ROUND($C$20/12,0)</f>
        <v>1067</v>
      </c>
      <c r="L20" s="24">
        <f>+ROUND($C$20/12,0)</f>
        <v>1067</v>
      </c>
      <c r="M20" s="24">
        <f>+ROUND($C$20/12,0)</f>
        <v>1067</v>
      </c>
      <c r="N20" s="24">
        <f>+ROUND($C$20/12,0)</f>
        <v>1067</v>
      </c>
      <c r="O20" s="24">
        <f>+ROUND($C$20/12,0)+2</f>
        <v>1069</v>
      </c>
      <c r="P20" s="378"/>
      <c r="Q20" s="372"/>
    </row>
    <row r="21" spans="1:17" ht="12.75">
      <c r="A21" s="52" t="s">
        <v>69</v>
      </c>
      <c r="B21" s="46" t="s">
        <v>70</v>
      </c>
      <c r="C21" s="377">
        <f>+'2 Össz'!E20</f>
        <v>0</v>
      </c>
      <c r="D21" s="24">
        <f>+ROUND($C$21/12,0)</f>
        <v>0</v>
      </c>
      <c r="E21" s="24">
        <f>+ROUND($C$21/12,0)</f>
        <v>0</v>
      </c>
      <c r="F21" s="24">
        <f>+ROUND($C$21/12,0)</f>
        <v>0</v>
      </c>
      <c r="G21" s="24">
        <f>+ROUND($C$21/12,0)</f>
        <v>0</v>
      </c>
      <c r="H21" s="24">
        <f>+ROUND($C$21/12,0)</f>
        <v>0</v>
      </c>
      <c r="I21" s="24">
        <f>+ROUND($C$21/12,0)</f>
        <v>0</v>
      </c>
      <c r="J21" s="24">
        <f>+ROUND($C$21/12,0)</f>
        <v>0</v>
      </c>
      <c r="K21" s="24">
        <f>+ROUND($C$21/12,0)</f>
        <v>0</v>
      </c>
      <c r="L21" s="24">
        <f>+ROUND($C$21/12,0)</f>
        <v>0</v>
      </c>
      <c r="M21" s="24">
        <f>+ROUND($C$21/12,0)</f>
        <v>0</v>
      </c>
      <c r="N21" s="24">
        <f>+ROUND($C$21/12,0)</f>
        <v>0</v>
      </c>
      <c r="O21" s="24">
        <f>+ROUND($C$21/12,0)</f>
        <v>0</v>
      </c>
      <c r="P21" s="378"/>
      <c r="Q21" s="372"/>
    </row>
    <row r="22" spans="1:17" ht="12.75">
      <c r="A22" s="52" t="s">
        <v>71</v>
      </c>
      <c r="B22" s="46" t="s">
        <v>72</v>
      </c>
      <c r="C22" s="377">
        <f>+'2 Össz'!E21</f>
        <v>0</v>
      </c>
      <c r="D22" s="24">
        <f>+ROUND($C$22/12,0)</f>
        <v>0</v>
      </c>
      <c r="E22" s="24">
        <f>+ROUND($C$22/12,0)</f>
        <v>0</v>
      </c>
      <c r="F22" s="24">
        <f>+ROUND($C$22/12,0)</f>
        <v>0</v>
      </c>
      <c r="G22" s="24">
        <f>+ROUND($C$22/12,0)</f>
        <v>0</v>
      </c>
      <c r="H22" s="24">
        <f>+ROUND($C$22/12,0)</f>
        <v>0</v>
      </c>
      <c r="I22" s="24">
        <f>+ROUND($C$22/12,0)</f>
        <v>0</v>
      </c>
      <c r="J22" s="24">
        <f>+ROUND($C$22/12,0)</f>
        <v>0</v>
      </c>
      <c r="K22" s="24">
        <f>+ROUND($C$22/12,0)</f>
        <v>0</v>
      </c>
      <c r="L22" s="24">
        <f>+ROUND($C$22/12,0)</f>
        <v>0</v>
      </c>
      <c r="M22" s="24">
        <f>+ROUND($C$22/12,0)</f>
        <v>0</v>
      </c>
      <c r="N22" s="24">
        <f>+ROUND($C$22/12,0)</f>
        <v>0</v>
      </c>
      <c r="O22" s="24">
        <f>+ROUND($C$22/12,0)</f>
        <v>0</v>
      </c>
      <c r="P22" s="378"/>
      <c r="Q22" s="372"/>
    </row>
    <row r="23" spans="1:17" ht="12.75">
      <c r="A23" s="52" t="s">
        <v>73</v>
      </c>
      <c r="B23" s="46" t="s">
        <v>74</v>
      </c>
      <c r="C23" s="377">
        <f>+'2 Össz'!E22</f>
        <v>0</v>
      </c>
      <c r="D23" s="24">
        <f>+ROUND($C$23/12,0)</f>
        <v>0</v>
      </c>
      <c r="E23" s="24">
        <f>+ROUND($C$23/12,0)</f>
        <v>0</v>
      </c>
      <c r="F23" s="24">
        <f>+ROUND($C$23/12,0)</f>
        <v>0</v>
      </c>
      <c r="G23" s="24">
        <f>+ROUND($C$23/12,0)</f>
        <v>0</v>
      </c>
      <c r="H23" s="24">
        <f>+ROUND($C$23/12,0)</f>
        <v>0</v>
      </c>
      <c r="I23" s="24">
        <f>+ROUND($C$23/12,0)</f>
        <v>0</v>
      </c>
      <c r="J23" s="24">
        <f>+ROUND($C$23/12,0)</f>
        <v>0</v>
      </c>
      <c r="K23" s="24">
        <f>+ROUND($C$23/12,0)</f>
        <v>0</v>
      </c>
      <c r="L23" s="24">
        <f>+ROUND($C$23/12,0)</f>
        <v>0</v>
      </c>
      <c r="M23" s="24">
        <f>+ROUND($C$23/12,0)</f>
        <v>0</v>
      </c>
      <c r="N23" s="24">
        <f>+ROUND($C$23/12,0)</f>
        <v>0</v>
      </c>
      <c r="O23" s="24">
        <f>+ROUND($C$23/12,0)</f>
        <v>0</v>
      </c>
      <c r="P23" s="378"/>
      <c r="Q23" s="372"/>
    </row>
    <row r="24" spans="1:17" ht="12.75">
      <c r="A24" s="52" t="s">
        <v>75</v>
      </c>
      <c r="B24" s="46" t="s">
        <v>76</v>
      </c>
      <c r="C24" s="377">
        <f>+'2 Össz'!E23</f>
        <v>152060</v>
      </c>
      <c r="D24" s="24">
        <f>+ROUND($C$24/12,0)</f>
        <v>12672</v>
      </c>
      <c r="E24" s="24">
        <f>+ROUND($C$24/12,0)</f>
        <v>12672</v>
      </c>
      <c r="F24" s="24">
        <f>+ROUND($C$24/12,0)</f>
        <v>12672</v>
      </c>
      <c r="G24" s="24">
        <f>+ROUND($C$24/12,0)</f>
        <v>12672</v>
      </c>
      <c r="H24" s="24">
        <f>+ROUND($C$24/12,0)</f>
        <v>12672</v>
      </c>
      <c r="I24" s="24">
        <f>+ROUND($C$24/12,0)</f>
        <v>12672</v>
      </c>
      <c r="J24" s="24">
        <f>+ROUND($C$24/12,0)</f>
        <v>12672</v>
      </c>
      <c r="K24" s="24">
        <f>+ROUND($C$24/12,0)</f>
        <v>12672</v>
      </c>
      <c r="L24" s="24">
        <f>+ROUND($C$24/12,0)</f>
        <v>12672</v>
      </c>
      <c r="M24" s="24">
        <f>+ROUND($C$24/12,0)</f>
        <v>12672</v>
      </c>
      <c r="N24" s="24">
        <f>+ROUND($C$24/12,0)</f>
        <v>12672</v>
      </c>
      <c r="O24" s="24">
        <f>+ROUND($C$24/12,0)-4</f>
        <v>12668</v>
      </c>
      <c r="P24" s="378"/>
      <c r="Q24" s="372"/>
    </row>
    <row r="25" spans="1:17" ht="12.75">
      <c r="A25" s="52" t="s">
        <v>77</v>
      </c>
      <c r="B25" s="46" t="s">
        <v>78</v>
      </c>
      <c r="C25" s="377">
        <f>+'2 Össz'!E24</f>
        <v>0</v>
      </c>
      <c r="D25" s="24">
        <f>+ROUND($C$25/12,0)</f>
        <v>0</v>
      </c>
      <c r="E25" s="24">
        <f>+ROUND($C$25/12,0)</f>
        <v>0</v>
      </c>
      <c r="F25" s="24">
        <f>+ROUND($C$25/12,0)</f>
        <v>0</v>
      </c>
      <c r="G25" s="24">
        <f>+ROUND($C$25/12,0)</f>
        <v>0</v>
      </c>
      <c r="H25" s="24">
        <f>+ROUND($C$25/12,0)</f>
        <v>0</v>
      </c>
      <c r="I25" s="24">
        <f>+ROUND($C$25/12,0)</f>
        <v>0</v>
      </c>
      <c r="J25" s="24">
        <f>+ROUND($C$25/12,0)</f>
        <v>0</v>
      </c>
      <c r="K25" s="24">
        <f>+ROUND($C$25/12,0)</f>
        <v>0</v>
      </c>
      <c r="L25" s="24">
        <f>+ROUND($C$25/12,0)</f>
        <v>0</v>
      </c>
      <c r="M25" s="24">
        <f>+ROUND($C$25/12,0)</f>
        <v>0</v>
      </c>
      <c r="N25" s="24">
        <f>+ROUND($C$25/12,0)</f>
        <v>0</v>
      </c>
      <c r="O25" s="24">
        <f>+ROUND($C$25/12,0)</f>
        <v>0</v>
      </c>
      <c r="P25" s="378"/>
      <c r="Q25" s="372"/>
    </row>
    <row r="26" spans="1:17" ht="12.75">
      <c r="A26" s="52" t="s">
        <v>79</v>
      </c>
      <c r="B26" s="46" t="s">
        <v>80</v>
      </c>
      <c r="C26" s="377">
        <f>+'2 Össz'!E25</f>
        <v>0</v>
      </c>
      <c r="D26" s="24">
        <f>+ROUND($C$26/12,0)</f>
        <v>0</v>
      </c>
      <c r="E26" s="24">
        <f>+ROUND($C$26/12,0)</f>
        <v>0</v>
      </c>
      <c r="F26" s="24">
        <f>+ROUND($C$26/12,0)</f>
        <v>0</v>
      </c>
      <c r="G26" s="24">
        <f>+ROUND($C$26/12,0)</f>
        <v>0</v>
      </c>
      <c r="H26" s="24">
        <f>+ROUND($C$26/12,0)</f>
        <v>0</v>
      </c>
      <c r="I26" s="24">
        <f>+ROUND($C$26/12,0)</f>
        <v>0</v>
      </c>
      <c r="J26" s="24">
        <f>+ROUND($C$26/12,0)</f>
        <v>0</v>
      </c>
      <c r="K26" s="24">
        <f>+ROUND($C$26/12,0)</f>
        <v>0</v>
      </c>
      <c r="L26" s="24">
        <f>+ROUND($C$26/12,0)</f>
        <v>0</v>
      </c>
      <c r="M26" s="24">
        <f>+ROUND($C$26/12,0)</f>
        <v>0</v>
      </c>
      <c r="N26" s="24">
        <f>+ROUND($C$26/12,0)</f>
        <v>0</v>
      </c>
      <c r="O26" s="24">
        <f>+ROUND($C$26/12,0)</f>
        <v>0</v>
      </c>
      <c r="P26" s="378"/>
      <c r="Q26" s="372"/>
    </row>
    <row r="27" spans="1:17" ht="12.75">
      <c r="A27" s="52" t="s">
        <v>81</v>
      </c>
      <c r="B27" s="46" t="s">
        <v>82</v>
      </c>
      <c r="C27" s="377">
        <f>+'2 Össz'!E26</f>
        <v>0</v>
      </c>
      <c r="D27" s="24">
        <f>+ROUND($C$27/12,0)</f>
        <v>0</v>
      </c>
      <c r="E27" s="24">
        <f>+ROUND($C$27/12,0)</f>
        <v>0</v>
      </c>
      <c r="F27" s="24">
        <f>+ROUND($C$27/12,0)</f>
        <v>0</v>
      </c>
      <c r="G27" s="24">
        <f>+ROUND($C$27/12,0)</f>
        <v>0</v>
      </c>
      <c r="H27" s="24">
        <f>+ROUND($C$27/12,0)</f>
        <v>0</v>
      </c>
      <c r="I27" s="24">
        <f>+ROUND($C$27/12,0)</f>
        <v>0</v>
      </c>
      <c r="J27" s="24">
        <f>+ROUND($C$27/12,0)</f>
        <v>0</v>
      </c>
      <c r="K27" s="24">
        <f>+ROUND($C$27/12,0)</f>
        <v>0</v>
      </c>
      <c r="L27" s="24">
        <f>+ROUND($C$27/12,0)</f>
        <v>0</v>
      </c>
      <c r="M27" s="24">
        <f>+ROUND($C$27/12,0)</f>
        <v>0</v>
      </c>
      <c r="N27" s="24">
        <f>+ROUND($C$27/12,0)</f>
        <v>0</v>
      </c>
      <c r="O27" s="24">
        <f>+ROUND($C$27/12,0)</f>
        <v>0</v>
      </c>
      <c r="P27" s="378"/>
      <c r="Q27" s="372"/>
    </row>
    <row r="28" spans="1:17" ht="12.75">
      <c r="A28" s="53" t="s">
        <v>83</v>
      </c>
      <c r="B28" s="46" t="s">
        <v>84</v>
      </c>
      <c r="C28" s="377">
        <f>+'2 Össz'!E27</f>
        <v>0</v>
      </c>
      <c r="D28" s="24">
        <f>+ROUND($C$28/12,0)</f>
        <v>0</v>
      </c>
      <c r="E28" s="24">
        <f>+ROUND($C$28/12,0)</f>
        <v>0</v>
      </c>
      <c r="F28" s="24">
        <f>+ROUND($C$28/12,0)</f>
        <v>0</v>
      </c>
      <c r="G28" s="24">
        <f>+ROUND($C$28/12,0)</f>
        <v>0</v>
      </c>
      <c r="H28" s="24">
        <f>+ROUND($C$28/12,0)</f>
        <v>0</v>
      </c>
      <c r="I28" s="24">
        <f>+ROUND($C$28/12,0)</f>
        <v>0</v>
      </c>
      <c r="J28" s="24">
        <f>+ROUND($C$28/12,0)</f>
        <v>0</v>
      </c>
      <c r="K28" s="24">
        <f>+ROUND($C$28/12,0)</f>
        <v>0</v>
      </c>
      <c r="L28" s="24">
        <f>+ROUND($C$28/12,0)</f>
        <v>0</v>
      </c>
      <c r="M28" s="24">
        <f>+ROUND($C$28/12,0)</f>
        <v>0</v>
      </c>
      <c r="N28" s="24">
        <f>+ROUND($C$28/12,0)</f>
        <v>0</v>
      </c>
      <c r="O28" s="24">
        <f>+ROUND($C$28/12,0)</f>
        <v>0</v>
      </c>
      <c r="P28" s="378"/>
      <c r="Q28" s="372"/>
    </row>
    <row r="29" spans="1:17" ht="12.75">
      <c r="A29" s="52" t="s">
        <v>85</v>
      </c>
      <c r="B29" s="46" t="s">
        <v>86</v>
      </c>
      <c r="C29" s="377">
        <f>+'2 Össz'!E28</f>
        <v>0</v>
      </c>
      <c r="D29" s="24">
        <f>+ROUND($C$28/12,0)</f>
        <v>0</v>
      </c>
      <c r="E29" s="24">
        <f>+ROUND($C$28/12,0)</f>
        <v>0</v>
      </c>
      <c r="F29" s="24">
        <f>+ROUND($C$28/12,0)</f>
        <v>0</v>
      </c>
      <c r="G29" s="24">
        <f>+ROUND($C$28/12,0)</f>
        <v>0</v>
      </c>
      <c r="H29" s="24">
        <f>+ROUND($C$28/12,0)</f>
        <v>0</v>
      </c>
      <c r="I29" s="24">
        <f>+ROUND($C$28/12,0)</f>
        <v>0</v>
      </c>
      <c r="J29" s="24">
        <f>+ROUND($C$28/12,0)</f>
        <v>0</v>
      </c>
      <c r="K29" s="24">
        <f>+ROUND($C$28/12,0)</f>
        <v>0</v>
      </c>
      <c r="L29" s="24">
        <f>+ROUND($C$28/12,0)</f>
        <v>0</v>
      </c>
      <c r="M29" s="24">
        <f>+ROUND($C$28/12,0)</f>
        <v>0</v>
      </c>
      <c r="N29" s="24">
        <f>+ROUND($C$28/12,0)</f>
        <v>0</v>
      </c>
      <c r="O29" s="24">
        <f>+ROUND($C$28/12,0)</f>
        <v>0</v>
      </c>
      <c r="P29" s="378"/>
      <c r="Q29" s="372"/>
    </row>
    <row r="30" spans="1:17" ht="12.75">
      <c r="A30" s="52" t="s">
        <v>87</v>
      </c>
      <c r="B30" s="46" t="s">
        <v>88</v>
      </c>
      <c r="C30" s="377">
        <f>+'2 Össz'!E29</f>
        <v>39993</v>
      </c>
      <c r="D30" s="24">
        <f>+ROUND($C$30/12,0)</f>
        <v>3333</v>
      </c>
      <c r="E30" s="24">
        <f>+ROUND($C$30/12,0)</f>
        <v>3333</v>
      </c>
      <c r="F30" s="24">
        <f>+ROUND($C$30/12,0)</f>
        <v>3333</v>
      </c>
      <c r="G30" s="24">
        <f>+ROUND($C$30/12,0)</f>
        <v>3333</v>
      </c>
      <c r="H30" s="24">
        <f>+ROUND($C$30/12,0)</f>
        <v>3333</v>
      </c>
      <c r="I30" s="24">
        <f>+ROUND($C$30/12,0)</f>
        <v>3333</v>
      </c>
      <c r="J30" s="24">
        <f>+ROUND($C$30/12,0)</f>
        <v>3333</v>
      </c>
      <c r="K30" s="24">
        <f>+ROUND($C$30/12,0)</f>
        <v>3333</v>
      </c>
      <c r="L30" s="24">
        <f>+ROUND($C$30/12,0)</f>
        <v>3333</v>
      </c>
      <c r="M30" s="24">
        <f>+ROUND($C$30/12,0)</f>
        <v>3333</v>
      </c>
      <c r="N30" s="24">
        <f>+ROUND($C$30/12,0)</f>
        <v>3333</v>
      </c>
      <c r="O30" s="24">
        <f>+ROUND($C$30/12,0)-3</f>
        <v>3330</v>
      </c>
      <c r="P30" s="378"/>
      <c r="Q30" s="372"/>
    </row>
    <row r="31" spans="1:17" ht="12.75">
      <c r="A31" s="53" t="s">
        <v>89</v>
      </c>
      <c r="B31" s="46" t="s">
        <v>90</v>
      </c>
      <c r="C31" s="377">
        <f>+'2 Össz'!E30</f>
        <v>40000</v>
      </c>
      <c r="D31" s="24"/>
      <c r="E31" s="24"/>
      <c r="F31" s="24"/>
      <c r="G31" s="24"/>
      <c r="H31" s="24">
        <v>10000</v>
      </c>
      <c r="I31" s="24"/>
      <c r="J31" s="24"/>
      <c r="K31" s="24">
        <v>10000</v>
      </c>
      <c r="L31" s="24"/>
      <c r="M31" s="24">
        <v>10000</v>
      </c>
      <c r="N31" s="24"/>
      <c r="O31" s="24">
        <v>10000</v>
      </c>
      <c r="P31" s="378"/>
      <c r="Q31" s="372"/>
    </row>
    <row r="32" spans="1:17" ht="12.75">
      <c r="A32" s="53" t="s">
        <v>91</v>
      </c>
      <c r="B32" s="46" t="s">
        <v>90</v>
      </c>
      <c r="C32" s="377">
        <f>+'2 Össz'!E31</f>
        <v>4300</v>
      </c>
      <c r="D32" s="24"/>
      <c r="E32" s="24"/>
      <c r="F32" s="24"/>
      <c r="G32" s="24">
        <v>1000</v>
      </c>
      <c r="H32" s="24"/>
      <c r="I32" s="24">
        <v>1000</v>
      </c>
      <c r="J32" s="24"/>
      <c r="K32" s="24"/>
      <c r="L32" s="24"/>
      <c r="M32" s="24">
        <v>1000</v>
      </c>
      <c r="N32" s="24"/>
      <c r="O32" s="24">
        <v>1300</v>
      </c>
      <c r="P32" s="378"/>
      <c r="Q32" s="372"/>
    </row>
    <row r="33" spans="1:17" s="382" customFormat="1" ht="12.75">
      <c r="A33" s="143" t="s">
        <v>92</v>
      </c>
      <c r="B33" s="358" t="s">
        <v>93</v>
      </c>
      <c r="C33" s="379">
        <f>SUM(C19:C32)</f>
        <v>249159</v>
      </c>
      <c r="D33" s="96">
        <f>SUM(D19:D32)</f>
        <v>17072</v>
      </c>
      <c r="E33" s="96">
        <f>SUM(E19:E32)</f>
        <v>17072</v>
      </c>
      <c r="F33" s="96">
        <f>SUM(F19:F32)</f>
        <v>17072</v>
      </c>
      <c r="G33" s="96">
        <f>SUM(G19:G32)</f>
        <v>18072</v>
      </c>
      <c r="H33" s="96">
        <f>SUM(H19:H32)</f>
        <v>27072</v>
      </c>
      <c r="I33" s="96">
        <f>SUM(I19:I32)</f>
        <v>18072</v>
      </c>
      <c r="J33" s="96">
        <f>SUM(J19:J32)</f>
        <v>17072</v>
      </c>
      <c r="K33" s="96">
        <f>SUM(K19:K32)</f>
        <v>27072</v>
      </c>
      <c r="L33" s="96">
        <f>SUM(L19:L32)</f>
        <v>17072</v>
      </c>
      <c r="M33" s="96">
        <f>SUM(M19:M32)</f>
        <v>28072</v>
      </c>
      <c r="N33" s="96">
        <f>SUM(N19:N32)</f>
        <v>17072</v>
      </c>
      <c r="O33" s="96">
        <f>SUM(O19:O32)</f>
        <v>28367</v>
      </c>
      <c r="P33" s="380"/>
      <c r="Q33" s="381"/>
    </row>
    <row r="34" spans="1:17" s="382" customFormat="1" ht="12.75">
      <c r="A34" s="360" t="s">
        <v>94</v>
      </c>
      <c r="B34" s="358" t="s">
        <v>95</v>
      </c>
      <c r="C34" s="379">
        <f>+C33+C18+C17+C11+C10</f>
        <v>2678780</v>
      </c>
      <c r="D34" s="96">
        <f>+D33+D18+D17+D11+D10</f>
        <v>219539</v>
      </c>
      <c r="E34" s="96">
        <f>+E33+E18+E17+E11+E10</f>
        <v>219539</v>
      </c>
      <c r="F34" s="96">
        <f>+F33+F18+F17+F11+F10</f>
        <v>219539</v>
      </c>
      <c r="G34" s="96">
        <f>+G33+G18+G17+G11+G10</f>
        <v>220539</v>
      </c>
      <c r="H34" s="96">
        <f>+H33+H18+H17+H11+H10</f>
        <v>229539</v>
      </c>
      <c r="I34" s="96">
        <f>+I33+I18+I17+I11+I10</f>
        <v>220539</v>
      </c>
      <c r="J34" s="96">
        <f>+J33+J18+J17+J11+J10</f>
        <v>219539</v>
      </c>
      <c r="K34" s="96">
        <f>+K33+K18+K17+K11+K10</f>
        <v>229539</v>
      </c>
      <c r="L34" s="96">
        <f>+L33+L18+L17+L11+L10</f>
        <v>219539</v>
      </c>
      <c r="M34" s="96">
        <f>+M33+M18+M17+M11+M10</f>
        <v>230539</v>
      </c>
      <c r="N34" s="96">
        <f>+N33+N18+N17+N11+N10</f>
        <v>219539</v>
      </c>
      <c r="O34" s="96">
        <f>+O33+O18+O17+O11+O10</f>
        <v>230851</v>
      </c>
      <c r="P34" s="378"/>
      <c r="Q34" s="381"/>
    </row>
    <row r="35" spans="1:17" ht="12.75">
      <c r="A35" s="57" t="s">
        <v>96</v>
      </c>
      <c r="B35" s="46" t="s">
        <v>97</v>
      </c>
      <c r="C35" s="377">
        <f>+'2 Össz'!E34</f>
        <v>843</v>
      </c>
      <c r="D35" s="24"/>
      <c r="E35" s="24"/>
      <c r="F35" s="24"/>
      <c r="G35" s="24"/>
      <c r="H35" s="24">
        <v>843</v>
      </c>
      <c r="I35" s="24"/>
      <c r="J35" s="24"/>
      <c r="K35" s="24"/>
      <c r="L35" s="24"/>
      <c r="M35" s="24"/>
      <c r="N35" s="24"/>
      <c r="O35" s="24"/>
      <c r="P35" s="378"/>
      <c r="Q35" s="372"/>
    </row>
    <row r="36" spans="1:17" ht="12.75">
      <c r="A36" s="57" t="s">
        <v>98</v>
      </c>
      <c r="B36" s="46" t="s">
        <v>99</v>
      </c>
      <c r="C36" s="377">
        <f>+'2 Össz'!E35</f>
        <v>3150</v>
      </c>
      <c r="D36" s="24">
        <v>3150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378"/>
      <c r="Q36" s="372"/>
    </row>
    <row r="37" spans="1:17" ht="12.75">
      <c r="A37" s="57" t="s">
        <v>100</v>
      </c>
      <c r="B37" s="46" t="s">
        <v>101</v>
      </c>
      <c r="C37" s="377">
        <f>+'2 Össz'!E36</f>
        <v>2199</v>
      </c>
      <c r="D37" s="24"/>
      <c r="E37" s="24"/>
      <c r="F37" s="24"/>
      <c r="G37" s="24">
        <v>2199</v>
      </c>
      <c r="H37" s="24"/>
      <c r="I37" s="24"/>
      <c r="J37" s="24"/>
      <c r="K37" s="24"/>
      <c r="L37" s="24"/>
      <c r="M37" s="24"/>
      <c r="N37" s="24"/>
      <c r="O37" s="24"/>
      <c r="P37" s="378"/>
      <c r="Q37" s="372"/>
    </row>
    <row r="38" spans="1:17" ht="12.75">
      <c r="A38" s="57" t="s">
        <v>102</v>
      </c>
      <c r="B38" s="46" t="s">
        <v>103</v>
      </c>
      <c r="C38" s="377">
        <f>+'2 Össz'!E37</f>
        <v>61256</v>
      </c>
      <c r="D38" s="24"/>
      <c r="E38" s="24"/>
      <c r="F38" s="24">
        <v>15000</v>
      </c>
      <c r="G38" s="24">
        <v>13937</v>
      </c>
      <c r="H38" s="24">
        <f>11613+4000</f>
        <v>15613</v>
      </c>
      <c r="I38" s="24">
        <v>12123</v>
      </c>
      <c r="J38" s="24"/>
      <c r="K38" s="24"/>
      <c r="L38" s="24">
        <v>4583</v>
      </c>
      <c r="M38" s="24"/>
      <c r="N38" s="24"/>
      <c r="O38" s="24"/>
      <c r="P38" s="378"/>
      <c r="Q38" s="372"/>
    </row>
    <row r="39" spans="1:17" ht="12.75">
      <c r="A39" s="58" t="s">
        <v>104</v>
      </c>
      <c r="B39" s="46" t="s">
        <v>105</v>
      </c>
      <c r="C39" s="377">
        <f>+'2 Össz'!E38</f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378"/>
      <c r="Q39" s="372"/>
    </row>
    <row r="40" spans="1:17" ht="12.75">
      <c r="A40" s="58" t="s">
        <v>106</v>
      </c>
      <c r="B40" s="46" t="s">
        <v>107</v>
      </c>
      <c r="C40" s="377">
        <f>+'2 Össz'!E39</f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378"/>
      <c r="Q40" s="372"/>
    </row>
    <row r="41" spans="1:17" ht="12.75">
      <c r="A41" s="58" t="s">
        <v>108</v>
      </c>
      <c r="B41" s="46" t="s">
        <v>109</v>
      </c>
      <c r="C41" s="377">
        <f>+'2 Össz'!E40</f>
        <v>18431</v>
      </c>
      <c r="D41" s="24">
        <f>ROUND(SUM(D35:D40)*0.27,0)</f>
        <v>851</v>
      </c>
      <c r="E41" s="24">
        <f>ROUND(SUM(E35:E40)*0.27,0)</f>
        <v>0</v>
      </c>
      <c r="F41" s="24">
        <f>ROUND(SUM(F35:F40)*0.27,0)</f>
        <v>4050</v>
      </c>
      <c r="G41" s="24">
        <f>ROUND(SUM(G35:G40)*0.27,0)</f>
        <v>4357</v>
      </c>
      <c r="H41" s="24">
        <f>ROUND(SUM(H35:H40)*0.27,0)+220</f>
        <v>4663</v>
      </c>
      <c r="I41" s="24">
        <f>ROUND(SUM(I35:I40)*0.27,0)</f>
        <v>3273</v>
      </c>
      <c r="J41" s="24">
        <f>ROUND(SUM(J35:J40)*0.27,0)</f>
        <v>0</v>
      </c>
      <c r="K41" s="24">
        <f>ROUND(SUM(K35:K40)*0.27,0)</f>
        <v>0</v>
      </c>
      <c r="L41" s="24">
        <f>ROUND(SUM(L35:L40)*0.27,0)</f>
        <v>1237</v>
      </c>
      <c r="M41" s="24">
        <f>ROUND(SUM(M35:M40)*0.27,0)</f>
        <v>0</v>
      </c>
      <c r="N41" s="24">
        <f>ROUND(SUM(N35:N40)*0.27,0)</f>
        <v>0</v>
      </c>
      <c r="O41" s="24">
        <f>ROUND(SUM(O35:O40)*0.27,0)</f>
        <v>0</v>
      </c>
      <c r="P41" s="378"/>
      <c r="Q41" s="372"/>
    </row>
    <row r="42" spans="1:17" s="382" customFormat="1" ht="12.75">
      <c r="A42" s="95" t="s">
        <v>110</v>
      </c>
      <c r="B42" s="358" t="s">
        <v>111</v>
      </c>
      <c r="C42" s="379">
        <f>SUM(C35:C41)</f>
        <v>85879</v>
      </c>
      <c r="D42" s="96">
        <f>SUM(D35:D41)</f>
        <v>4001</v>
      </c>
      <c r="E42" s="96">
        <f>SUM(E35:E41)</f>
        <v>0</v>
      </c>
      <c r="F42" s="96">
        <f>SUM(F35:F41)</f>
        <v>19050</v>
      </c>
      <c r="G42" s="96">
        <f>SUM(G35:G41)</f>
        <v>20493</v>
      </c>
      <c r="H42" s="96">
        <f>SUM(H35:H41)</f>
        <v>21119</v>
      </c>
      <c r="I42" s="96">
        <f>SUM(I35:I41)</f>
        <v>15396</v>
      </c>
      <c r="J42" s="96">
        <f>SUM(J35:J41)</f>
        <v>0</v>
      </c>
      <c r="K42" s="96">
        <f>SUM(K35:K41)</f>
        <v>0</v>
      </c>
      <c r="L42" s="96">
        <f>SUM(L35:L41)</f>
        <v>5820</v>
      </c>
      <c r="M42" s="96">
        <f>SUM(M35:M41)</f>
        <v>0</v>
      </c>
      <c r="N42" s="96">
        <f>SUM(N35:N41)</f>
        <v>0</v>
      </c>
      <c r="O42" s="96">
        <f>SUM(O35:O41)</f>
        <v>0</v>
      </c>
      <c r="P42" s="378"/>
      <c r="Q42" s="381"/>
    </row>
    <row r="43" spans="1:17" ht="12.75">
      <c r="A43" s="60" t="s">
        <v>112</v>
      </c>
      <c r="B43" s="46" t="s">
        <v>113</v>
      </c>
      <c r="C43" s="377">
        <f>+'2 Össz'!E42</f>
        <v>1067608</v>
      </c>
      <c r="D43" s="24"/>
      <c r="E43" s="24"/>
      <c r="F43" s="24">
        <v>27562</v>
      </c>
      <c r="G43" s="24"/>
      <c r="H43" s="24">
        <v>26246</v>
      </c>
      <c r="I43" s="24"/>
      <c r="J43" s="24">
        <v>111320</v>
      </c>
      <c r="K43" s="24"/>
      <c r="L43" s="24">
        <v>50250</v>
      </c>
      <c r="M43" s="24"/>
      <c r="N43" s="24">
        <v>400000</v>
      </c>
      <c r="O43" s="24">
        <v>452230</v>
      </c>
      <c r="P43" s="378"/>
      <c r="Q43" s="372"/>
    </row>
    <row r="44" spans="1:17" ht="12.75">
      <c r="A44" s="60" t="s">
        <v>114</v>
      </c>
      <c r="B44" s="46" t="s">
        <v>115</v>
      </c>
      <c r="C44" s="377">
        <f>+'2 Össz'!E43</f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378"/>
      <c r="Q44" s="372"/>
    </row>
    <row r="45" spans="1:17" ht="12.75">
      <c r="A45" s="60" t="s">
        <v>116</v>
      </c>
      <c r="B45" s="46" t="s">
        <v>117</v>
      </c>
      <c r="C45" s="377">
        <f>+'2 Össz'!E44</f>
        <v>149685</v>
      </c>
      <c r="D45" s="24"/>
      <c r="E45" s="24"/>
      <c r="F45" s="24"/>
      <c r="G45" s="24"/>
      <c r="H45" s="24">
        <v>60000</v>
      </c>
      <c r="I45" s="24"/>
      <c r="J45" s="24">
        <v>14370</v>
      </c>
      <c r="K45" s="24"/>
      <c r="L45" s="24">
        <v>9630</v>
      </c>
      <c r="M45" s="24">
        <v>30685</v>
      </c>
      <c r="N45" s="24"/>
      <c r="O45" s="24">
        <v>35000</v>
      </c>
      <c r="P45" s="378"/>
      <c r="Q45" s="372"/>
    </row>
    <row r="46" spans="1:17" ht="12.75">
      <c r="A46" s="60" t="s">
        <v>118</v>
      </c>
      <c r="B46" s="46" t="s">
        <v>119</v>
      </c>
      <c r="C46" s="377">
        <f>+'2 Össz'!E45</f>
        <v>355672</v>
      </c>
      <c r="D46" s="24"/>
      <c r="E46" s="24">
        <f>ROUND(SUM(E43:E45)*0.27,0)</f>
        <v>0</v>
      </c>
      <c r="F46" s="24">
        <f>ROUND(SUM(F43:F45)*0.27,0)</f>
        <v>7442</v>
      </c>
      <c r="G46" s="24">
        <f>ROUND(SUM(G43:G45)*0.27,0)</f>
        <v>0</v>
      </c>
      <c r="H46" s="24">
        <f>ROUND(SUM(H43:H45)*0.27,0)</f>
        <v>23286</v>
      </c>
      <c r="I46" s="24">
        <f>ROUND(SUM(I43:I45)*0.27,0)</f>
        <v>0</v>
      </c>
      <c r="J46" s="24">
        <f>ROUND(SUM(J43:J45)*0.27,0)</f>
        <v>33936</v>
      </c>
      <c r="K46" s="24">
        <f>ROUND(SUM(K43:K45)*0.27,0)</f>
        <v>0</v>
      </c>
      <c r="L46" s="24">
        <f>ROUND(SUM(L43:L45)*0.27,0)</f>
        <v>16168</v>
      </c>
      <c r="M46" s="24">
        <f>ROUND(SUM(M43:M45)*0.27,0)</f>
        <v>8285</v>
      </c>
      <c r="N46" s="24">
        <f>ROUND(SUM(N43:N45)*0.27,0)</f>
        <v>108000</v>
      </c>
      <c r="O46" s="24">
        <f>ROUND(SUM(O43:O45)*0.27,0)+27003</f>
        <v>158555</v>
      </c>
      <c r="P46" s="378"/>
      <c r="Q46" s="372"/>
    </row>
    <row r="47" spans="1:17" s="382" customFormat="1" ht="12.75">
      <c r="A47" s="94" t="s">
        <v>120</v>
      </c>
      <c r="B47" s="358" t="s">
        <v>121</v>
      </c>
      <c r="C47" s="379">
        <f>SUM(C43:C46)</f>
        <v>1572965</v>
      </c>
      <c r="D47" s="96">
        <f>SUM(D43:D46)</f>
        <v>0</v>
      </c>
      <c r="E47" s="96">
        <f>SUM(E43:E46)</f>
        <v>0</v>
      </c>
      <c r="F47" s="96">
        <f>SUM(F43:F46)</f>
        <v>35004</v>
      </c>
      <c r="G47" s="96">
        <f>SUM(G43:G46)</f>
        <v>0</v>
      </c>
      <c r="H47" s="96">
        <f>SUM(H43:H46)</f>
        <v>109532</v>
      </c>
      <c r="I47" s="96">
        <f>SUM(I43:I46)</f>
        <v>0</v>
      </c>
      <c r="J47" s="96">
        <f>SUM(J43:J46)</f>
        <v>159626</v>
      </c>
      <c r="K47" s="96">
        <f>SUM(K43:K46)</f>
        <v>0</v>
      </c>
      <c r="L47" s="96">
        <f>SUM(L43:L46)</f>
        <v>76048</v>
      </c>
      <c r="M47" s="96">
        <f>SUM(M43:M46)</f>
        <v>38970</v>
      </c>
      <c r="N47" s="96">
        <f>SUM(N43:N46)</f>
        <v>508000</v>
      </c>
      <c r="O47" s="96">
        <f>SUM(O43:O46)</f>
        <v>645785</v>
      </c>
      <c r="P47" s="378"/>
      <c r="Q47" s="381"/>
    </row>
    <row r="48" spans="1:17" ht="12.75">
      <c r="A48" s="60" t="s">
        <v>122</v>
      </c>
      <c r="B48" s="46" t="s">
        <v>123</v>
      </c>
      <c r="C48" s="377">
        <f>+'2 Össz'!E47</f>
        <v>0</v>
      </c>
      <c r="D48" s="24">
        <f>+ROUND($C$48/12,0)</f>
        <v>0</v>
      </c>
      <c r="E48" s="24">
        <f>+ROUND($C$48/12,0)</f>
        <v>0</v>
      </c>
      <c r="F48" s="24">
        <f>+ROUND($C$48/12,0)</f>
        <v>0</v>
      </c>
      <c r="G48" s="24">
        <f>+ROUND($C$48/12,0)</f>
        <v>0</v>
      </c>
      <c r="H48" s="24">
        <f>+ROUND($C$48/12,0)</f>
        <v>0</v>
      </c>
      <c r="I48" s="24">
        <f>+ROUND($C$48/12,0)</f>
        <v>0</v>
      </c>
      <c r="J48" s="24">
        <f>+ROUND($C$48/12,0)</f>
        <v>0</v>
      </c>
      <c r="K48" s="24">
        <f>+ROUND($C$48/12,0)</f>
        <v>0</v>
      </c>
      <c r="L48" s="24">
        <f>+ROUND($C$48/12,0)</f>
        <v>0</v>
      </c>
      <c r="M48" s="24">
        <f>+ROUND($C$48/12,0)</f>
        <v>0</v>
      </c>
      <c r="N48" s="24">
        <f>+ROUND($C$48/12,0)</f>
        <v>0</v>
      </c>
      <c r="O48" s="24">
        <f>+ROUND($C$48/12,0)</f>
        <v>0</v>
      </c>
      <c r="P48" s="378"/>
      <c r="Q48" s="372"/>
    </row>
    <row r="49" spans="1:17" ht="12.75">
      <c r="A49" s="60" t="s">
        <v>124</v>
      </c>
      <c r="B49" s="46" t="s">
        <v>125</v>
      </c>
      <c r="C49" s="377">
        <f>+'2 Össz'!E48</f>
        <v>0</v>
      </c>
      <c r="D49" s="24">
        <f>+ROUND($C$49/12,0)</f>
        <v>0</v>
      </c>
      <c r="E49" s="24">
        <f>+ROUND($C$49/12,0)</f>
        <v>0</v>
      </c>
      <c r="F49" s="24">
        <f>+ROUND($C$49/12,0)</f>
        <v>0</v>
      </c>
      <c r="G49" s="24">
        <f>+ROUND($C$49/12,0)</f>
        <v>0</v>
      </c>
      <c r="H49" s="24">
        <f>+ROUND($C$49/12,0)</f>
        <v>0</v>
      </c>
      <c r="I49" s="24">
        <f>+ROUND($C$49/12,0)</f>
        <v>0</v>
      </c>
      <c r="J49" s="24">
        <f>+ROUND($C$49/12,0)</f>
        <v>0</v>
      </c>
      <c r="K49" s="24">
        <f>+ROUND($C$49/12,0)</f>
        <v>0</v>
      </c>
      <c r="L49" s="24">
        <f>+ROUND($C$49/12,0)</f>
        <v>0</v>
      </c>
      <c r="M49" s="24">
        <f>+ROUND($C$49/12,0)</f>
        <v>0</v>
      </c>
      <c r="N49" s="24">
        <f>+ROUND($C$49/12,0)</f>
        <v>0</v>
      </c>
      <c r="O49" s="24">
        <f>+ROUND($C$49/12,0)</f>
        <v>0</v>
      </c>
      <c r="P49" s="378"/>
      <c r="Q49" s="372"/>
    </row>
    <row r="50" spans="1:17" ht="12.75">
      <c r="A50" s="60" t="s">
        <v>126</v>
      </c>
      <c r="B50" s="46" t="s">
        <v>127</v>
      </c>
      <c r="C50" s="377">
        <f>+'2 Össz'!E49</f>
        <v>0</v>
      </c>
      <c r="D50" s="24">
        <f>+ROUND($C$50/12,0)</f>
        <v>0</v>
      </c>
      <c r="E50" s="24">
        <f>+ROUND($C$50/12,0)</f>
        <v>0</v>
      </c>
      <c r="F50" s="24">
        <f>+ROUND($C$50/12,0)</f>
        <v>0</v>
      </c>
      <c r="G50" s="24">
        <f>+ROUND($C$50/12,0)</f>
        <v>0</v>
      </c>
      <c r="H50" s="24">
        <f>+ROUND($C$50/12,0)</f>
        <v>0</v>
      </c>
      <c r="I50" s="24">
        <f>+ROUND($C$50/12,0)</f>
        <v>0</v>
      </c>
      <c r="J50" s="24">
        <f>+ROUND($C$50/12,0)</f>
        <v>0</v>
      </c>
      <c r="K50" s="24">
        <f>+ROUND($C$50/12,0)</f>
        <v>0</v>
      </c>
      <c r="L50" s="24">
        <f>+ROUND($C$50/12,0)</f>
        <v>0</v>
      </c>
      <c r="M50" s="24">
        <f>+ROUND($C$50/12,0)</f>
        <v>0</v>
      </c>
      <c r="N50" s="24">
        <f>+ROUND($C$50/12,0)</f>
        <v>0</v>
      </c>
      <c r="O50" s="24">
        <f>+ROUND($C$50/12,0)</f>
        <v>0</v>
      </c>
      <c r="P50" s="378"/>
      <c r="Q50" s="372"/>
    </row>
    <row r="51" spans="1:17" ht="12.75">
      <c r="A51" s="60" t="s">
        <v>128</v>
      </c>
      <c r="B51" s="46" t="s">
        <v>129</v>
      </c>
      <c r="C51" s="377">
        <f>+'2 Össz'!E50</f>
        <v>59132</v>
      </c>
      <c r="D51" s="24">
        <f>+ROUND($C$51/12,0)</f>
        <v>4928</v>
      </c>
      <c r="E51" s="24">
        <f>+ROUND($C$51/12,0)</f>
        <v>4928</v>
      </c>
      <c r="F51" s="24">
        <f>+ROUND($C$51/12,0)</f>
        <v>4928</v>
      </c>
      <c r="G51" s="24">
        <f>+ROUND($C$51/12,0)</f>
        <v>4928</v>
      </c>
      <c r="H51" s="24">
        <f>+ROUND($C$51/12,0)</f>
        <v>4928</v>
      </c>
      <c r="I51" s="24">
        <f>+ROUND($C$51/12,0)</f>
        <v>4928</v>
      </c>
      <c r="J51" s="24">
        <f>+ROUND($C$51/12,0)</f>
        <v>4928</v>
      </c>
      <c r="K51" s="24">
        <f>+ROUND($C$51/12,0)</f>
        <v>4928</v>
      </c>
      <c r="L51" s="24">
        <f>+ROUND($C$51/12,0)</f>
        <v>4928</v>
      </c>
      <c r="M51" s="24">
        <f>+ROUND($C$51/12,0)</f>
        <v>4928</v>
      </c>
      <c r="N51" s="24">
        <f>+ROUND($C$51/12,0)</f>
        <v>4928</v>
      </c>
      <c r="O51" s="24">
        <f>+ROUND($C$51/12,0)-4</f>
        <v>4924</v>
      </c>
      <c r="P51" s="378"/>
      <c r="Q51" s="372"/>
    </row>
    <row r="52" spans="1:17" ht="12.75">
      <c r="A52" s="60" t="s">
        <v>130</v>
      </c>
      <c r="B52" s="46" t="s">
        <v>131</v>
      </c>
      <c r="C52" s="377">
        <f>+'2 Össz'!E51</f>
        <v>0</v>
      </c>
      <c r="D52" s="24">
        <f>+ROUND($C$52/12,0)</f>
        <v>0</v>
      </c>
      <c r="E52" s="24">
        <f>+ROUND($C$52/12,0)</f>
        <v>0</v>
      </c>
      <c r="F52" s="24">
        <f>+ROUND($C$52/12,0)</f>
        <v>0</v>
      </c>
      <c r="G52" s="24">
        <f>+ROUND($C$52/12,0)</f>
        <v>0</v>
      </c>
      <c r="H52" s="24">
        <f>+ROUND($C$52/12,0)</f>
        <v>0</v>
      </c>
      <c r="I52" s="24">
        <f>+ROUND($C$52/12,0)</f>
        <v>0</v>
      </c>
      <c r="J52" s="24">
        <f>+ROUND($C$52/12,0)</f>
        <v>0</v>
      </c>
      <c r="K52" s="24">
        <f>+ROUND($C$52/12,0)</f>
        <v>0</v>
      </c>
      <c r="L52" s="24">
        <f>+ROUND($C$52/12,0)</f>
        <v>0</v>
      </c>
      <c r="M52" s="24">
        <f>+ROUND($C$52/12,0)</f>
        <v>0</v>
      </c>
      <c r="N52" s="24">
        <f>+ROUND($C$52/12,0)</f>
        <v>0</v>
      </c>
      <c r="O52" s="24">
        <f>+ROUND($C$52/12,0)</f>
        <v>0</v>
      </c>
      <c r="P52" s="378"/>
      <c r="Q52" s="372"/>
    </row>
    <row r="53" spans="1:17" ht="12.75">
      <c r="A53" s="60" t="s">
        <v>132</v>
      </c>
      <c r="B53" s="46" t="s">
        <v>133</v>
      </c>
      <c r="C53" s="377">
        <f>+'2 Össz'!E52</f>
        <v>0</v>
      </c>
      <c r="D53" s="24">
        <f>+ROUND($C$53/12,0)</f>
        <v>0</v>
      </c>
      <c r="E53" s="24">
        <f>+ROUND($C$53/12,0)</f>
        <v>0</v>
      </c>
      <c r="F53" s="24">
        <f>+ROUND($C$53/12,0)</f>
        <v>0</v>
      </c>
      <c r="G53" s="24">
        <f>+ROUND($C$53/12,0)</f>
        <v>0</v>
      </c>
      <c r="H53" s="24">
        <f>+ROUND($C$53/12,0)</f>
        <v>0</v>
      </c>
      <c r="I53" s="24">
        <f>+ROUND($C$53/12,0)</f>
        <v>0</v>
      </c>
      <c r="J53" s="24">
        <f>+ROUND($C$53/12,0)</f>
        <v>0</v>
      </c>
      <c r="K53" s="24">
        <f>+ROUND($C$53/12,0)</f>
        <v>0</v>
      </c>
      <c r="L53" s="24">
        <f>+ROUND($C$53/12,0)</f>
        <v>0</v>
      </c>
      <c r="M53" s="24">
        <f>+ROUND($C$53/12,0)</f>
        <v>0</v>
      </c>
      <c r="N53" s="24">
        <f>+ROUND($C$53/12,0)</f>
        <v>0</v>
      </c>
      <c r="O53" s="24">
        <f>+ROUND($C$53/12,0)</f>
        <v>0</v>
      </c>
      <c r="P53" s="378"/>
      <c r="Q53" s="372"/>
    </row>
    <row r="54" spans="1:17" ht="12.75">
      <c r="A54" s="60" t="s">
        <v>134</v>
      </c>
      <c r="B54" s="46" t="s">
        <v>135</v>
      </c>
      <c r="C54" s="377">
        <f>+'2 Össz'!E53</f>
        <v>0</v>
      </c>
      <c r="D54" s="24">
        <f>+ROUND($C$54/12,0)</f>
        <v>0</v>
      </c>
      <c r="E54" s="24">
        <f>+ROUND($C$54/12,0)</f>
        <v>0</v>
      </c>
      <c r="F54" s="24">
        <f>+ROUND($C$54/12,0)</f>
        <v>0</v>
      </c>
      <c r="G54" s="24">
        <f>+ROUND($C$54/12,0)</f>
        <v>0</v>
      </c>
      <c r="H54" s="24">
        <f>+ROUND($C$54/12,0)</f>
        <v>0</v>
      </c>
      <c r="I54" s="24">
        <f>+ROUND($C$54/12,0)</f>
        <v>0</v>
      </c>
      <c r="J54" s="24">
        <f>+ROUND($C$54/12,0)</f>
        <v>0</v>
      </c>
      <c r="K54" s="24">
        <f>+ROUND($C$54/12,0)</f>
        <v>0</v>
      </c>
      <c r="L54" s="24">
        <f>+ROUND($C$54/12,0)</f>
        <v>0</v>
      </c>
      <c r="M54" s="24">
        <f>+ROUND($C$54/12,0)</f>
        <v>0</v>
      </c>
      <c r="N54" s="24">
        <f>+ROUND($C$54/12,0)</f>
        <v>0</v>
      </c>
      <c r="O54" s="24">
        <f>+ROUND($C$54/12,0)</f>
        <v>0</v>
      </c>
      <c r="P54" s="378"/>
      <c r="Q54" s="372"/>
    </row>
    <row r="55" spans="1:17" ht="12.75">
      <c r="A55" s="60" t="s">
        <v>136</v>
      </c>
      <c r="B55" s="46" t="s">
        <v>137</v>
      </c>
      <c r="C55" s="377">
        <f>+'2 Össz'!E54</f>
        <v>0</v>
      </c>
      <c r="D55" s="24">
        <f>+ROUND($C$54/12,0)</f>
        <v>0</v>
      </c>
      <c r="E55" s="24">
        <f>+ROUND($C$54/12,0)</f>
        <v>0</v>
      </c>
      <c r="F55" s="24">
        <f>+ROUND($C$54/12,0)</f>
        <v>0</v>
      </c>
      <c r="G55" s="24">
        <f>+ROUND($C$54/12,0)</f>
        <v>0</v>
      </c>
      <c r="H55" s="24">
        <f>+ROUND($C$54/12,0)</f>
        <v>0</v>
      </c>
      <c r="I55" s="24">
        <f>+ROUND($C$54/12,0)</f>
        <v>0</v>
      </c>
      <c r="J55" s="24">
        <f>+ROUND($C$54/12,0)</f>
        <v>0</v>
      </c>
      <c r="K55" s="24">
        <f>+ROUND($C$54/12,0)</f>
        <v>0</v>
      </c>
      <c r="L55" s="24">
        <f>+ROUND($C$54/12,0)</f>
        <v>0</v>
      </c>
      <c r="M55" s="24">
        <f>+ROUND($C$54/12,0)</f>
        <v>0</v>
      </c>
      <c r="N55" s="24">
        <f>+ROUND($C$54/12,0)</f>
        <v>0</v>
      </c>
      <c r="O55" s="24">
        <f>+ROUND($C$54/12,0)</f>
        <v>0</v>
      </c>
      <c r="P55" s="378"/>
      <c r="Q55" s="372"/>
    </row>
    <row r="56" spans="1:17" ht="12.75">
      <c r="A56" s="60" t="s">
        <v>138</v>
      </c>
      <c r="B56" s="46" t="s">
        <v>139</v>
      </c>
      <c r="C56" s="377">
        <f>+'2 Össz'!E55</f>
        <v>3000</v>
      </c>
      <c r="D56" s="24">
        <f>+ROUND($C$56/12,0)</f>
        <v>250</v>
      </c>
      <c r="E56" s="24">
        <f>+ROUND($C$56/12,0)</f>
        <v>250</v>
      </c>
      <c r="F56" s="24">
        <f>+ROUND($C$56/12,0)</f>
        <v>250</v>
      </c>
      <c r="G56" s="24">
        <f>+ROUND($C$56/12,0)</f>
        <v>250</v>
      </c>
      <c r="H56" s="24">
        <f>+ROUND($C$56/12,0)</f>
        <v>250</v>
      </c>
      <c r="I56" s="24">
        <f>+ROUND($C$56/12,0)</f>
        <v>250</v>
      </c>
      <c r="J56" s="24">
        <f>+ROUND($C$56/12,0)</f>
        <v>250</v>
      </c>
      <c r="K56" s="24">
        <f>+ROUND($C$56/12,0)</f>
        <v>250</v>
      </c>
      <c r="L56" s="24">
        <f>+ROUND($C$56/12,0)</f>
        <v>250</v>
      </c>
      <c r="M56" s="24">
        <f>+ROUND($C$56/12,0)</f>
        <v>250</v>
      </c>
      <c r="N56" s="24">
        <f>+ROUND($C$56/12,0)</f>
        <v>250</v>
      </c>
      <c r="O56" s="24">
        <f>+ROUND($C$56/12,0)</f>
        <v>250</v>
      </c>
      <c r="P56" s="378"/>
      <c r="Q56" s="372"/>
    </row>
    <row r="57" spans="1:17" s="382" customFormat="1" ht="12.75">
      <c r="A57" s="143" t="s">
        <v>140</v>
      </c>
      <c r="B57" s="358" t="s">
        <v>141</v>
      </c>
      <c r="C57" s="379">
        <f>SUM(C48:C56)</f>
        <v>62132</v>
      </c>
      <c r="D57" s="96">
        <f>SUM(D48:D56)</f>
        <v>5178</v>
      </c>
      <c r="E57" s="96">
        <f>SUM(E48:E56)</f>
        <v>5178</v>
      </c>
      <c r="F57" s="96">
        <f>SUM(F48:F56)</f>
        <v>5178</v>
      </c>
      <c r="G57" s="96">
        <f>SUM(G48:G56)</f>
        <v>5178</v>
      </c>
      <c r="H57" s="96">
        <f>SUM(H48:H56)</f>
        <v>5178</v>
      </c>
      <c r="I57" s="96">
        <f>SUM(I48:I56)</f>
        <v>5178</v>
      </c>
      <c r="J57" s="96">
        <f>SUM(J48:J56)</f>
        <v>5178</v>
      </c>
      <c r="K57" s="96">
        <f>SUM(K48:K56)</f>
        <v>5178</v>
      </c>
      <c r="L57" s="96">
        <f>SUM(L48:L56)</f>
        <v>5178</v>
      </c>
      <c r="M57" s="96">
        <f>SUM(M48:M56)</f>
        <v>5178</v>
      </c>
      <c r="N57" s="96">
        <f>SUM(N48:N56)</f>
        <v>5178</v>
      </c>
      <c r="O57" s="96">
        <f>SUM(O48:O56)</f>
        <v>5174</v>
      </c>
      <c r="P57" s="378"/>
      <c r="Q57" s="381"/>
    </row>
    <row r="58" spans="1:17" s="382" customFormat="1" ht="12.75">
      <c r="A58" s="360" t="s">
        <v>142</v>
      </c>
      <c r="B58" s="358" t="s">
        <v>143</v>
      </c>
      <c r="C58" s="379">
        <f>+C57+C47+C42</f>
        <v>1720976</v>
      </c>
      <c r="D58" s="96">
        <f>+D57+D47+D42</f>
        <v>9179</v>
      </c>
      <c r="E58" s="96">
        <f>+E57+E47+E42</f>
        <v>5178</v>
      </c>
      <c r="F58" s="96">
        <f>+F57+F47+F42</f>
        <v>59232</v>
      </c>
      <c r="G58" s="96">
        <f>+G57+G47+G42</f>
        <v>25671</v>
      </c>
      <c r="H58" s="96">
        <f>+H57+H47+H42</f>
        <v>135829</v>
      </c>
      <c r="I58" s="96">
        <f>+I57+I47+I42</f>
        <v>20574</v>
      </c>
      <c r="J58" s="96">
        <f>+J57+J47+J42</f>
        <v>164804</v>
      </c>
      <c r="K58" s="96">
        <f>+K57+K47+K42</f>
        <v>5178</v>
      </c>
      <c r="L58" s="96">
        <f>+L57+L47+L42</f>
        <v>87046</v>
      </c>
      <c r="M58" s="96">
        <f>+M57+M47+M42</f>
        <v>44148</v>
      </c>
      <c r="N58" s="96">
        <f>+N57+N47+N42</f>
        <v>513178</v>
      </c>
      <c r="O58" s="96">
        <f>+O57+O47+O42</f>
        <v>650959</v>
      </c>
      <c r="P58" s="378"/>
      <c r="Q58" s="381"/>
    </row>
    <row r="59" spans="1:17" s="382" customFormat="1" ht="12.75">
      <c r="A59" s="95" t="s">
        <v>144</v>
      </c>
      <c r="B59" s="358" t="s">
        <v>145</v>
      </c>
      <c r="C59" s="379">
        <f>+C34+C58</f>
        <v>4399756</v>
      </c>
      <c r="D59" s="96">
        <f>+D57+D47+D42+D33+D18+D17+D11+D10</f>
        <v>228718</v>
      </c>
      <c r="E59" s="96">
        <f>+E57+E47+E42+E33+E18+E17+E11+E10</f>
        <v>224717</v>
      </c>
      <c r="F59" s="96">
        <f>+F57+F47+F42+F33+F18+F17+F11+F10</f>
        <v>278771</v>
      </c>
      <c r="G59" s="96">
        <f>+G57+G47+G42+G33+G18+G17+G11+G10</f>
        <v>246210</v>
      </c>
      <c r="H59" s="96">
        <f>+H57+H47+H42+H33+H18+H17+H11+H10</f>
        <v>365368</v>
      </c>
      <c r="I59" s="96">
        <f>+I57+I47+I42+I33+I18+I17+I11+I10</f>
        <v>241113</v>
      </c>
      <c r="J59" s="96">
        <f>+J57+J47+J42+J33+J18+J17+J11+J10</f>
        <v>384343</v>
      </c>
      <c r="K59" s="96">
        <f>+K57+K47+K42+K33+K18+K17+K11+K10</f>
        <v>234717</v>
      </c>
      <c r="L59" s="96">
        <f>+L57+L47+L42+L33+L18+L17+L11+L10</f>
        <v>306585</v>
      </c>
      <c r="M59" s="96">
        <f>+M57+M47+M42+M33+M18+M17+M11+M10</f>
        <v>274687</v>
      </c>
      <c r="N59" s="96">
        <f>+N57+N47+N42+N33+N18+N17+N11+N10</f>
        <v>732717</v>
      </c>
      <c r="O59" s="96">
        <f>+O57+O47+O42+O33+O18+O17+O11+O10</f>
        <v>881810</v>
      </c>
      <c r="P59" s="380"/>
      <c r="Q59" s="381"/>
    </row>
    <row r="60" spans="1:17" ht="12.75">
      <c r="A60" s="60" t="s">
        <v>146</v>
      </c>
      <c r="B60" s="47" t="s">
        <v>147</v>
      </c>
      <c r="C60" s="377">
        <f>+'2 Össz'!E59</f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378"/>
      <c r="Q60" s="372"/>
    </row>
    <row r="61" spans="1:17" ht="12.75">
      <c r="A61" s="60" t="s">
        <v>148</v>
      </c>
      <c r="B61" s="47" t="s">
        <v>149</v>
      </c>
      <c r="C61" s="377">
        <f>+'2 Össz'!E60</f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78"/>
      <c r="Q61" s="372"/>
    </row>
    <row r="62" spans="1:17" ht="12.75">
      <c r="A62" s="60" t="s">
        <v>150</v>
      </c>
      <c r="B62" s="47" t="s">
        <v>151</v>
      </c>
      <c r="C62" s="377">
        <f>+'2 Össz'!E61</f>
        <v>88500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>
        <v>88500</v>
      </c>
      <c r="P62" s="378"/>
      <c r="Q62" s="372"/>
    </row>
    <row r="63" spans="1:17" s="382" customFormat="1" ht="12.75">
      <c r="A63" s="143" t="s">
        <v>152</v>
      </c>
      <c r="B63" s="94" t="s">
        <v>153</v>
      </c>
      <c r="C63" s="379">
        <f>SUM(C60:C62)</f>
        <v>88500</v>
      </c>
      <c r="D63" s="361">
        <f>SUM(D60:D62)</f>
        <v>0</v>
      </c>
      <c r="E63" s="361">
        <f>SUM(E60:E62)</f>
        <v>0</v>
      </c>
      <c r="F63" s="361">
        <f>SUM(F60:F62)</f>
        <v>0</v>
      </c>
      <c r="G63" s="361">
        <f>SUM(G60:G62)</f>
        <v>0</v>
      </c>
      <c r="H63" s="361">
        <f>SUM(H60:H62)</f>
        <v>0</v>
      </c>
      <c r="I63" s="361">
        <f>SUM(I60:I62)</f>
        <v>0</v>
      </c>
      <c r="J63" s="361">
        <f>SUM(J60:J62)</f>
        <v>0</v>
      </c>
      <c r="K63" s="361">
        <f>SUM(K60:K62)</f>
        <v>0</v>
      </c>
      <c r="L63" s="361">
        <f>SUM(L60:L62)</f>
        <v>0</v>
      </c>
      <c r="M63" s="361">
        <f>SUM(M60:M62)</f>
        <v>0</v>
      </c>
      <c r="N63" s="361">
        <f>SUM(N60:N62)</f>
        <v>0</v>
      </c>
      <c r="O63" s="361">
        <f>SUM(O60:O62)</f>
        <v>88500</v>
      </c>
      <c r="P63" s="380"/>
      <c r="Q63" s="381"/>
    </row>
    <row r="64" spans="1:17" s="386" customFormat="1" ht="12.75">
      <c r="A64" s="68" t="s">
        <v>154</v>
      </c>
      <c r="B64" s="47" t="s">
        <v>155</v>
      </c>
      <c r="C64" s="377">
        <f>+'2 Össz'!E63</f>
        <v>0</v>
      </c>
      <c r="D64" s="24">
        <f>+ROUND($C$65/12,0)</f>
        <v>0</v>
      </c>
      <c r="E64" s="24">
        <f>+ROUND($C$65/12,0)</f>
        <v>0</v>
      </c>
      <c r="F64" s="24">
        <f>+ROUND($C$65/12,0)</f>
        <v>0</v>
      </c>
      <c r="G64" s="24">
        <f>+ROUND($C$65/12,0)</f>
        <v>0</v>
      </c>
      <c r="H64" s="24">
        <f>+ROUND($C$65/12,0)</f>
        <v>0</v>
      </c>
      <c r="I64" s="24">
        <f>+ROUND($C$65/12,0)</f>
        <v>0</v>
      </c>
      <c r="J64" s="24">
        <f>+ROUND($C$65/12,0)</f>
        <v>0</v>
      </c>
      <c r="K64" s="24">
        <f>+ROUND($C$65/12,0)</f>
        <v>0</v>
      </c>
      <c r="L64" s="24">
        <f>+ROUND($C$65/12,0)</f>
        <v>0</v>
      </c>
      <c r="M64" s="24">
        <f>+ROUND($C$65/12,0)</f>
        <v>0</v>
      </c>
      <c r="N64" s="24">
        <f>+ROUND($C$65/12,0)</f>
        <v>0</v>
      </c>
      <c r="O64" s="24">
        <f>+ROUND($C$65/12,0)</f>
        <v>0</v>
      </c>
      <c r="P64" s="383"/>
      <c r="Q64" s="384"/>
    </row>
    <row r="65" spans="1:17" ht="12.75">
      <c r="A65" s="68" t="s">
        <v>156</v>
      </c>
      <c r="B65" s="47" t="s">
        <v>157</v>
      </c>
      <c r="C65" s="377">
        <f>+'2 Össz'!E64</f>
        <v>0</v>
      </c>
      <c r="D65" s="24">
        <f>+ROUND($C$65/12,0)</f>
        <v>0</v>
      </c>
      <c r="E65" s="24">
        <f>+ROUND($C$65/12,0)</f>
        <v>0</v>
      </c>
      <c r="F65" s="24">
        <f>+ROUND($C$65/12,0)</f>
        <v>0</v>
      </c>
      <c r="G65" s="24">
        <f>+ROUND($C$65/12,0)</f>
        <v>0</v>
      </c>
      <c r="H65" s="24">
        <f>+ROUND($C$65/12,0)</f>
        <v>0</v>
      </c>
      <c r="I65" s="24">
        <f>+ROUND($C$65/12,0)</f>
        <v>0</v>
      </c>
      <c r="J65" s="24">
        <f>+ROUND($C$65/12,0)</f>
        <v>0</v>
      </c>
      <c r="K65" s="24">
        <f>+ROUND($C$65/12,0)</f>
        <v>0</v>
      </c>
      <c r="L65" s="24">
        <f>+ROUND($C$65/12,0)</f>
        <v>0</v>
      </c>
      <c r="M65" s="24">
        <f>+ROUND($C$65/12,0)</f>
        <v>0</v>
      </c>
      <c r="N65" s="24">
        <f>+ROUND($C$65/12,0)</f>
        <v>0</v>
      </c>
      <c r="O65" s="24">
        <f>+ROUND($C$65/12,0)</f>
        <v>0</v>
      </c>
      <c r="P65" s="378"/>
      <c r="Q65" s="372"/>
    </row>
    <row r="66" spans="1:17" ht="12.75">
      <c r="A66" s="68" t="s">
        <v>158</v>
      </c>
      <c r="B66" s="47" t="s">
        <v>159</v>
      </c>
      <c r="C66" s="377">
        <f>+'2 Össz'!E65</f>
        <v>0</v>
      </c>
      <c r="D66" s="24">
        <f>+ROUND($C$66/12,0)</f>
        <v>0</v>
      </c>
      <c r="E66" s="24">
        <f>+ROUND($C$66/12,0)</f>
        <v>0</v>
      </c>
      <c r="F66" s="24">
        <f>+ROUND($C$66/12,0)</f>
        <v>0</v>
      </c>
      <c r="G66" s="24">
        <f>+ROUND($C$66/12,0)</f>
        <v>0</v>
      </c>
      <c r="H66" s="24">
        <f>+ROUND($C$66/12,0)</f>
        <v>0</v>
      </c>
      <c r="I66" s="24">
        <f>+ROUND($C$66/12,0)</f>
        <v>0</v>
      </c>
      <c r="J66" s="24">
        <f>+ROUND($C$66/12,0)</f>
        <v>0</v>
      </c>
      <c r="K66" s="24">
        <f>+ROUND($C$66/12,0)</f>
        <v>0</v>
      </c>
      <c r="L66" s="24">
        <f>+ROUND($C$66/12,0)</f>
        <v>0</v>
      </c>
      <c r="M66" s="24">
        <f>+ROUND($C$66/12,0)</f>
        <v>0</v>
      </c>
      <c r="N66" s="24">
        <f>+ROUND($C$66/12,0)</f>
        <v>0</v>
      </c>
      <c r="O66" s="24">
        <f>+ROUND($C$66/12,0)</f>
        <v>0</v>
      </c>
      <c r="P66" s="378"/>
      <c r="Q66" s="372"/>
    </row>
    <row r="67" spans="1:17" ht="12.75">
      <c r="A67" s="68" t="s">
        <v>810</v>
      </c>
      <c r="B67" s="47" t="s">
        <v>161</v>
      </c>
      <c r="C67" s="377">
        <f>+'2 Össz'!E66</f>
        <v>0</v>
      </c>
      <c r="D67" s="24">
        <f>+ROUND($C$67/12,0)</f>
        <v>0</v>
      </c>
      <c r="E67" s="24">
        <f>+ROUND($C$67/12,0)</f>
        <v>0</v>
      </c>
      <c r="F67" s="24">
        <f>+ROUND($C$67/12,0)</f>
        <v>0</v>
      </c>
      <c r="G67" s="24">
        <f>+ROUND($C$67/12,0)</f>
        <v>0</v>
      </c>
      <c r="H67" s="24">
        <f>+ROUND($C$67/12,0)</f>
        <v>0</v>
      </c>
      <c r="I67" s="24">
        <f>+ROUND($C$67/12,0)</f>
        <v>0</v>
      </c>
      <c r="J67" s="24">
        <f>+ROUND($C$67/12,0)</f>
        <v>0</v>
      </c>
      <c r="K67" s="24">
        <f>+ROUND($C$67/12,0)</f>
        <v>0</v>
      </c>
      <c r="L67" s="24">
        <f>+ROUND($C$67/12,0)</f>
        <v>0</v>
      </c>
      <c r="M67" s="24">
        <f>+ROUND($C$67/12,0)</f>
        <v>0</v>
      </c>
      <c r="N67" s="24">
        <f>+ROUND($C$67/12,0)</f>
        <v>0</v>
      </c>
      <c r="O67" s="24">
        <f>+ROUND($C$67/12,0)</f>
        <v>0</v>
      </c>
      <c r="P67" s="378"/>
      <c r="Q67" s="372"/>
    </row>
    <row r="68" spans="1:17" ht="12.75">
      <c r="A68" s="68" t="s">
        <v>699</v>
      </c>
      <c r="B68" s="47" t="s">
        <v>163</v>
      </c>
      <c r="C68" s="377">
        <f>+'2 Össz'!E67</f>
        <v>0</v>
      </c>
      <c r="D68" s="24">
        <f>+ROUND($C$68/12,0)</f>
        <v>0</v>
      </c>
      <c r="E68" s="24">
        <f>+ROUND($C$68/12,0)</f>
        <v>0</v>
      </c>
      <c r="F68" s="24">
        <f>+ROUND($C$68/12,0)</f>
        <v>0</v>
      </c>
      <c r="G68" s="24">
        <f>+ROUND($C$68/12,0)</f>
        <v>0</v>
      </c>
      <c r="H68" s="24">
        <f>+ROUND($C$68/12,0)</f>
        <v>0</v>
      </c>
      <c r="I68" s="24">
        <f>+ROUND($C$68/12,0)</f>
        <v>0</v>
      </c>
      <c r="J68" s="24">
        <f>+ROUND($C$68/12,0)</f>
        <v>0</v>
      </c>
      <c r="K68" s="24">
        <f>+ROUND($C$68/12,0)</f>
        <v>0</v>
      </c>
      <c r="L68" s="24">
        <f>+ROUND($C$68/12,0)</f>
        <v>0</v>
      </c>
      <c r="M68" s="24">
        <f>+ROUND($C$68/12,0)</f>
        <v>0</v>
      </c>
      <c r="N68" s="24">
        <f>+ROUND($C$68/12,0)</f>
        <v>0</v>
      </c>
      <c r="O68" s="24">
        <f>+ROUND($C$68/12,0)</f>
        <v>0</v>
      </c>
      <c r="P68" s="378"/>
      <c r="Q68" s="372"/>
    </row>
    <row r="69" spans="1:17" ht="12.75">
      <c r="A69" s="68" t="s">
        <v>164</v>
      </c>
      <c r="B69" s="47" t="s">
        <v>165</v>
      </c>
      <c r="C69" s="377">
        <f>+'2 Össz'!E68</f>
        <v>0</v>
      </c>
      <c r="D69" s="24">
        <f>+ROUND($C$69/12,0)</f>
        <v>0</v>
      </c>
      <c r="E69" s="24">
        <f>+ROUND($C$69/12,0)</f>
        <v>0</v>
      </c>
      <c r="F69" s="24">
        <f>+ROUND($C$69/12,0)</f>
        <v>0</v>
      </c>
      <c r="G69" s="24">
        <f>+ROUND($C$69/12,0)</f>
        <v>0</v>
      </c>
      <c r="H69" s="24">
        <f>+ROUND($C$69/12,0)</f>
        <v>0</v>
      </c>
      <c r="I69" s="24">
        <f>+ROUND($C$69/12,0)</f>
        <v>0</v>
      </c>
      <c r="J69" s="24">
        <f>+ROUND($C$69/12,0)</f>
        <v>0</v>
      </c>
      <c r="K69" s="24">
        <f>+ROUND($C$69/12,0)</f>
        <v>0</v>
      </c>
      <c r="L69" s="24">
        <f>+ROUND($C$69/12,0)</f>
        <v>0</v>
      </c>
      <c r="M69" s="24">
        <f>+ROUND($C$69/12,0)</f>
        <v>0</v>
      </c>
      <c r="N69" s="24">
        <f>+ROUND($C$69/12,0)</f>
        <v>0</v>
      </c>
      <c r="O69" s="24">
        <f>+ROUND($C$69/12,0)</f>
        <v>0</v>
      </c>
      <c r="P69" s="378"/>
      <c r="Q69" s="372"/>
    </row>
    <row r="70" spans="1:17" ht="12.75">
      <c r="A70" s="68" t="s">
        <v>166</v>
      </c>
      <c r="B70" s="47" t="s">
        <v>167</v>
      </c>
      <c r="C70" s="377">
        <f>+'2 Össz'!E69</f>
        <v>0</v>
      </c>
      <c r="D70" s="24">
        <f>+ROUND($C$70/12,0)</f>
        <v>0</v>
      </c>
      <c r="E70" s="24">
        <f>+ROUND($C$70/12,0)</f>
        <v>0</v>
      </c>
      <c r="F70" s="24">
        <f>+ROUND($C$70/12,0)</f>
        <v>0</v>
      </c>
      <c r="G70" s="24">
        <f>+ROUND($C$70/12,0)</f>
        <v>0</v>
      </c>
      <c r="H70" s="24">
        <f>+ROUND($C$70/12,0)</f>
        <v>0</v>
      </c>
      <c r="I70" s="24">
        <f>+ROUND($C$70/12,0)</f>
        <v>0</v>
      </c>
      <c r="J70" s="24">
        <f>+ROUND($C$70/12,0)</f>
        <v>0</v>
      </c>
      <c r="K70" s="24">
        <f>+ROUND($C$70/12,0)</f>
        <v>0</v>
      </c>
      <c r="L70" s="24">
        <f>+ROUND($C$70/12,0)</f>
        <v>0</v>
      </c>
      <c r="M70" s="24">
        <f>+ROUND($C$70/12,0)</f>
        <v>0</v>
      </c>
      <c r="N70" s="24">
        <f>+ROUND($C$70/12,0)</f>
        <v>0</v>
      </c>
      <c r="O70" s="24">
        <f>+ROUND($C$70/12,0)</f>
        <v>0</v>
      </c>
      <c r="P70" s="378"/>
      <c r="Q70" s="372"/>
    </row>
    <row r="71" spans="1:17" ht="12.75">
      <c r="A71" s="68" t="s">
        <v>168</v>
      </c>
      <c r="B71" s="47" t="s">
        <v>169</v>
      </c>
      <c r="C71" s="377">
        <f>+'2 Össz'!E70</f>
        <v>0</v>
      </c>
      <c r="D71" s="24">
        <f>+ROUND($C$70/12,0)</f>
        <v>0</v>
      </c>
      <c r="E71" s="24">
        <f>+ROUND($C$70/12,0)</f>
        <v>0</v>
      </c>
      <c r="F71" s="24">
        <f>+ROUND($C$70/12,0)</f>
        <v>0</v>
      </c>
      <c r="G71" s="24">
        <f>+ROUND($C$70/12,0)</f>
        <v>0</v>
      </c>
      <c r="H71" s="24">
        <f>+ROUND($C$70/12,0)</f>
        <v>0</v>
      </c>
      <c r="I71" s="24">
        <f>+ROUND($C$70/12,0)</f>
        <v>0</v>
      </c>
      <c r="J71" s="24">
        <f>+ROUND($C$70/12,0)</f>
        <v>0</v>
      </c>
      <c r="K71" s="24">
        <f>+ROUND($C$70/12,0)</f>
        <v>0</v>
      </c>
      <c r="L71" s="24">
        <f>+ROUND($C$70/12,0)</f>
        <v>0</v>
      </c>
      <c r="M71" s="24">
        <f>+ROUND($C$70/12,0)</f>
        <v>0</v>
      </c>
      <c r="N71" s="24">
        <f>+ROUND($C$70/12,0)</f>
        <v>0</v>
      </c>
      <c r="O71" s="24">
        <f>+ROUND($C$70/12,0)</f>
        <v>0</v>
      </c>
      <c r="P71" s="378"/>
      <c r="Q71" s="372"/>
    </row>
    <row r="72" spans="1:17" s="382" customFormat="1" ht="12.75">
      <c r="A72" s="362" t="s">
        <v>170</v>
      </c>
      <c r="B72" s="94" t="s">
        <v>171</v>
      </c>
      <c r="C72" s="363">
        <f>+C70+C69+C68+C67+C66+C65+C64+C63+C71</f>
        <v>88500</v>
      </c>
      <c r="D72" s="363">
        <f>+D70+D69+D68+D67+D66+D65+D64+D63</f>
        <v>0</v>
      </c>
      <c r="E72" s="363">
        <f>+E70+E69+E68+E67+E66+E65+E64+E63</f>
        <v>0</v>
      </c>
      <c r="F72" s="363">
        <f>+F70+F69+F68+F67+F66+F65+F64+F63</f>
        <v>0</v>
      </c>
      <c r="G72" s="363">
        <f>+G70+G69+G68+G67+G66+G65+G64+G63</f>
        <v>0</v>
      </c>
      <c r="H72" s="363">
        <f>+H70+H69+H68+H67+H66+H65+H64+H63</f>
        <v>0</v>
      </c>
      <c r="I72" s="363">
        <f>+I70+I69+I68+I67+I66+I65+I64+I63</f>
        <v>0</v>
      </c>
      <c r="J72" s="363">
        <f>+J70+J69+J68+J67+J66+J65+J64+J63</f>
        <v>0</v>
      </c>
      <c r="K72" s="363">
        <f>+K70+K69+K68+K67+K66+K65+K64+K63</f>
        <v>0</v>
      </c>
      <c r="L72" s="363">
        <f>+L70+L69+L68+L67+L66+L65+L64+L63</f>
        <v>0</v>
      </c>
      <c r="M72" s="363">
        <f>+M70+M69+M68+M67+M66+M65+M64+M63</f>
        <v>0</v>
      </c>
      <c r="N72" s="363">
        <f>+N70+N69+N68+N67+N66+N65+N64+N63</f>
        <v>0</v>
      </c>
      <c r="O72" s="363">
        <f>+O70+O69+O68+O67+O66+O65+O64+O63</f>
        <v>88500</v>
      </c>
      <c r="P72" s="380"/>
      <c r="Q72" s="381"/>
    </row>
    <row r="73" spans="1:17" s="387" customFormat="1" ht="12.75">
      <c r="A73" s="68" t="s">
        <v>172</v>
      </c>
      <c r="B73" s="47" t="s">
        <v>173</v>
      </c>
      <c r="C73" s="377">
        <f>+'2 Össz'!E72</f>
        <v>0</v>
      </c>
      <c r="D73" s="24">
        <f>+ROUND($C$73/12,0)</f>
        <v>0</v>
      </c>
      <c r="E73" s="24">
        <f>+ROUND($C$73/12,0)</f>
        <v>0</v>
      </c>
      <c r="F73" s="24">
        <f>+ROUND($C$73/12,0)</f>
        <v>0</v>
      </c>
      <c r="G73" s="24">
        <f>+ROUND($C$73/12,0)</f>
        <v>0</v>
      </c>
      <c r="H73" s="24">
        <f>+ROUND($C$73/12,0)</f>
        <v>0</v>
      </c>
      <c r="I73" s="24">
        <f>+ROUND($C$73/12,0)</f>
        <v>0</v>
      </c>
      <c r="J73" s="24">
        <f>+ROUND($C$73/12,0)</f>
        <v>0</v>
      </c>
      <c r="K73" s="24">
        <f>+ROUND($C$73/12,0)</f>
        <v>0</v>
      </c>
      <c r="L73" s="24">
        <f>+ROUND($C$73/12,0)</f>
        <v>0</v>
      </c>
      <c r="M73" s="24">
        <f>+ROUND($C$73/12,0)</f>
        <v>0</v>
      </c>
      <c r="N73" s="24">
        <f>+ROUND($C$73/12,0)</f>
        <v>0</v>
      </c>
      <c r="O73" s="24">
        <f>+ROUND($C$73/12,0)</f>
        <v>0</v>
      </c>
      <c r="P73" s="378"/>
      <c r="Q73" s="372"/>
    </row>
    <row r="74" spans="1:17" ht="12.75">
      <c r="A74" s="60" t="s">
        <v>174</v>
      </c>
      <c r="B74" s="47" t="s">
        <v>175</v>
      </c>
      <c r="C74" s="377">
        <f>+'2 Össz'!E73</f>
        <v>0</v>
      </c>
      <c r="D74" s="24">
        <f>+ROUND($C$74/12,0)</f>
        <v>0</v>
      </c>
      <c r="E74" s="24">
        <f>+ROUND($C$74/12,0)</f>
        <v>0</v>
      </c>
      <c r="F74" s="24">
        <f>+ROUND($C$74/12,0)</f>
        <v>0</v>
      </c>
      <c r="G74" s="24">
        <f>+ROUND($C$74/12,0)</f>
        <v>0</v>
      </c>
      <c r="H74" s="24">
        <f>+ROUND($C$74/12,0)</f>
        <v>0</v>
      </c>
      <c r="I74" s="24">
        <f>+ROUND($C$74/12,0)</f>
        <v>0</v>
      </c>
      <c r="J74" s="24">
        <f>+ROUND($C$74/12,0)</f>
        <v>0</v>
      </c>
      <c r="K74" s="24">
        <f>+ROUND($C$74/12,0)</f>
        <v>0</v>
      </c>
      <c r="L74" s="24">
        <f>+ROUND($C$74/12,0)</f>
        <v>0</v>
      </c>
      <c r="M74" s="24">
        <f>+ROUND($C$74/12,0)</f>
        <v>0</v>
      </c>
      <c r="N74" s="24">
        <f>+ROUND($C$74/12,0)</f>
        <v>0</v>
      </c>
      <c r="O74" s="24">
        <f>+ROUND($C$74/12,0)</f>
        <v>0</v>
      </c>
      <c r="P74" s="378"/>
      <c r="Q74" s="372"/>
    </row>
    <row r="75" spans="1:17" ht="12.75">
      <c r="A75" s="60" t="s">
        <v>176</v>
      </c>
      <c r="B75" s="47" t="s">
        <v>177</v>
      </c>
      <c r="C75" s="377">
        <f>+'2 Össz'!E74</f>
        <v>0</v>
      </c>
      <c r="D75" s="24">
        <f>+ROUND($C$74/12,0)</f>
        <v>0</v>
      </c>
      <c r="E75" s="24">
        <f>+ROUND($C$74/12,0)</f>
        <v>0</v>
      </c>
      <c r="F75" s="24">
        <f>+ROUND($C$74/12,0)</f>
        <v>0</v>
      </c>
      <c r="G75" s="24">
        <f>+ROUND($C$74/12,0)</f>
        <v>0</v>
      </c>
      <c r="H75" s="24">
        <f>+ROUND($C$74/12,0)</f>
        <v>0</v>
      </c>
      <c r="I75" s="24">
        <f>+ROUND($C$74/12,0)</f>
        <v>0</v>
      </c>
      <c r="J75" s="24">
        <f>+ROUND($C$74/12,0)</f>
        <v>0</v>
      </c>
      <c r="K75" s="24">
        <f>+ROUND($C$74/12,0)</f>
        <v>0</v>
      </c>
      <c r="L75" s="24">
        <f>+ROUND($C$74/12,0)</f>
        <v>0</v>
      </c>
      <c r="M75" s="24">
        <f>+ROUND($C$74/12,0)</f>
        <v>0</v>
      </c>
      <c r="N75" s="24">
        <f>+ROUND($C$74/12,0)</f>
        <v>0</v>
      </c>
      <c r="O75" s="24">
        <f>+ROUND($C$74/12,0)</f>
        <v>0</v>
      </c>
      <c r="P75" s="378"/>
      <c r="Q75" s="372"/>
    </row>
    <row r="76" spans="1:17" s="382" customFormat="1" ht="12.75">
      <c r="A76" s="362" t="s">
        <v>178</v>
      </c>
      <c r="B76" s="94" t="s">
        <v>179</v>
      </c>
      <c r="C76" s="363">
        <f>SUM(C72:C75)</f>
        <v>88500</v>
      </c>
      <c r="D76" s="363">
        <f>SUM(D72:D75)</f>
        <v>0</v>
      </c>
      <c r="E76" s="363">
        <f>+E74+E73+E72</f>
        <v>0</v>
      </c>
      <c r="F76" s="363">
        <f>+F74+F73+F72</f>
        <v>0</v>
      </c>
      <c r="G76" s="363">
        <f>+G74+G73+G72</f>
        <v>0</v>
      </c>
      <c r="H76" s="363">
        <f>+H74+H73+H72</f>
        <v>0</v>
      </c>
      <c r="I76" s="363">
        <f>+I74+I73+I72</f>
        <v>0</v>
      </c>
      <c r="J76" s="363">
        <f>+J74+J73+J72</f>
        <v>0</v>
      </c>
      <c r="K76" s="363">
        <f>+K74+K73+K72</f>
        <v>0</v>
      </c>
      <c r="L76" s="363">
        <f>+L74+L73+L72</f>
        <v>0</v>
      </c>
      <c r="M76" s="363">
        <f>+M74+M73+M72</f>
        <v>0</v>
      </c>
      <c r="N76" s="363">
        <f>+N74+N73+N72</f>
        <v>0</v>
      </c>
      <c r="O76" s="363">
        <f>+O74+O73+O72</f>
        <v>88500</v>
      </c>
      <c r="P76" s="378"/>
      <c r="Q76" s="381"/>
    </row>
    <row r="77" spans="1:17" s="382" customFormat="1" ht="12.75">
      <c r="A77" s="116" t="s">
        <v>180</v>
      </c>
      <c r="B77" s="116" t="s">
        <v>181</v>
      </c>
      <c r="C77" s="96">
        <f>+C59+C76</f>
        <v>4488256</v>
      </c>
      <c r="D77" s="96">
        <f>+D59+D76</f>
        <v>228718</v>
      </c>
      <c r="E77" s="96">
        <f>+E59+E76</f>
        <v>224717</v>
      </c>
      <c r="F77" s="96">
        <f>+F59+F76</f>
        <v>278771</v>
      </c>
      <c r="G77" s="96">
        <f>+G59+G76</f>
        <v>246210</v>
      </c>
      <c r="H77" s="96">
        <f>+H59+H76</f>
        <v>365368</v>
      </c>
      <c r="I77" s="96">
        <f>+I59+I76</f>
        <v>241113</v>
      </c>
      <c r="J77" s="96">
        <f>+J59+J76</f>
        <v>384343</v>
      </c>
      <c r="K77" s="96">
        <f>+K59+K76</f>
        <v>234717</v>
      </c>
      <c r="L77" s="96">
        <f>+L59+L76</f>
        <v>306585</v>
      </c>
      <c r="M77" s="96">
        <f>+M59+M76</f>
        <v>274687</v>
      </c>
      <c r="N77" s="96">
        <f>+N59+N76</f>
        <v>732717</v>
      </c>
      <c r="O77" s="96">
        <f>+O59+O76</f>
        <v>970310</v>
      </c>
      <c r="P77" s="378"/>
      <c r="Q77" s="381"/>
    </row>
    <row r="78" spans="1:17" ht="12.75">
      <c r="A78" s="13"/>
      <c r="B78" s="23"/>
      <c r="C78" s="377"/>
      <c r="D78" s="24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78"/>
      <c r="Q78" s="372"/>
    </row>
    <row r="79" spans="1:17" s="376" customFormat="1" ht="12.75">
      <c r="A79" s="19" t="s">
        <v>15</v>
      </c>
      <c r="B79" s="42" t="s">
        <v>42</v>
      </c>
      <c r="C79" s="42" t="s">
        <v>528</v>
      </c>
      <c r="D79" s="373" t="s">
        <v>798</v>
      </c>
      <c r="E79" s="374" t="s">
        <v>799</v>
      </c>
      <c r="F79" s="374" t="s">
        <v>800</v>
      </c>
      <c r="G79" s="374" t="s">
        <v>801</v>
      </c>
      <c r="H79" s="374" t="s">
        <v>802</v>
      </c>
      <c r="I79" s="374" t="s">
        <v>803</v>
      </c>
      <c r="J79" s="374" t="s">
        <v>804</v>
      </c>
      <c r="K79" s="374" t="s">
        <v>805</v>
      </c>
      <c r="L79" s="374" t="s">
        <v>806</v>
      </c>
      <c r="M79" s="374" t="s">
        <v>807</v>
      </c>
      <c r="N79" s="374" t="s">
        <v>808</v>
      </c>
      <c r="O79" s="374" t="s">
        <v>809</v>
      </c>
      <c r="P79" s="375"/>
      <c r="Q79" s="375"/>
    </row>
    <row r="80" spans="1:17" ht="12.75">
      <c r="A80" s="45" t="s">
        <v>183</v>
      </c>
      <c r="B80" s="58" t="s">
        <v>184</v>
      </c>
      <c r="C80" s="377">
        <f>+'2 Össz'!E80</f>
        <v>242088</v>
      </c>
      <c r="D80" s="24">
        <f>+ROUND($C$80*0.12,0)</f>
        <v>29051</v>
      </c>
      <c r="E80" s="24">
        <f>+ROUND($C$80*0.08,0)</f>
        <v>19367</v>
      </c>
      <c r="F80" s="24">
        <f>+ROUND($C$80*0.08,0)</f>
        <v>19367</v>
      </c>
      <c r="G80" s="24">
        <f>+ROUND($C$80*0.08,0)</f>
        <v>19367</v>
      </c>
      <c r="H80" s="24">
        <f>+ROUND($C$80*0.08,0)</f>
        <v>19367</v>
      </c>
      <c r="I80" s="24">
        <f>+ROUND($C$80*0.08,0)</f>
        <v>19367</v>
      </c>
      <c r="J80" s="24">
        <f>+ROUND($C$80*0.08,0)</f>
        <v>19367</v>
      </c>
      <c r="K80" s="24">
        <f>+ROUND($C$80*0.08,0)</f>
        <v>19367</v>
      </c>
      <c r="L80" s="24">
        <f>+ROUND($C$80*0.08,0)</f>
        <v>19367</v>
      </c>
      <c r="M80" s="24">
        <f>+ROUND($C$80*0.08,0)</f>
        <v>19367</v>
      </c>
      <c r="N80" s="24">
        <f>+ROUND($C$80*0.08,0)</f>
        <v>19367</v>
      </c>
      <c r="O80" s="24">
        <f>+ROUND($C$80*0.08,0)</f>
        <v>19367</v>
      </c>
      <c r="P80" s="378"/>
      <c r="Q80" s="372"/>
    </row>
    <row r="81" spans="1:17" ht="12.75">
      <c r="A81" s="47" t="s">
        <v>185</v>
      </c>
      <c r="B81" s="58" t="s">
        <v>186</v>
      </c>
      <c r="C81" s="377">
        <f>+'2 Össz'!E81</f>
        <v>270670</v>
      </c>
      <c r="D81" s="24">
        <f>+ROUND($C$81*0.12,0)</f>
        <v>32480</v>
      </c>
      <c r="E81" s="24">
        <f>+ROUND($C$81*0.08,0)</f>
        <v>21654</v>
      </c>
      <c r="F81" s="24">
        <f>+ROUND($C$81*0.08,0)</f>
        <v>21654</v>
      </c>
      <c r="G81" s="24">
        <f>+ROUND($C$81*0.08,0)</f>
        <v>21654</v>
      </c>
      <c r="H81" s="24">
        <f>+ROUND($C$81*0.08,0)</f>
        <v>21654</v>
      </c>
      <c r="I81" s="24">
        <f>+ROUND($C$81*0.08,0)</f>
        <v>21654</v>
      </c>
      <c r="J81" s="24">
        <f>+ROUND($C$81*0.08,0)</f>
        <v>21654</v>
      </c>
      <c r="K81" s="24">
        <f>+ROUND($C$81*0.08,0)</f>
        <v>21654</v>
      </c>
      <c r="L81" s="24">
        <f>+ROUND($C$81*0.08,0)</f>
        <v>21654</v>
      </c>
      <c r="M81" s="24">
        <f>+ROUND($C$81*0.08,0)</f>
        <v>21654</v>
      </c>
      <c r="N81" s="24">
        <f>+ROUND($C$81*0.08,0)</f>
        <v>21654</v>
      </c>
      <c r="O81" s="24">
        <f>+ROUND($C$81*0.08,0)-4</f>
        <v>21650</v>
      </c>
      <c r="P81" s="378"/>
      <c r="Q81" s="372"/>
    </row>
    <row r="82" spans="1:17" ht="12.75">
      <c r="A82" s="47" t="s">
        <v>187</v>
      </c>
      <c r="B82" s="58" t="s">
        <v>188</v>
      </c>
      <c r="C82" s="377">
        <f>+'2 Össz'!E82</f>
        <v>356931</v>
      </c>
      <c r="D82" s="24">
        <f>+ROUND($C$82*0.12,0)</f>
        <v>42832</v>
      </c>
      <c r="E82" s="24">
        <f>+ROUND($C$82*0.08,0)</f>
        <v>28554</v>
      </c>
      <c r="F82" s="24">
        <f>+ROUND($C$82*0.08,0)</f>
        <v>28554</v>
      </c>
      <c r="G82" s="24">
        <f>+ROUND($C$82*0.08,0)</f>
        <v>28554</v>
      </c>
      <c r="H82" s="24">
        <f>+ROUND($C$82*0.08,0)</f>
        <v>28554</v>
      </c>
      <c r="I82" s="24">
        <f>+ROUND($C$82*0.08,0)</f>
        <v>28554</v>
      </c>
      <c r="J82" s="24">
        <f>+ROUND($C$82*0.08,0)</f>
        <v>28554</v>
      </c>
      <c r="K82" s="24">
        <f>+ROUND($C$82*0.08,0)</f>
        <v>28554</v>
      </c>
      <c r="L82" s="24">
        <f>+ROUND($C$82*0.08,0)</f>
        <v>28554</v>
      </c>
      <c r="M82" s="24">
        <f>+ROUND($C$82*0.08,0)</f>
        <v>28554</v>
      </c>
      <c r="N82" s="24">
        <f>+ROUND($C$82*0.08,0)</f>
        <v>28554</v>
      </c>
      <c r="O82" s="24">
        <f>+ROUND($C$82*0.08,0)+5</f>
        <v>28559</v>
      </c>
      <c r="P82" s="378"/>
      <c r="Q82" s="372"/>
    </row>
    <row r="83" spans="1:17" ht="12.75">
      <c r="A83" s="47" t="s">
        <v>189</v>
      </c>
      <c r="B83" s="58" t="s">
        <v>190</v>
      </c>
      <c r="C83" s="377">
        <f>+'2 Össz'!E83</f>
        <v>13012</v>
      </c>
      <c r="D83" s="24">
        <f>+ROUND($C$83*0.12,0)</f>
        <v>1561</v>
      </c>
      <c r="E83" s="24">
        <f>+ROUND($C$83*0.08,0)</f>
        <v>1041</v>
      </c>
      <c r="F83" s="24">
        <f>+ROUND($C$83*0.08,0)</f>
        <v>1041</v>
      </c>
      <c r="G83" s="24">
        <f>+ROUND($C$83*0.08,0)</f>
        <v>1041</v>
      </c>
      <c r="H83" s="24">
        <f>+ROUND($C$83*0.08,0)</f>
        <v>1041</v>
      </c>
      <c r="I83" s="24">
        <f>+ROUND($C$83*0.08,0)</f>
        <v>1041</v>
      </c>
      <c r="J83" s="24">
        <f>+ROUND($C$83*0.08,0)</f>
        <v>1041</v>
      </c>
      <c r="K83" s="24">
        <f>+ROUND($C$83*0.08,0)</f>
        <v>1041</v>
      </c>
      <c r="L83" s="24">
        <f>+ROUND($C$83*0.08,0)</f>
        <v>1041</v>
      </c>
      <c r="M83" s="24">
        <f>+ROUND($C$83*0.08,0)</f>
        <v>1041</v>
      </c>
      <c r="N83" s="24">
        <f>+ROUND($C$83*0.08,0)</f>
        <v>1041</v>
      </c>
      <c r="O83" s="24">
        <f>+ROUND($C$83*0.08,0)</f>
        <v>1041</v>
      </c>
      <c r="P83" s="378"/>
      <c r="Q83" s="372"/>
    </row>
    <row r="84" spans="1:17" ht="12.75">
      <c r="A84" s="47" t="s">
        <v>191</v>
      </c>
      <c r="B84" s="58" t="s">
        <v>192</v>
      </c>
      <c r="C84" s="377">
        <f>+'2 Össz'!E84</f>
        <v>180671</v>
      </c>
      <c r="D84" s="24">
        <f>+ROUND($C$84/12,0)</f>
        <v>15056</v>
      </c>
      <c r="E84" s="24">
        <f>+ROUND($C$84/12,0)</f>
        <v>15056</v>
      </c>
      <c r="F84" s="24">
        <f>+ROUND($C$84/12,0)</f>
        <v>15056</v>
      </c>
      <c r="G84" s="24">
        <f>+ROUND($C$84/12,0)</f>
        <v>15056</v>
      </c>
      <c r="H84" s="24">
        <f>+ROUND($C$84/12,0)</f>
        <v>15056</v>
      </c>
      <c r="I84" s="24">
        <f>+ROUND($C$84/12,0)</f>
        <v>15056</v>
      </c>
      <c r="J84" s="24">
        <f>+ROUND($C$84/12,0)</f>
        <v>15056</v>
      </c>
      <c r="K84" s="24">
        <f>+ROUND($C$84/12,0)</f>
        <v>15056</v>
      </c>
      <c r="L84" s="24">
        <f>+ROUND($C$84/12,0)</f>
        <v>15056</v>
      </c>
      <c r="M84" s="24">
        <f>+ROUND($C$84/12,0)</f>
        <v>15056</v>
      </c>
      <c r="N84" s="24">
        <f>+ROUND($C$84/12,0)</f>
        <v>15056</v>
      </c>
      <c r="O84" s="24">
        <f>+ROUND($C$84/12,0)-1</f>
        <v>15055</v>
      </c>
      <c r="P84" s="378"/>
      <c r="Q84" s="372"/>
    </row>
    <row r="85" spans="1:17" ht="12.75">
      <c r="A85" s="47" t="s">
        <v>193</v>
      </c>
      <c r="B85" s="58" t="s">
        <v>194</v>
      </c>
      <c r="C85" s="377">
        <f>+'2 Össz'!E85</f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378"/>
      <c r="Q85" s="372"/>
    </row>
    <row r="86" spans="1:17" s="382" customFormat="1" ht="12.75">
      <c r="A86" s="94" t="s">
        <v>195</v>
      </c>
      <c r="B86" s="95" t="s">
        <v>196</v>
      </c>
      <c r="C86" s="96">
        <f>SUM(C80:C85)</f>
        <v>1063372</v>
      </c>
      <c r="D86" s="96">
        <f>SUM(D80:D85)</f>
        <v>120980</v>
      </c>
      <c r="E86" s="96">
        <f>SUM(E80:E85)</f>
        <v>85672</v>
      </c>
      <c r="F86" s="96">
        <f>SUM(F80:F85)</f>
        <v>85672</v>
      </c>
      <c r="G86" s="96">
        <f>SUM(G80:G85)</f>
        <v>85672</v>
      </c>
      <c r="H86" s="96">
        <f>SUM(H80:H85)</f>
        <v>85672</v>
      </c>
      <c r="I86" s="96">
        <f>SUM(I80:I85)</f>
        <v>85672</v>
      </c>
      <c r="J86" s="96">
        <f>SUM(J80:J85)</f>
        <v>85672</v>
      </c>
      <c r="K86" s="96">
        <f>SUM(K80:K85)</f>
        <v>85672</v>
      </c>
      <c r="L86" s="96">
        <f>SUM(L80:L85)</f>
        <v>85672</v>
      </c>
      <c r="M86" s="96">
        <f>SUM(M80:M85)</f>
        <v>85672</v>
      </c>
      <c r="N86" s="96">
        <f>SUM(N80:N85)</f>
        <v>85672</v>
      </c>
      <c r="O86" s="96">
        <f>SUM(O80:O85)</f>
        <v>85672</v>
      </c>
      <c r="P86" s="380"/>
      <c r="Q86" s="381"/>
    </row>
    <row r="87" spans="1:17" ht="12.75">
      <c r="A87" s="47" t="s">
        <v>197</v>
      </c>
      <c r="B87" s="58" t="s">
        <v>198</v>
      </c>
      <c r="C87" s="377">
        <f>+'2 Össz'!E87</f>
        <v>0</v>
      </c>
      <c r="D87" s="24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78"/>
      <c r="Q87" s="372"/>
    </row>
    <row r="88" spans="1:17" ht="12.75">
      <c r="A88" s="47" t="s">
        <v>199</v>
      </c>
      <c r="B88" s="58" t="s">
        <v>200</v>
      </c>
      <c r="C88" s="377">
        <f>+'2 Össz'!E88</f>
        <v>0</v>
      </c>
      <c r="D88" s="24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78"/>
      <c r="Q88" s="372"/>
    </row>
    <row r="89" spans="1:17" ht="12.75">
      <c r="A89" s="47" t="s">
        <v>201</v>
      </c>
      <c r="B89" s="58" t="s">
        <v>202</v>
      </c>
      <c r="C89" s="377">
        <f>+'2 Össz'!E89</f>
        <v>0</v>
      </c>
      <c r="D89" s="24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78"/>
      <c r="Q89" s="372"/>
    </row>
    <row r="90" spans="1:17" ht="12.75">
      <c r="A90" s="47" t="s">
        <v>203</v>
      </c>
      <c r="B90" s="58" t="s">
        <v>204</v>
      </c>
      <c r="C90" s="377">
        <f>+'2 Össz'!E90</f>
        <v>0</v>
      </c>
      <c r="D90" s="24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78"/>
      <c r="Q90" s="372"/>
    </row>
    <row r="91" spans="1:17" ht="12.75">
      <c r="A91" s="47" t="s">
        <v>205</v>
      </c>
      <c r="B91" s="58" t="s">
        <v>206</v>
      </c>
      <c r="C91" s="377">
        <f>+'2 Össz'!E91</f>
        <v>633365</v>
      </c>
      <c r="D91" s="24"/>
      <c r="E91" s="24"/>
      <c r="F91" s="24">
        <v>30459</v>
      </c>
      <c r="G91" s="24">
        <v>90218</v>
      </c>
      <c r="H91" s="24">
        <v>51996</v>
      </c>
      <c r="I91" s="24"/>
      <c r="J91" s="24">
        <v>56890</v>
      </c>
      <c r="K91" s="24"/>
      <c r="L91" s="24"/>
      <c r="M91" s="24"/>
      <c r="N91" s="24">
        <v>210586</v>
      </c>
      <c r="O91" s="24">
        <v>193216</v>
      </c>
      <c r="P91" s="378"/>
      <c r="Q91" s="372"/>
    </row>
    <row r="92" spans="1:17" s="382" customFormat="1" ht="12.75">
      <c r="A92" s="94" t="s">
        <v>207</v>
      </c>
      <c r="B92" s="95" t="s">
        <v>208</v>
      </c>
      <c r="C92" s="96">
        <f>+C91+C90+C89+C88+C87+C86</f>
        <v>1696737</v>
      </c>
      <c r="D92" s="96">
        <f>+D91+D90+D89+D88+D87+D86</f>
        <v>120980</v>
      </c>
      <c r="E92" s="96">
        <f>+E91+E90+E89+E88+E87+E86</f>
        <v>85672</v>
      </c>
      <c r="F92" s="96">
        <f>+F91+F90+F89+F88+F87+F86</f>
        <v>116131</v>
      </c>
      <c r="G92" s="96">
        <f>+G91+G90+G89+G88+G87+G86</f>
        <v>175890</v>
      </c>
      <c r="H92" s="96">
        <f>+H91+H90+H89+H88+H87+H86</f>
        <v>137668</v>
      </c>
      <c r="I92" s="96">
        <f>+I91+I90+I89+I88+I87+I86</f>
        <v>85672</v>
      </c>
      <c r="J92" s="96">
        <f>+J91+J90+J89+J88+J87+J86</f>
        <v>142562</v>
      </c>
      <c r="K92" s="96">
        <f>+K91+K90+K89+K88+K87+K86</f>
        <v>85672</v>
      </c>
      <c r="L92" s="96">
        <f>+L91+L90+L89+L88+L87+L86</f>
        <v>85672</v>
      </c>
      <c r="M92" s="96">
        <f>+M91+M90+M89+M88+M87+M86</f>
        <v>85672</v>
      </c>
      <c r="N92" s="96">
        <f>+N91+N90+N89+N88+N87+N86</f>
        <v>296258</v>
      </c>
      <c r="O92" s="96">
        <f>+O91+O90+O89+O88+O87+O86</f>
        <v>278888</v>
      </c>
      <c r="P92" s="378"/>
      <c r="Q92" s="381"/>
    </row>
    <row r="93" spans="1:17" s="385" customFormat="1" ht="12.75">
      <c r="A93" s="50" t="s">
        <v>209</v>
      </c>
      <c r="B93" s="59" t="s">
        <v>210</v>
      </c>
      <c r="C93" s="377">
        <f>+'2 Össz'!E93</f>
        <v>1631106</v>
      </c>
      <c r="D93" s="321"/>
      <c r="E93" s="321"/>
      <c r="F93" s="321"/>
      <c r="G93" s="321"/>
      <c r="H93" s="321">
        <f>+ROUND($C$93/12,0)</f>
        <v>135926</v>
      </c>
      <c r="I93" s="321">
        <f>+ROUND($C$93/12,0)</f>
        <v>135926</v>
      </c>
      <c r="J93" s="321">
        <f>+ROUND($C$93/12,0)*2</f>
        <v>271852</v>
      </c>
      <c r="K93" s="321">
        <f>+ROUND($C$93/12,0)+3000</f>
        <v>138926</v>
      </c>
      <c r="L93" s="321">
        <f>+ROUND($C$93/12,0)</f>
        <v>135926</v>
      </c>
      <c r="M93" s="321">
        <f>+ROUND($C$93/12,0)</f>
        <v>135926</v>
      </c>
      <c r="N93" s="321">
        <f>+ROUND($C$93/12,0)*2</f>
        <v>271852</v>
      </c>
      <c r="O93" s="321">
        <f>+ROUND($C$93/12,0)*3-3006</f>
        <v>404772</v>
      </c>
      <c r="P93" s="383"/>
      <c r="Q93" s="384"/>
    </row>
    <row r="94" spans="1:17" ht="12.75">
      <c r="A94" s="47" t="s">
        <v>211</v>
      </c>
      <c r="B94" s="58" t="s">
        <v>212</v>
      </c>
      <c r="C94" s="377">
        <f>+'2 Össz'!E94</f>
        <v>0</v>
      </c>
      <c r="D94" s="24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78"/>
      <c r="Q94" s="372"/>
    </row>
    <row r="95" spans="1:17" ht="12.75">
      <c r="A95" s="47" t="s">
        <v>213</v>
      </c>
      <c r="B95" s="58" t="s">
        <v>214</v>
      </c>
      <c r="C95" s="377">
        <f>+'2 Össz'!E95</f>
        <v>0</v>
      </c>
      <c r="D95" s="24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78"/>
      <c r="Q95" s="372"/>
    </row>
    <row r="96" spans="1:17" ht="12.75">
      <c r="A96" s="47" t="s">
        <v>215</v>
      </c>
      <c r="B96" s="58" t="s">
        <v>216</v>
      </c>
      <c r="C96" s="377">
        <f>+'2 Össz'!E96</f>
        <v>0</v>
      </c>
      <c r="D96" s="24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78"/>
      <c r="Q96" s="372"/>
    </row>
    <row r="97" spans="1:17" ht="12.75">
      <c r="A97" s="47" t="s">
        <v>217</v>
      </c>
      <c r="B97" s="58" t="s">
        <v>218</v>
      </c>
      <c r="C97" s="377">
        <f>+'2 Össz'!E97</f>
        <v>96750</v>
      </c>
      <c r="D97" s="24"/>
      <c r="E97" s="24">
        <f>+ROUND($C$97/12,0)*2</f>
        <v>16126</v>
      </c>
      <c r="F97" s="24">
        <f>+ROUND($C$97/12,0)*2</f>
        <v>16126</v>
      </c>
      <c r="G97" s="24">
        <f>+ROUND($C$97/12,0)</f>
        <v>8063</v>
      </c>
      <c r="H97" s="24">
        <f>+ROUND($C$97/12,0)</f>
        <v>8063</v>
      </c>
      <c r="I97" s="24">
        <f>+ROUND($C$97/12,0)*2</f>
        <v>16126</v>
      </c>
      <c r="J97" s="24"/>
      <c r="K97" s="24"/>
      <c r="L97" s="24">
        <f>+ROUND($C$97/12,0)*2</f>
        <v>16126</v>
      </c>
      <c r="M97" s="24">
        <f>+ROUND($C$97/12,0)</f>
        <v>8063</v>
      </c>
      <c r="N97" s="24"/>
      <c r="O97" s="24">
        <f>+ROUND($C$97/12,0)-6</f>
        <v>8057</v>
      </c>
      <c r="P97" s="378"/>
      <c r="Q97" s="372"/>
    </row>
    <row r="98" spans="1:17" ht="12.75">
      <c r="A98" s="47" t="s">
        <v>219</v>
      </c>
      <c r="B98" s="58" t="s">
        <v>220</v>
      </c>
      <c r="C98" s="377">
        <f>+'2 Össz'!E98</f>
        <v>257450</v>
      </c>
      <c r="D98" s="24"/>
      <c r="E98" s="24">
        <f>+ROUND($C$98/12,0)*2</f>
        <v>42908</v>
      </c>
      <c r="F98" s="24">
        <f>+ROUND($C$98/12,0)*2</f>
        <v>42908</v>
      </c>
      <c r="G98" s="24">
        <f>+ROUND($C$98/12,0)</f>
        <v>21454</v>
      </c>
      <c r="H98" s="24">
        <f>+ROUND($C$98/12,0)*2</f>
        <v>42908</v>
      </c>
      <c r="I98" s="24"/>
      <c r="J98" s="24">
        <f>+ROUND($C$98/12,0)*2</f>
        <v>42908</v>
      </c>
      <c r="K98" s="24"/>
      <c r="L98" s="24">
        <f>+ROUND($C$98/12,0)*2</f>
        <v>42908</v>
      </c>
      <c r="M98" s="24">
        <f>+ROUND($C$98/12,0)+2</f>
        <v>21456</v>
      </c>
      <c r="N98" s="24"/>
      <c r="O98" s="24"/>
      <c r="P98" s="378"/>
      <c r="Q98" s="372"/>
    </row>
    <row r="99" spans="1:17" ht="12.75">
      <c r="A99" s="47" t="s">
        <v>221</v>
      </c>
      <c r="B99" s="58" t="s">
        <v>222</v>
      </c>
      <c r="C99" s="377">
        <f>+'2 Össz'!E99</f>
        <v>3500</v>
      </c>
      <c r="D99" s="24">
        <f>+ROUND($C$99/12,0)</f>
        <v>292</v>
      </c>
      <c r="E99" s="24">
        <f>+ROUND($C$99/12,0)</f>
        <v>292</v>
      </c>
      <c r="F99" s="24">
        <f>+ROUND($C$99/12,0)</f>
        <v>292</v>
      </c>
      <c r="G99" s="24">
        <f>+ROUND($C$99/12,0)</f>
        <v>292</v>
      </c>
      <c r="H99" s="24">
        <f>+ROUND($C$99/12,0)</f>
        <v>292</v>
      </c>
      <c r="I99" s="24">
        <f>+ROUND($C$99/12,0)</f>
        <v>292</v>
      </c>
      <c r="J99" s="24">
        <f>+ROUND($C$99/12,0)</f>
        <v>292</v>
      </c>
      <c r="K99" s="24">
        <f>+ROUND($C$99/12,0)</f>
        <v>292</v>
      </c>
      <c r="L99" s="24">
        <f>+ROUND($C$99/12,0)</f>
        <v>292</v>
      </c>
      <c r="M99" s="24">
        <f>+ROUND($C$99/12,0)</f>
        <v>292</v>
      </c>
      <c r="N99" s="24">
        <f>+ROUND($C$99/12,0)</f>
        <v>292</v>
      </c>
      <c r="O99" s="24">
        <f>+ROUND($C$99/12,0)-4</f>
        <v>288</v>
      </c>
      <c r="P99" s="378"/>
      <c r="Q99" s="372"/>
    </row>
    <row r="100" spans="1:17" s="382" customFormat="1" ht="12.75">
      <c r="A100" s="94" t="s">
        <v>223</v>
      </c>
      <c r="B100" s="95" t="s">
        <v>224</v>
      </c>
      <c r="C100" s="96">
        <f>SUM(C94:C99)</f>
        <v>357700</v>
      </c>
      <c r="D100" s="96">
        <f>SUM(D94:D99)</f>
        <v>292</v>
      </c>
      <c r="E100" s="96">
        <f>SUM(E94:E99)</f>
        <v>59326</v>
      </c>
      <c r="F100" s="96">
        <f>SUM(F94:F99)</f>
        <v>59326</v>
      </c>
      <c r="G100" s="96">
        <f>SUM(G94:G99)</f>
        <v>29809</v>
      </c>
      <c r="H100" s="96">
        <f>SUM(H94:H99)</f>
        <v>51263</v>
      </c>
      <c r="I100" s="96">
        <f>SUM(I94:I99)</f>
        <v>16418</v>
      </c>
      <c r="J100" s="96">
        <f>SUM(J94:J99)</f>
        <v>43200</v>
      </c>
      <c r="K100" s="96">
        <f>SUM(K94:K99)</f>
        <v>292</v>
      </c>
      <c r="L100" s="96">
        <f>SUM(L94:L99)</f>
        <v>59326</v>
      </c>
      <c r="M100" s="96">
        <f>SUM(M94:M99)</f>
        <v>29811</v>
      </c>
      <c r="N100" s="96">
        <f>SUM(N94:N99)</f>
        <v>292</v>
      </c>
      <c r="O100" s="96">
        <f>SUM(O94:O99)</f>
        <v>8345</v>
      </c>
      <c r="P100" s="378"/>
      <c r="Q100" s="381"/>
    </row>
    <row r="101" spans="1:17" ht="12.75">
      <c r="A101" s="60" t="s">
        <v>225</v>
      </c>
      <c r="B101" s="58" t="s">
        <v>226</v>
      </c>
      <c r="C101" s="377">
        <f>+'2 Össz'!E101</f>
        <v>850</v>
      </c>
      <c r="D101" s="24">
        <f>+ROUND($C$101/12,0)</f>
        <v>71</v>
      </c>
      <c r="E101" s="24">
        <f>+ROUND($C$101/12,0)</f>
        <v>71</v>
      </c>
      <c r="F101" s="24">
        <f>+ROUND($C$101/12,0)</f>
        <v>71</v>
      </c>
      <c r="G101" s="24">
        <f>+ROUND($C$101/12,0)</f>
        <v>71</v>
      </c>
      <c r="H101" s="24">
        <f>+ROUND($C$101/12,0)</f>
        <v>71</v>
      </c>
      <c r="I101" s="24">
        <f>+ROUND($C$101/12,0)</f>
        <v>71</v>
      </c>
      <c r="J101" s="24">
        <f>+ROUND($C$101/12,0)</f>
        <v>71</v>
      </c>
      <c r="K101" s="24">
        <f>+ROUND($C$101/12,0)</f>
        <v>71</v>
      </c>
      <c r="L101" s="24">
        <f>+ROUND($C$101/12,0)</f>
        <v>71</v>
      </c>
      <c r="M101" s="24">
        <f>+ROUND($C$101/12,0)</f>
        <v>71</v>
      </c>
      <c r="N101" s="24">
        <f>+ROUND($C$101/12,0)</f>
        <v>71</v>
      </c>
      <c r="O101" s="24">
        <f>+ROUND($C$101/12,0)-2</f>
        <v>69</v>
      </c>
      <c r="P101" s="378"/>
      <c r="Q101" s="372"/>
    </row>
    <row r="102" spans="1:17" ht="12.75">
      <c r="A102" s="60" t="s">
        <v>227</v>
      </c>
      <c r="B102" s="58" t="s">
        <v>228</v>
      </c>
      <c r="C102" s="377">
        <f>+'2 Össz'!E102</f>
        <v>229662</v>
      </c>
      <c r="D102" s="24">
        <f>+ROUND($C$102/12,0)</f>
        <v>19139</v>
      </c>
      <c r="E102" s="24">
        <f>+ROUND($C$102/12,0)</f>
        <v>19139</v>
      </c>
      <c r="F102" s="24">
        <f>+ROUND($C$102/12,0)</f>
        <v>19139</v>
      </c>
      <c r="G102" s="24">
        <f>+ROUND($C$102/12,0)</f>
        <v>19139</v>
      </c>
      <c r="H102" s="24">
        <f>+ROUND($C$102/12,0)</f>
        <v>19139</v>
      </c>
      <c r="I102" s="24">
        <f>+ROUND($C$102/12,0)</f>
        <v>19139</v>
      </c>
      <c r="J102" s="24">
        <f>+ROUND($C$102/12,0)</f>
        <v>19139</v>
      </c>
      <c r="K102" s="24">
        <f>+ROUND($C$102/12,0)</f>
        <v>19139</v>
      </c>
      <c r="L102" s="24">
        <f>+ROUND($C$102/12,0)</f>
        <v>19139</v>
      </c>
      <c r="M102" s="24">
        <f>+ROUND($C$102/12,0)</f>
        <v>19139</v>
      </c>
      <c r="N102" s="24">
        <f>+ROUND($C$102/12,0)</f>
        <v>19139</v>
      </c>
      <c r="O102" s="24">
        <f>+ROUND($C$102/12,0)-6</f>
        <v>19133</v>
      </c>
      <c r="P102" s="378"/>
      <c r="Q102" s="372"/>
    </row>
    <row r="103" spans="1:17" ht="12.75">
      <c r="A103" s="60" t="s">
        <v>229</v>
      </c>
      <c r="B103" s="58" t="s">
        <v>230</v>
      </c>
      <c r="C103" s="377">
        <f>+'2 Össz'!E103</f>
        <v>1670</v>
      </c>
      <c r="D103" s="24">
        <f>+ROUND($C$103/12,0)</f>
        <v>139</v>
      </c>
      <c r="E103" s="24">
        <f>+ROUND($C$103/12,0)</f>
        <v>139</v>
      </c>
      <c r="F103" s="24">
        <f>+ROUND($C$103/12,0)</f>
        <v>139</v>
      </c>
      <c r="G103" s="24">
        <f>+ROUND($C$103/12,0)</f>
        <v>139</v>
      </c>
      <c r="H103" s="24">
        <f>+ROUND($C$103/12,0)</f>
        <v>139</v>
      </c>
      <c r="I103" s="24">
        <f>+ROUND($C$103/12,0)</f>
        <v>139</v>
      </c>
      <c r="J103" s="24">
        <f>+ROUND($C$103/12,0)</f>
        <v>139</v>
      </c>
      <c r="K103" s="24">
        <f>+ROUND($C$103/12,0)</f>
        <v>139</v>
      </c>
      <c r="L103" s="24">
        <f>+ROUND($C$103/12,0)</f>
        <v>139</v>
      </c>
      <c r="M103" s="24">
        <f>+ROUND($C$103/12,0)</f>
        <v>139</v>
      </c>
      <c r="N103" s="24">
        <f>+ROUND($C$103/12,0)</f>
        <v>139</v>
      </c>
      <c r="O103" s="24">
        <f>+ROUND($C$103/12,0)+2</f>
        <v>141</v>
      </c>
      <c r="P103" s="378"/>
      <c r="Q103" s="372"/>
    </row>
    <row r="104" spans="1:17" ht="12.75">
      <c r="A104" s="60" t="s">
        <v>231</v>
      </c>
      <c r="B104" s="58" t="s">
        <v>232</v>
      </c>
      <c r="C104" s="377">
        <f>+'2 Össz'!E104</f>
        <v>5173</v>
      </c>
      <c r="D104" s="24">
        <f>+ROUND($C$104/12,0)</f>
        <v>431</v>
      </c>
      <c r="E104" s="24">
        <f>+ROUND($C$104/12,0)</f>
        <v>431</v>
      </c>
      <c r="F104" s="24">
        <f>+ROUND($C$104/12,0)</f>
        <v>431</v>
      </c>
      <c r="G104" s="24">
        <f>+ROUND($C$104/12,0)</f>
        <v>431</v>
      </c>
      <c r="H104" s="24">
        <f>+ROUND($C$104/12,0)</f>
        <v>431</v>
      </c>
      <c r="I104" s="24">
        <f>+ROUND($C$104/12,0)</f>
        <v>431</v>
      </c>
      <c r="J104" s="24">
        <f>+ROUND($C$104/12,0)</f>
        <v>431</v>
      </c>
      <c r="K104" s="24">
        <f>+ROUND($C$104/12,0)</f>
        <v>431</v>
      </c>
      <c r="L104" s="24">
        <f>+ROUND($C$104/12,0)</f>
        <v>431</v>
      </c>
      <c r="M104" s="24">
        <f>+ROUND($C$104/12,0)</f>
        <v>431</v>
      </c>
      <c r="N104" s="24">
        <f>+ROUND($C$104/12,0)</f>
        <v>431</v>
      </c>
      <c r="O104" s="24">
        <f>+ROUND($C$104/12,0)+1</f>
        <v>432</v>
      </c>
      <c r="P104" s="378"/>
      <c r="Q104" s="372"/>
    </row>
    <row r="105" spans="1:17" ht="12.75">
      <c r="A105" s="60" t="s">
        <v>233</v>
      </c>
      <c r="B105" s="58" t="s">
        <v>234</v>
      </c>
      <c r="C105" s="377">
        <f>+'2 Össz'!E105</f>
        <v>168655</v>
      </c>
      <c r="D105" s="24">
        <f>+ROUND($C$105/12,0)</f>
        <v>14055</v>
      </c>
      <c r="E105" s="24">
        <f>+ROUND($C$105/12,0)</f>
        <v>14055</v>
      </c>
      <c r="F105" s="24">
        <f>+ROUND($C$105/12,0)</f>
        <v>14055</v>
      </c>
      <c r="G105" s="24">
        <f>+ROUND($C$105/12,0)</f>
        <v>14055</v>
      </c>
      <c r="H105" s="24">
        <f>+ROUND($C$105/12,0)</f>
        <v>14055</v>
      </c>
      <c r="I105" s="24">
        <f>+ROUND($C$105/12,0)</f>
        <v>14055</v>
      </c>
      <c r="J105" s="24">
        <f>+ROUND($C$105/12,0)</f>
        <v>14055</v>
      </c>
      <c r="K105" s="24">
        <f>+ROUND($C$105/12,0)</f>
        <v>14055</v>
      </c>
      <c r="L105" s="24">
        <f>+ROUND($C$105/12,0)</f>
        <v>14055</v>
      </c>
      <c r="M105" s="24">
        <f>+ROUND($C$105/12,0)</f>
        <v>14055</v>
      </c>
      <c r="N105" s="24">
        <f>+ROUND($C$105/12,0)</f>
        <v>14055</v>
      </c>
      <c r="O105" s="24">
        <f>+ROUND($C$105/12,0)-5</f>
        <v>14050</v>
      </c>
      <c r="P105" s="378"/>
      <c r="Q105" s="372"/>
    </row>
    <row r="106" spans="1:17" ht="12.75">
      <c r="A106" s="60" t="s">
        <v>235</v>
      </c>
      <c r="B106" s="58" t="s">
        <v>236</v>
      </c>
      <c r="C106" s="377">
        <f>+'2 Össz'!E106</f>
        <v>30627</v>
      </c>
      <c r="D106" s="24">
        <f>+ROUND($C$106/12,0)</f>
        <v>2552</v>
      </c>
      <c r="E106" s="24">
        <f>+ROUND($C$106/12,0)</f>
        <v>2552</v>
      </c>
      <c r="F106" s="24">
        <f>+ROUND($C$106/12,0)</f>
        <v>2552</v>
      </c>
      <c r="G106" s="24">
        <f>+ROUND($C$106/12,0)</f>
        <v>2552</v>
      </c>
      <c r="H106" s="24">
        <f>+ROUND($C$106/12,0)</f>
        <v>2552</v>
      </c>
      <c r="I106" s="24">
        <f>+ROUND($C$106/12,0)</f>
        <v>2552</v>
      </c>
      <c r="J106" s="24">
        <f>+ROUND($C$106/12,0)</f>
        <v>2552</v>
      </c>
      <c r="K106" s="24">
        <f>+ROUND($C$106/12,0)</f>
        <v>2552</v>
      </c>
      <c r="L106" s="24">
        <f>+ROUND($C$106/12,0)</f>
        <v>2552</v>
      </c>
      <c r="M106" s="24">
        <f>+ROUND($C$106/12,0)</f>
        <v>2552</v>
      </c>
      <c r="N106" s="24">
        <f>+ROUND($C$106/12,0)</f>
        <v>2552</v>
      </c>
      <c r="O106" s="24">
        <f>+ROUND($C$106/12,0)+3</f>
        <v>2555</v>
      </c>
      <c r="P106" s="378"/>
      <c r="Q106" s="372"/>
    </row>
    <row r="107" spans="1:17" ht="12.75">
      <c r="A107" s="60" t="s">
        <v>237</v>
      </c>
      <c r="B107" s="58" t="s">
        <v>238</v>
      </c>
      <c r="C107" s="377">
        <f>+'2 Össz'!E107</f>
        <v>0</v>
      </c>
      <c r="D107" s="24">
        <f>+ROUND($C$107/12,0)</f>
        <v>0</v>
      </c>
      <c r="E107" s="24">
        <f>+ROUND($C$107/12,0)</f>
        <v>0</v>
      </c>
      <c r="F107" s="24">
        <f>+ROUND($C$107/12,0)</f>
        <v>0</v>
      </c>
      <c r="G107" s="24">
        <f>+ROUND($C$107/12,0)</f>
        <v>0</v>
      </c>
      <c r="H107" s="24">
        <f>+ROUND($C$107/12,0)</f>
        <v>0</v>
      </c>
      <c r="I107" s="24">
        <f>+ROUND($C$107/12,0)</f>
        <v>0</v>
      </c>
      <c r="J107" s="24">
        <f>+ROUND($C$107/12,0)</f>
        <v>0</v>
      </c>
      <c r="K107" s="24">
        <f>+ROUND($C$107/12,0)</f>
        <v>0</v>
      </c>
      <c r="L107" s="24">
        <f>+ROUND($C$107/12,0)</f>
        <v>0</v>
      </c>
      <c r="M107" s="24">
        <f>+ROUND($C$107/12,0)</f>
        <v>0</v>
      </c>
      <c r="N107" s="24">
        <f>+ROUND($C$107/12,0)</f>
        <v>0</v>
      </c>
      <c r="O107" s="24">
        <f>+ROUND($C$107/12,0)</f>
        <v>0</v>
      </c>
      <c r="P107" s="378"/>
      <c r="Q107" s="372"/>
    </row>
    <row r="108" spans="1:17" ht="12.75">
      <c r="A108" s="60" t="s">
        <v>239</v>
      </c>
      <c r="B108" s="58" t="s">
        <v>240</v>
      </c>
      <c r="C108" s="377">
        <f>+'2 Össz'!E108</f>
        <v>2050</v>
      </c>
      <c r="D108" s="24"/>
      <c r="E108" s="24"/>
      <c r="F108" s="24">
        <f>+ROUND($C$108/4,0)</f>
        <v>513</v>
      </c>
      <c r="G108" s="24"/>
      <c r="H108" s="24"/>
      <c r="I108" s="24">
        <f>+ROUND($C$108/4,0)</f>
        <v>513</v>
      </c>
      <c r="J108" s="24"/>
      <c r="K108" s="24"/>
      <c r="L108" s="24">
        <f>+ROUND($C$108/4,0)</f>
        <v>513</v>
      </c>
      <c r="M108" s="24"/>
      <c r="N108" s="24"/>
      <c r="O108" s="24">
        <f>+ROUND($C$108/4,0)-2</f>
        <v>511</v>
      </c>
      <c r="P108" s="378"/>
      <c r="Q108" s="372"/>
    </row>
    <row r="109" spans="1:17" ht="12.75">
      <c r="A109" s="60" t="s">
        <v>241</v>
      </c>
      <c r="B109" s="58" t="s">
        <v>242</v>
      </c>
      <c r="C109" s="377">
        <f>+'2 Össz'!E109</f>
        <v>0</v>
      </c>
      <c r="D109" s="24">
        <f>+ROUND($C$109/12,0)</f>
        <v>0</v>
      </c>
      <c r="E109" s="24">
        <f>+ROUND($C$109/12,0)</f>
        <v>0</v>
      </c>
      <c r="F109" s="24">
        <f>+ROUND($C$109/12,0)</f>
        <v>0</v>
      </c>
      <c r="G109" s="24">
        <f>+ROUND($C$109/12,0)</f>
        <v>0</v>
      </c>
      <c r="H109" s="24">
        <f>+ROUND($C$109/12,0)</f>
        <v>0</v>
      </c>
      <c r="I109" s="24">
        <f>+ROUND($C$109/12,0)</f>
        <v>0</v>
      </c>
      <c r="J109" s="24">
        <f>+ROUND($C$109/12,0)</f>
        <v>0</v>
      </c>
      <c r="K109" s="24">
        <f>+ROUND($C$109/12,0)</f>
        <v>0</v>
      </c>
      <c r="L109" s="24">
        <f>+ROUND($C$109/12,0)</f>
        <v>0</v>
      </c>
      <c r="M109" s="24">
        <f>+ROUND($C$109/12,0)</f>
        <v>0</v>
      </c>
      <c r="N109" s="24">
        <f>+ROUND($C$109/12,0)</f>
        <v>0</v>
      </c>
      <c r="O109" s="24">
        <f>+ROUND($C$109/12,0)</f>
        <v>0</v>
      </c>
      <c r="P109" s="378"/>
      <c r="Q109" s="372"/>
    </row>
    <row r="110" spans="1:17" ht="12.75">
      <c r="A110" s="60" t="s">
        <v>243</v>
      </c>
      <c r="B110" s="58" t="s">
        <v>244</v>
      </c>
      <c r="C110" s="377">
        <f>+'2 Össz'!E110</f>
        <v>0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378"/>
      <c r="Q110" s="372"/>
    </row>
    <row r="111" spans="1:17" ht="12.75">
      <c r="A111" s="60" t="s">
        <v>245</v>
      </c>
      <c r="B111" s="58" t="s">
        <v>246</v>
      </c>
      <c r="C111" s="377">
        <f>+'2 Össz'!E111</f>
        <v>340</v>
      </c>
      <c r="D111" s="24">
        <f>+ROUND($C$111/12,0)</f>
        <v>28</v>
      </c>
      <c r="E111" s="24">
        <f>+ROUND($C$111/12,0)</f>
        <v>28</v>
      </c>
      <c r="F111" s="24">
        <f>+ROUND($C$111/12,0)</f>
        <v>28</v>
      </c>
      <c r="G111" s="24">
        <f>+ROUND($C$111/12,0)</f>
        <v>28</v>
      </c>
      <c r="H111" s="24">
        <f>+ROUND($C$111/12,0)</f>
        <v>28</v>
      </c>
      <c r="I111" s="24">
        <f>+ROUND($C$111/12,0)</f>
        <v>28</v>
      </c>
      <c r="J111" s="24">
        <f>+ROUND($C$111/12,0)</f>
        <v>28</v>
      </c>
      <c r="K111" s="24">
        <f>+ROUND($C$111/12,0)</f>
        <v>28</v>
      </c>
      <c r="L111" s="24">
        <f>+ROUND($C$111/12,0)</f>
        <v>28</v>
      </c>
      <c r="M111" s="24">
        <f>+ROUND($C$111/12,0)</f>
        <v>28</v>
      </c>
      <c r="N111" s="24">
        <f>+ROUND($C$111/12,0)</f>
        <v>28</v>
      </c>
      <c r="O111" s="24">
        <f>+ROUND($C$111/12,0)+4</f>
        <v>32</v>
      </c>
      <c r="P111" s="378"/>
      <c r="Q111" s="372"/>
    </row>
    <row r="112" spans="1:17" s="382" customFormat="1" ht="12.75">
      <c r="A112" s="143" t="s">
        <v>247</v>
      </c>
      <c r="B112" s="95" t="s">
        <v>248</v>
      </c>
      <c r="C112" s="96">
        <f>SUM(C101:C111)</f>
        <v>439027</v>
      </c>
      <c r="D112" s="96">
        <f>SUM(D101:D111)</f>
        <v>36415</v>
      </c>
      <c r="E112" s="96">
        <f>SUM(E101:E111)</f>
        <v>36415</v>
      </c>
      <c r="F112" s="96">
        <f>SUM(F101:F111)</f>
        <v>36928</v>
      </c>
      <c r="G112" s="96">
        <f>SUM(G101:G111)</f>
        <v>36415</v>
      </c>
      <c r="H112" s="96">
        <f>SUM(H101:H111)</f>
        <v>36415</v>
      </c>
      <c r="I112" s="96">
        <f>SUM(I101:I111)</f>
        <v>36928</v>
      </c>
      <c r="J112" s="96">
        <f>SUM(J101:J111)</f>
        <v>36415</v>
      </c>
      <c r="K112" s="96">
        <f>SUM(K101:K111)</f>
        <v>36415</v>
      </c>
      <c r="L112" s="96">
        <f>SUM(L101:L111)</f>
        <v>36928</v>
      </c>
      <c r="M112" s="96">
        <f>SUM(M101:M111)</f>
        <v>36415</v>
      </c>
      <c r="N112" s="96">
        <f>SUM(N101:N111)</f>
        <v>36415</v>
      </c>
      <c r="O112" s="96">
        <f>SUM(O101:O111)</f>
        <v>36923</v>
      </c>
      <c r="P112" s="378"/>
      <c r="Q112" s="381"/>
    </row>
    <row r="113" spans="1:17" ht="12.75">
      <c r="A113" s="60" t="s">
        <v>249</v>
      </c>
      <c r="B113" s="58" t="s">
        <v>250</v>
      </c>
      <c r="C113" s="377">
        <f>+'2 Össz'!E113</f>
        <v>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378"/>
      <c r="Q113" s="372"/>
    </row>
    <row r="114" spans="1:17" ht="12.75">
      <c r="A114" s="60" t="s">
        <v>251</v>
      </c>
      <c r="B114" s="58" t="s">
        <v>252</v>
      </c>
      <c r="C114" s="377">
        <f>+'2 Össz'!E114</f>
        <v>57608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>
        <v>33804</v>
      </c>
      <c r="N114" s="24">
        <v>23804</v>
      </c>
      <c r="O114" s="24"/>
      <c r="P114" s="378"/>
      <c r="Q114" s="372"/>
    </row>
    <row r="115" spans="1:17" ht="12.75">
      <c r="A115" s="60" t="s">
        <v>253</v>
      </c>
      <c r="B115" s="58" t="s">
        <v>254</v>
      </c>
      <c r="C115" s="377">
        <f>+'2 Össz'!E115</f>
        <v>0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378"/>
      <c r="Q115" s="372"/>
    </row>
    <row r="116" spans="1:17" ht="12.75">
      <c r="A116" s="60" t="s">
        <v>255</v>
      </c>
      <c r="B116" s="58" t="s">
        <v>256</v>
      </c>
      <c r="C116" s="377">
        <f>+'2 Össz'!E116</f>
        <v>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378"/>
      <c r="Q116" s="372"/>
    </row>
    <row r="117" spans="1:17" ht="12.75">
      <c r="A117" s="60" t="s">
        <v>257</v>
      </c>
      <c r="B117" s="58" t="s">
        <v>258</v>
      </c>
      <c r="C117" s="377">
        <f>+'2 Össz'!E117</f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378"/>
      <c r="Q117" s="372"/>
    </row>
    <row r="118" spans="1:17" s="382" customFormat="1" ht="12.75">
      <c r="A118" s="94" t="s">
        <v>259</v>
      </c>
      <c r="B118" s="95" t="s">
        <v>260</v>
      </c>
      <c r="C118" s="96">
        <f>SUM(C113:C117)</f>
        <v>57608</v>
      </c>
      <c r="D118" s="96">
        <f>SUM(D113:D117)</f>
        <v>0</v>
      </c>
      <c r="E118" s="96">
        <f>SUM(E113:E117)</f>
        <v>0</v>
      </c>
      <c r="F118" s="96">
        <f>SUM(F113:F117)</f>
        <v>0</v>
      </c>
      <c r="G118" s="96">
        <f>SUM(G113:G117)</f>
        <v>0</v>
      </c>
      <c r="H118" s="96">
        <f>SUM(H113:H117)</f>
        <v>0</v>
      </c>
      <c r="I118" s="96">
        <f>SUM(I113:I117)</f>
        <v>0</v>
      </c>
      <c r="J118" s="96">
        <f>SUM(J113:J117)</f>
        <v>0</v>
      </c>
      <c r="K118" s="96">
        <f>SUM(K113:K117)</f>
        <v>0</v>
      </c>
      <c r="L118" s="96">
        <f>SUM(L113:L117)</f>
        <v>0</v>
      </c>
      <c r="M118" s="96">
        <f>SUM(M113:M117)</f>
        <v>33804</v>
      </c>
      <c r="N118" s="96">
        <f>SUM(N113:N117)</f>
        <v>23804</v>
      </c>
      <c r="O118" s="96">
        <f>SUM(O113:O117)</f>
        <v>0</v>
      </c>
      <c r="P118" s="378"/>
      <c r="Q118" s="381"/>
    </row>
    <row r="119" spans="1:17" s="385" customFormat="1" ht="12.75">
      <c r="A119" s="50" t="s">
        <v>261</v>
      </c>
      <c r="B119" s="59" t="s">
        <v>262</v>
      </c>
      <c r="C119" s="377">
        <f>+'2 Össz'!E119</f>
        <v>16883</v>
      </c>
      <c r="D119" s="321">
        <f>+ROUND($C$119/12,0)</f>
        <v>1407</v>
      </c>
      <c r="E119" s="321">
        <f>+ROUND($C$119/12,0)</f>
        <v>1407</v>
      </c>
      <c r="F119" s="321">
        <f>+ROUND($C$119/12,0)</f>
        <v>1407</v>
      </c>
      <c r="G119" s="321">
        <f>+ROUND($C$119/12,0)</f>
        <v>1407</v>
      </c>
      <c r="H119" s="321">
        <f>+ROUND($C$119/12,0)</f>
        <v>1407</v>
      </c>
      <c r="I119" s="321">
        <f>+ROUND($C$119/12,0)</f>
        <v>1407</v>
      </c>
      <c r="J119" s="321">
        <f>+ROUND($C$119/12,0)</f>
        <v>1407</v>
      </c>
      <c r="K119" s="321">
        <f>+ROUND($C$119/12,0)</f>
        <v>1407</v>
      </c>
      <c r="L119" s="321">
        <f>+ROUND($C$119/12,0)</f>
        <v>1407</v>
      </c>
      <c r="M119" s="321">
        <f>+ROUND($C$119/12,0)</f>
        <v>1407</v>
      </c>
      <c r="N119" s="321">
        <f>+ROUND($C$119/12,0)</f>
        <v>1407</v>
      </c>
      <c r="O119" s="321">
        <f>+ROUND($C$119/12,0)-1</f>
        <v>1406</v>
      </c>
      <c r="P119" s="383"/>
      <c r="Q119" s="384"/>
    </row>
    <row r="120" spans="1:17" ht="12.75">
      <c r="A120" s="60" t="s">
        <v>263</v>
      </c>
      <c r="B120" s="58" t="s">
        <v>264</v>
      </c>
      <c r="C120" s="377">
        <f>+'2 Össz'!E120</f>
        <v>0</v>
      </c>
      <c r="D120" s="24">
        <f>+ROUND($C$120/12,0)</f>
        <v>0</v>
      </c>
      <c r="E120" s="24">
        <f>+ROUND($C$120/12,0)</f>
        <v>0</v>
      </c>
      <c r="F120" s="24">
        <f>+ROUND($C$120/12,0)</f>
        <v>0</v>
      </c>
      <c r="G120" s="24">
        <f>+ROUND($C$120/12,0)</f>
        <v>0</v>
      </c>
      <c r="H120" s="24">
        <f>+ROUND($C$120/12,0)</f>
        <v>0</v>
      </c>
      <c r="I120" s="24">
        <f>+ROUND($C$120/12,0)</f>
        <v>0</v>
      </c>
      <c r="J120" s="24">
        <f>+ROUND($C$120/12,0)</f>
        <v>0</v>
      </c>
      <c r="K120" s="24">
        <f>+ROUND($C$120/12,0)</f>
        <v>0</v>
      </c>
      <c r="L120" s="24">
        <f>+ROUND($C$120/12,0)</f>
        <v>0</v>
      </c>
      <c r="M120" s="24">
        <f>+ROUND($C$120/12,0)</f>
        <v>0</v>
      </c>
      <c r="N120" s="24">
        <f>+ROUND($C$120/12,0)</f>
        <v>0</v>
      </c>
      <c r="O120" s="24">
        <f>+ROUND($C$120/12,0)</f>
        <v>0</v>
      </c>
      <c r="P120" s="378"/>
      <c r="Q120" s="372"/>
    </row>
    <row r="121" spans="1:17" ht="12.75">
      <c r="A121" s="47" t="s">
        <v>265</v>
      </c>
      <c r="B121" s="58" t="s">
        <v>266</v>
      </c>
      <c r="C121" s="377">
        <f>+'2 Össz'!E121</f>
        <v>0</v>
      </c>
      <c r="D121" s="24">
        <f>+ROUND($C$121/12,0)</f>
        <v>0</v>
      </c>
      <c r="E121" s="24">
        <f>+ROUND($C$121/12,0)</f>
        <v>0</v>
      </c>
      <c r="F121" s="24">
        <f>+ROUND($C$121/12,0)</f>
        <v>0</v>
      </c>
      <c r="G121" s="24">
        <f>+ROUND($C$121/12,0)</f>
        <v>0</v>
      </c>
      <c r="H121" s="24">
        <f>+ROUND($C$121/12,0)</f>
        <v>0</v>
      </c>
      <c r="I121" s="24">
        <f>+ROUND($C$121/12,0)</f>
        <v>0</v>
      </c>
      <c r="J121" s="24">
        <f>+ROUND($C$121/12,0)</f>
        <v>0</v>
      </c>
      <c r="K121" s="24">
        <f>+ROUND($C$121/12,0)</f>
        <v>0</v>
      </c>
      <c r="L121" s="24">
        <f>+ROUND($C$121/12,0)</f>
        <v>0</v>
      </c>
      <c r="M121" s="24">
        <f>+ROUND($C$121/12,0)</f>
        <v>0</v>
      </c>
      <c r="N121" s="24">
        <f>+ROUND($C$121/12,0)</f>
        <v>0</v>
      </c>
      <c r="O121" s="24">
        <f>+ROUND($C$121/12,0)</f>
        <v>0</v>
      </c>
      <c r="P121" s="378"/>
      <c r="Q121" s="372"/>
    </row>
    <row r="122" spans="1:17" ht="12.75">
      <c r="A122" s="60" t="s">
        <v>267</v>
      </c>
      <c r="B122" s="58" t="s">
        <v>268</v>
      </c>
      <c r="C122" s="377">
        <f>+'2 Össz'!E122</f>
        <v>0</v>
      </c>
      <c r="D122" s="24">
        <f>+ROUND($C$122/12,0)</f>
        <v>0</v>
      </c>
      <c r="E122" s="24">
        <f>+ROUND($C$122/12,0)</f>
        <v>0</v>
      </c>
      <c r="F122" s="24">
        <f>+ROUND($C$122/12,0)</f>
        <v>0</v>
      </c>
      <c r="G122" s="24">
        <f>+ROUND($C$122/12,0)</f>
        <v>0</v>
      </c>
      <c r="H122" s="24">
        <f>+ROUND($C$122/12,0)</f>
        <v>0</v>
      </c>
      <c r="I122" s="24">
        <f>+ROUND($C$122/12,0)</f>
        <v>0</v>
      </c>
      <c r="J122" s="24">
        <f>+ROUND($C$122/12,0)</f>
        <v>0</v>
      </c>
      <c r="K122" s="24">
        <f>+ROUND($C$122/12,0)</f>
        <v>0</v>
      </c>
      <c r="L122" s="24">
        <f>+ROUND($C$122/12,0)</f>
        <v>0</v>
      </c>
      <c r="M122" s="24">
        <f>+ROUND($C$122/12,0)</f>
        <v>0</v>
      </c>
      <c r="N122" s="24">
        <f>+ROUND($C$122/12,0)</f>
        <v>0</v>
      </c>
      <c r="O122" s="24">
        <f>+ROUND($C$122/12,0)</f>
        <v>0</v>
      </c>
      <c r="P122" s="378"/>
      <c r="Q122" s="372"/>
    </row>
    <row r="123" spans="1:17" ht="12.75">
      <c r="A123" s="60" t="s">
        <v>269</v>
      </c>
      <c r="B123" s="58" t="s">
        <v>270</v>
      </c>
      <c r="C123" s="377">
        <f>+'2 Össz'!E123</f>
        <v>0</v>
      </c>
      <c r="D123" s="24">
        <f>+ROUND($C$123/12,0)</f>
        <v>0</v>
      </c>
      <c r="E123" s="24">
        <f>+ROUND($C$123/12,0)</f>
        <v>0</v>
      </c>
      <c r="F123" s="24">
        <f>+ROUND($C$123/12,0)</f>
        <v>0</v>
      </c>
      <c r="G123" s="24">
        <f>+ROUND($C$123/12,0)</f>
        <v>0</v>
      </c>
      <c r="H123" s="24">
        <f>+ROUND($C$123/12,0)</f>
        <v>0</v>
      </c>
      <c r="I123" s="24">
        <f>+ROUND($C$123/12,0)</f>
        <v>0</v>
      </c>
      <c r="J123" s="24">
        <f>+ROUND($C$123/12,0)</f>
        <v>0</v>
      </c>
      <c r="K123" s="24">
        <f>+ROUND($C$123/12,0)</f>
        <v>0</v>
      </c>
      <c r="L123" s="24">
        <f>+ROUND($C$123/12,0)</f>
        <v>0</v>
      </c>
      <c r="M123" s="24">
        <f>+ROUND($C$123/12,0)</f>
        <v>0</v>
      </c>
      <c r="N123" s="24">
        <f>+ROUND($C$123/12,0)</f>
        <v>0</v>
      </c>
      <c r="O123" s="24">
        <f>+ROUND($C$123/12,0)</f>
        <v>0</v>
      </c>
      <c r="P123" s="378"/>
      <c r="Q123" s="372"/>
    </row>
    <row r="124" spans="1:17" ht="12.75">
      <c r="A124" s="60" t="s">
        <v>271</v>
      </c>
      <c r="B124" s="58" t="s">
        <v>272</v>
      </c>
      <c r="C124" s="377">
        <f>+'2 Össz'!E124</f>
        <v>32262</v>
      </c>
      <c r="D124" s="24">
        <f>+ROUND($C$124/12,0)</f>
        <v>2689</v>
      </c>
      <c r="E124" s="24">
        <f>+ROUND($C$124/12,0)</f>
        <v>2689</v>
      </c>
      <c r="F124" s="24">
        <f>+ROUND($C$124/12,0)</f>
        <v>2689</v>
      </c>
      <c r="G124" s="24">
        <f>+ROUND($C$124/12,0)</f>
        <v>2689</v>
      </c>
      <c r="H124" s="24">
        <f>+ROUND($C$124/12,0)</f>
        <v>2689</v>
      </c>
      <c r="I124" s="24">
        <f>+ROUND($C$124/12,0)</f>
        <v>2689</v>
      </c>
      <c r="J124" s="24">
        <f>+ROUND($C$124/12,0)</f>
        <v>2689</v>
      </c>
      <c r="K124" s="24">
        <f>+ROUND($C$124/12,0)</f>
        <v>2689</v>
      </c>
      <c r="L124" s="24">
        <f>+ROUND($C$124/12,0)</f>
        <v>2689</v>
      </c>
      <c r="M124" s="24">
        <f>+ROUND($C$124/12,0)</f>
        <v>2689</v>
      </c>
      <c r="N124" s="24">
        <f>+ROUND($C$124/12,0)</f>
        <v>2689</v>
      </c>
      <c r="O124" s="24">
        <f>+ROUND($C$124/12,0)-6</f>
        <v>2683</v>
      </c>
      <c r="P124" s="378"/>
      <c r="Q124" s="372"/>
    </row>
    <row r="125" spans="1:17" s="382" customFormat="1" ht="12.75">
      <c r="A125" s="94" t="s">
        <v>273</v>
      </c>
      <c r="B125" s="95" t="s">
        <v>274</v>
      </c>
      <c r="C125" s="96">
        <f>SUM(C120:C124)</f>
        <v>32262</v>
      </c>
      <c r="D125" s="96">
        <f>SUM(D120:D124)</f>
        <v>2689</v>
      </c>
      <c r="E125" s="96">
        <f>SUM(E120:E124)</f>
        <v>2689</v>
      </c>
      <c r="F125" s="96">
        <f>SUM(F120:F124)</f>
        <v>2689</v>
      </c>
      <c r="G125" s="96">
        <f>SUM(G120:G124)</f>
        <v>2689</v>
      </c>
      <c r="H125" s="96">
        <f>SUM(H120:H124)</f>
        <v>2689</v>
      </c>
      <c r="I125" s="96">
        <f>SUM(I120:I124)</f>
        <v>2689</v>
      </c>
      <c r="J125" s="96">
        <f>SUM(J120:J124)</f>
        <v>2689</v>
      </c>
      <c r="K125" s="96">
        <f>SUM(K120:K124)</f>
        <v>2689</v>
      </c>
      <c r="L125" s="96">
        <f>SUM(L120:L124)</f>
        <v>2689</v>
      </c>
      <c r="M125" s="96">
        <f>SUM(M120:M124)</f>
        <v>2689</v>
      </c>
      <c r="N125" s="96">
        <f>SUM(N120:N124)</f>
        <v>2689</v>
      </c>
      <c r="O125" s="96">
        <f>SUM(O120:O124)</f>
        <v>2683</v>
      </c>
      <c r="P125" s="378"/>
      <c r="Q125" s="381"/>
    </row>
    <row r="126" spans="1:17" s="382" customFormat="1" ht="12.75">
      <c r="A126" s="143" t="s">
        <v>275</v>
      </c>
      <c r="B126" s="95" t="s">
        <v>276</v>
      </c>
      <c r="C126" s="96">
        <f>+C125+C119+C118+C112+C100+C93+C92</f>
        <v>4231323</v>
      </c>
      <c r="D126" s="96">
        <f>+D125+D119+D118+D112+D100+D93+D92</f>
        <v>161783</v>
      </c>
      <c r="E126" s="96">
        <f>+E125+E119+E118+E112+E100+E93+E92</f>
        <v>185509</v>
      </c>
      <c r="F126" s="96">
        <f>+F125+F119+F118+F112+F100+F93+F92</f>
        <v>216481</v>
      </c>
      <c r="G126" s="96">
        <f>+G125+G119+G118+G112+G100+G93+G92</f>
        <v>246210</v>
      </c>
      <c r="H126" s="96">
        <f>+H125+H119+H118+H112+H100+H93+H92</f>
        <v>365368</v>
      </c>
      <c r="I126" s="96">
        <f>+I125+I119+I118+I112+I100+I93+I92</f>
        <v>279040</v>
      </c>
      <c r="J126" s="96">
        <f>+J125+J119+J118+J112+J100+J93+J92</f>
        <v>498125</v>
      </c>
      <c r="K126" s="96">
        <f>+K125+K119+K118+K112+K100+K93+K92</f>
        <v>265401</v>
      </c>
      <c r="L126" s="96">
        <f>+L125+L119+L118+L112+L100+L93+L92</f>
        <v>321948</v>
      </c>
      <c r="M126" s="96">
        <f>+M125+M119+M118+M112+M100+M93+M92</f>
        <v>325724</v>
      </c>
      <c r="N126" s="96">
        <f>+N125+N119+N118+N112+N100+N93+N92</f>
        <v>632717</v>
      </c>
      <c r="O126" s="96">
        <f>+O125+O119+O118+O112+O100+O93+O92</f>
        <v>733017</v>
      </c>
      <c r="P126" s="378"/>
      <c r="Q126" s="381"/>
    </row>
    <row r="127" spans="1:17" s="382" customFormat="1" ht="12.75">
      <c r="A127" s="365" t="s">
        <v>277</v>
      </c>
      <c r="B127" s="123"/>
      <c r="C127" s="124">
        <f>+C119+C112+C100+C92-C34</f>
        <v>-168433</v>
      </c>
      <c r="D127" s="124">
        <f>+D119+D112+D100+D92-D34</f>
        <v>-60445</v>
      </c>
      <c r="E127" s="124">
        <f>+E119+E112+E100+E92-E34</f>
        <v>-36719</v>
      </c>
      <c r="F127" s="124">
        <f>+F119+F112+F100+F92-F34</f>
        <v>-5747</v>
      </c>
      <c r="G127" s="124">
        <f>+G119+G112+G100+G92-G34</f>
        <v>22982</v>
      </c>
      <c r="H127" s="124">
        <f>+H119+H112+H100+H92-H34</f>
        <v>-2786</v>
      </c>
      <c r="I127" s="124">
        <f>+I119+I112+I100+I92-I34</f>
        <v>-80114</v>
      </c>
      <c r="J127" s="124">
        <f>+J119+J112+J100+J92-J34</f>
        <v>4045</v>
      </c>
      <c r="K127" s="124">
        <f>+K119+K112+K100+K92-K34</f>
        <v>-105753</v>
      </c>
      <c r="L127" s="124">
        <f>+L119+L112+L100+L92-L34</f>
        <v>-36206</v>
      </c>
      <c r="M127" s="124">
        <f>+M119+M112+M100+M92-M34</f>
        <v>-77234</v>
      </c>
      <c r="N127" s="124">
        <f>+N119+N112+N100+N92-N34</f>
        <v>114833</v>
      </c>
      <c r="O127" s="124">
        <f>+O119+O112+O100+O92-O34</f>
        <v>94711</v>
      </c>
      <c r="P127" s="378"/>
      <c r="Q127" s="381"/>
    </row>
    <row r="128" spans="1:17" s="382" customFormat="1" ht="12.75">
      <c r="A128" s="365" t="s">
        <v>278</v>
      </c>
      <c r="B128" s="123"/>
      <c r="C128" s="124">
        <f>+C125+C118+C93-C58</f>
        <v>0</v>
      </c>
      <c r="D128" s="124">
        <f>+D125+D118+D93-D58</f>
        <v>-6490</v>
      </c>
      <c r="E128" s="124">
        <f>+E125+E118+E93-E58</f>
        <v>-2489</v>
      </c>
      <c r="F128" s="124">
        <f>+F125+F118+F93-F58</f>
        <v>-56543</v>
      </c>
      <c r="G128" s="124">
        <f>+G125+G118+G93-G58</f>
        <v>-22982</v>
      </c>
      <c r="H128" s="124">
        <f>+H125+H118+H93-H58</f>
        <v>2786</v>
      </c>
      <c r="I128" s="124">
        <f>+I125+I118+I93-I58</f>
        <v>118041</v>
      </c>
      <c r="J128" s="124">
        <f>+J125+J118+J93-J58</f>
        <v>109737</v>
      </c>
      <c r="K128" s="124">
        <f>+K125+K118+K93-K58</f>
        <v>136437</v>
      </c>
      <c r="L128" s="124">
        <f>+L125+L118+L93-L58</f>
        <v>51569</v>
      </c>
      <c r="M128" s="124">
        <f>+M125+M118+M93-M58</f>
        <v>128271</v>
      </c>
      <c r="N128" s="124">
        <f>+N125+N118+N93-N58</f>
        <v>-214833</v>
      </c>
      <c r="O128" s="124">
        <f>+O125+O118+O93-O58</f>
        <v>-243504</v>
      </c>
      <c r="P128" s="378"/>
      <c r="Q128" s="381"/>
    </row>
    <row r="129" spans="1:17" ht="12.75">
      <c r="A129" s="68" t="s">
        <v>279</v>
      </c>
      <c r="B129" s="47" t="s">
        <v>280</v>
      </c>
      <c r="C129" s="377">
        <f>+'2 Össz'!E129</f>
        <v>0</v>
      </c>
      <c r="D129" s="24"/>
      <c r="E129" s="389"/>
      <c r="F129" s="389"/>
      <c r="G129" s="389"/>
      <c r="H129" s="24"/>
      <c r="I129" s="24"/>
      <c r="J129" s="24"/>
      <c r="K129" s="24"/>
      <c r="L129" s="24"/>
      <c r="M129" s="389"/>
      <c r="N129" s="389"/>
      <c r="O129" s="389"/>
      <c r="P129" s="378"/>
      <c r="Q129" s="372"/>
    </row>
    <row r="130" spans="1:17" ht="12.75">
      <c r="A130" s="60" t="s">
        <v>716</v>
      </c>
      <c r="B130" s="47" t="s">
        <v>282</v>
      </c>
      <c r="C130" s="377">
        <f>+'2 Össz'!E130</f>
        <v>0</v>
      </c>
      <c r="D130" s="24"/>
      <c r="E130" s="389"/>
      <c r="F130" s="389"/>
      <c r="G130" s="389"/>
      <c r="H130" s="24"/>
      <c r="I130" s="24"/>
      <c r="J130" s="24"/>
      <c r="K130" s="24"/>
      <c r="L130" s="24"/>
      <c r="M130" s="389"/>
      <c r="N130" s="389"/>
      <c r="O130" s="389"/>
      <c r="P130" s="378"/>
      <c r="Q130" s="372"/>
    </row>
    <row r="131" spans="1:17" ht="12.75">
      <c r="A131" s="68" t="s">
        <v>283</v>
      </c>
      <c r="B131" s="47" t="s">
        <v>284</v>
      </c>
      <c r="C131" s="377">
        <f>+'2 Össz'!E131</f>
        <v>88500</v>
      </c>
      <c r="D131" s="24"/>
      <c r="E131" s="389"/>
      <c r="F131" s="24"/>
      <c r="G131" s="24"/>
      <c r="H131" s="24"/>
      <c r="I131" s="24"/>
      <c r="J131" s="24"/>
      <c r="K131" s="24">
        <v>40000</v>
      </c>
      <c r="L131" s="24"/>
      <c r="M131" s="389"/>
      <c r="N131" s="389"/>
      <c r="O131" s="389">
        <v>48500</v>
      </c>
      <c r="P131" s="378"/>
      <c r="Q131" s="372"/>
    </row>
    <row r="132" spans="1:17" s="382" customFormat="1" ht="12.75">
      <c r="A132" s="143" t="s">
        <v>720</v>
      </c>
      <c r="B132" s="94" t="s">
        <v>286</v>
      </c>
      <c r="C132" s="96">
        <f>SUM(C129:C131)</f>
        <v>88500</v>
      </c>
      <c r="D132" s="96">
        <f>SUM(D129:D131)</f>
        <v>0</v>
      </c>
      <c r="E132" s="96">
        <f>SUM(E129:E131)</f>
        <v>0</v>
      </c>
      <c r="F132" s="96">
        <f>SUM(F129:F131)</f>
        <v>0</v>
      </c>
      <c r="G132" s="96">
        <f>SUM(G129:G131)</f>
        <v>0</v>
      </c>
      <c r="H132" s="96">
        <f>SUM(H129:H131)</f>
        <v>0</v>
      </c>
      <c r="I132" s="96">
        <f>SUM(I129:I131)</f>
        <v>0</v>
      </c>
      <c r="J132" s="96">
        <f>SUM(J129:J131)</f>
        <v>0</v>
      </c>
      <c r="K132" s="96">
        <f>SUM(K129:K131)</f>
        <v>40000</v>
      </c>
      <c r="L132" s="96">
        <f>SUM(L129:L131)</f>
        <v>0</v>
      </c>
      <c r="M132" s="96">
        <f>SUM(M129:M131)</f>
        <v>0</v>
      </c>
      <c r="N132" s="96">
        <f>SUM(N129:N131)</f>
        <v>0</v>
      </c>
      <c r="O132" s="96">
        <f>SUM(O129:O131)</f>
        <v>48500</v>
      </c>
      <c r="P132" s="380"/>
      <c r="Q132" s="381"/>
    </row>
    <row r="133" spans="1:17" ht="12.75" hidden="1">
      <c r="A133" s="60" t="s">
        <v>287</v>
      </c>
      <c r="B133" s="47" t="s">
        <v>288</v>
      </c>
      <c r="C133" s="377">
        <f>+'2 Össz'!E133</f>
        <v>0</v>
      </c>
      <c r="D133" s="24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78"/>
      <c r="Q133" s="372"/>
    </row>
    <row r="134" spans="1:17" ht="12.75" hidden="1">
      <c r="A134" s="68" t="s">
        <v>722</v>
      </c>
      <c r="B134" s="47" t="s">
        <v>290</v>
      </c>
      <c r="C134" s="377">
        <f>+'2 Össz'!E134</f>
        <v>0</v>
      </c>
      <c r="D134" s="24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78"/>
      <c r="Q134" s="372"/>
    </row>
    <row r="135" spans="1:17" ht="12.75" hidden="1">
      <c r="A135" s="60" t="s">
        <v>291</v>
      </c>
      <c r="B135" s="47" t="s">
        <v>292</v>
      </c>
      <c r="C135" s="377">
        <f>+'2 Össz'!E135</f>
        <v>0</v>
      </c>
      <c r="D135" s="24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78"/>
      <c r="Q135" s="372"/>
    </row>
    <row r="136" spans="1:17" ht="12.75" hidden="1">
      <c r="A136" s="68" t="s">
        <v>724</v>
      </c>
      <c r="B136" s="47" t="s">
        <v>294</v>
      </c>
      <c r="C136" s="377">
        <f>+'2 Össz'!E136</f>
        <v>0</v>
      </c>
      <c r="D136" s="24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78"/>
      <c r="Q136" s="372"/>
    </row>
    <row r="137" spans="1:17" s="382" customFormat="1" ht="12.75">
      <c r="A137" s="362" t="s">
        <v>295</v>
      </c>
      <c r="B137" s="94" t="s">
        <v>296</v>
      </c>
      <c r="C137" s="96">
        <f>SUM(C133:C136)</f>
        <v>0</v>
      </c>
      <c r="D137" s="96">
        <f>SUM(D133:D136)</f>
        <v>0</v>
      </c>
      <c r="E137" s="96">
        <f>SUM(E133:E136)</f>
        <v>0</v>
      </c>
      <c r="F137" s="96">
        <f>SUM(F133:F136)</f>
        <v>0</v>
      </c>
      <c r="G137" s="96">
        <f>SUM(G133:G136)</f>
        <v>0</v>
      </c>
      <c r="H137" s="96">
        <f>SUM(H133:H136)</f>
        <v>0</v>
      </c>
      <c r="I137" s="96">
        <f>SUM(I133:I136)</f>
        <v>0</v>
      </c>
      <c r="J137" s="96">
        <f>SUM(J133:J136)</f>
        <v>0</v>
      </c>
      <c r="K137" s="96">
        <f>SUM(K133:K136)</f>
        <v>0</v>
      </c>
      <c r="L137" s="96">
        <f>SUM(L133:L136)</f>
        <v>0</v>
      </c>
      <c r="M137" s="96">
        <f>SUM(M133:M136)</f>
        <v>0</v>
      </c>
      <c r="N137" s="96">
        <f>SUM(N133:N136)</f>
        <v>0</v>
      </c>
      <c r="O137" s="96">
        <f>SUM(O133:O136)</f>
        <v>0</v>
      </c>
      <c r="P137" s="380"/>
      <c r="Q137" s="381"/>
    </row>
    <row r="138" spans="1:17" ht="12.75">
      <c r="A138" s="47" t="s">
        <v>297</v>
      </c>
      <c r="B138" s="47" t="s">
        <v>298</v>
      </c>
      <c r="C138" s="377">
        <f>+'2 Össz'!E138</f>
        <v>168433</v>
      </c>
      <c r="D138" s="24">
        <v>66935</v>
      </c>
      <c r="E138" s="24">
        <v>39208</v>
      </c>
      <c r="F138" s="24">
        <v>62290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378"/>
      <c r="Q138" s="372"/>
    </row>
    <row r="139" spans="1:17" ht="12.75">
      <c r="A139" s="47" t="s">
        <v>299</v>
      </c>
      <c r="B139" s="47" t="s">
        <v>298</v>
      </c>
      <c r="C139" s="377">
        <f>+'2 Össz'!E139</f>
        <v>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378"/>
      <c r="Q139" s="372"/>
    </row>
    <row r="140" spans="1:17" ht="12.75">
      <c r="A140" s="47" t="s">
        <v>300</v>
      </c>
      <c r="B140" s="47" t="s">
        <v>301</v>
      </c>
      <c r="C140" s="377">
        <f>+'2 Össz'!E140</f>
        <v>0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378"/>
      <c r="Q140" s="372"/>
    </row>
    <row r="141" spans="1:17" ht="12.75">
      <c r="A141" s="47" t="s">
        <v>302</v>
      </c>
      <c r="B141" s="47" t="s">
        <v>301</v>
      </c>
      <c r="C141" s="377">
        <f>+'2 Össz'!E141</f>
        <v>0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378"/>
      <c r="Q141" s="372"/>
    </row>
    <row r="142" spans="1:17" s="382" customFormat="1" ht="12.75">
      <c r="A142" s="94" t="s">
        <v>303</v>
      </c>
      <c r="B142" s="94" t="s">
        <v>304</v>
      </c>
      <c r="C142" s="96">
        <f>SUM(C138:C141)</f>
        <v>168433</v>
      </c>
      <c r="D142" s="96">
        <f>SUM(D138:D141)</f>
        <v>66935</v>
      </c>
      <c r="E142" s="96">
        <f>SUM(E138:E141)</f>
        <v>39208</v>
      </c>
      <c r="F142" s="96">
        <f>SUM(F138:F141)</f>
        <v>62290</v>
      </c>
      <c r="G142" s="96">
        <f>SUM(G138:G141)</f>
        <v>0</v>
      </c>
      <c r="H142" s="96">
        <f>SUM(H138:H141)</f>
        <v>0</v>
      </c>
      <c r="I142" s="96">
        <f>SUM(I138:I141)</f>
        <v>0</v>
      </c>
      <c r="J142" s="96">
        <f>SUM(J138:J141)</f>
        <v>0</v>
      </c>
      <c r="K142" s="96">
        <f>SUM(K138:K141)</f>
        <v>0</v>
      </c>
      <c r="L142" s="96">
        <f>SUM(L138:L141)</f>
        <v>0</v>
      </c>
      <c r="M142" s="96">
        <f>SUM(M138:M141)</f>
        <v>0</v>
      </c>
      <c r="N142" s="96">
        <f>SUM(N138:N141)</f>
        <v>0</v>
      </c>
      <c r="O142" s="96">
        <f>SUM(O138:O141)</f>
        <v>0</v>
      </c>
      <c r="P142" s="380"/>
      <c r="Q142" s="381"/>
    </row>
    <row r="143" spans="1:17" ht="12.75" hidden="1">
      <c r="A143" s="68" t="s">
        <v>305</v>
      </c>
      <c r="B143" s="47" t="s">
        <v>306</v>
      </c>
      <c r="C143" s="377">
        <f>+'2 Össz'!E143</f>
        <v>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378"/>
      <c r="Q143" s="372"/>
    </row>
    <row r="144" spans="1:17" ht="12.75" hidden="1">
      <c r="A144" s="68" t="s">
        <v>307</v>
      </c>
      <c r="B144" s="47" t="s">
        <v>308</v>
      </c>
      <c r="C144" s="377">
        <f>+'2 Össz'!E144</f>
        <v>0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378"/>
      <c r="Q144" s="372"/>
    </row>
    <row r="145" spans="1:17" ht="12.75" hidden="1">
      <c r="A145" s="68" t="s">
        <v>309</v>
      </c>
      <c r="B145" s="47" t="s">
        <v>310</v>
      </c>
      <c r="C145" s="377">
        <f>+'2 Össz'!E145</f>
        <v>0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378"/>
      <c r="Q145" s="372"/>
    </row>
    <row r="146" spans="1:17" ht="12.75" hidden="1">
      <c r="A146" s="68" t="s">
        <v>311</v>
      </c>
      <c r="B146" s="47" t="s">
        <v>312</v>
      </c>
      <c r="C146" s="377">
        <f>+'2 Össz'!E146</f>
        <v>0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378"/>
      <c r="Q146" s="372"/>
    </row>
    <row r="147" spans="1:17" ht="12.75" hidden="1">
      <c r="A147" s="60" t="s">
        <v>313</v>
      </c>
      <c r="B147" s="47" t="s">
        <v>314</v>
      </c>
      <c r="C147" s="377">
        <f>+'2 Össz'!E147</f>
        <v>0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378"/>
      <c r="Q147" s="372"/>
    </row>
    <row r="148" spans="1:17" ht="12.75" hidden="1">
      <c r="A148" s="60" t="s">
        <v>315</v>
      </c>
      <c r="B148" s="47" t="s">
        <v>316</v>
      </c>
      <c r="C148" s="377">
        <f>+'2 Össz'!E148</f>
        <v>0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378"/>
      <c r="Q148" s="372"/>
    </row>
    <row r="149" spans="1:17" s="382" customFormat="1" ht="12.75">
      <c r="A149" s="143" t="s">
        <v>317</v>
      </c>
      <c r="B149" s="94" t="s">
        <v>318</v>
      </c>
      <c r="C149" s="96">
        <f>SUM(C143:C148)+C142+C137+C132</f>
        <v>256933</v>
      </c>
      <c r="D149" s="96">
        <f>SUM(D143:D148)+D142+D137+D132</f>
        <v>66935</v>
      </c>
      <c r="E149" s="96">
        <f>SUM(E143:E148)+E142+E137+E132</f>
        <v>39208</v>
      </c>
      <c r="F149" s="96">
        <f>SUM(F143:F148)+F142+F137+F132</f>
        <v>62290</v>
      </c>
      <c r="G149" s="96">
        <f>SUM(G143:G148)+G142+G137+G132</f>
        <v>0</v>
      </c>
      <c r="H149" s="96">
        <f>SUM(H143:H148)+H142+H137+H132</f>
        <v>0</v>
      </c>
      <c r="I149" s="96">
        <f>SUM(I143:I148)+I142+I137+I132</f>
        <v>0</v>
      </c>
      <c r="J149" s="96">
        <f>SUM(J143:J148)+J142+J137+J132</f>
        <v>0</v>
      </c>
      <c r="K149" s="96">
        <f>SUM(K143:K148)+K142+K137+K132</f>
        <v>40000</v>
      </c>
      <c r="L149" s="96">
        <f>SUM(L143:L148)+L142+L137+L132</f>
        <v>0</v>
      </c>
      <c r="M149" s="96">
        <f>SUM(M143:M148)+M142+M137+M132</f>
        <v>0</v>
      </c>
      <c r="N149" s="96">
        <f>SUM(N143:N148)+N142+N137+N132</f>
        <v>0</v>
      </c>
      <c r="O149" s="96">
        <f>SUM(O143:O148)+O142+O137+O132</f>
        <v>48500</v>
      </c>
      <c r="P149" s="380"/>
      <c r="Q149" s="381"/>
    </row>
    <row r="150" spans="1:17" ht="12.75">
      <c r="A150" s="68" t="s">
        <v>319</v>
      </c>
      <c r="B150" s="47" t="s">
        <v>320</v>
      </c>
      <c r="C150" s="377">
        <f>+'2 Össz'!E150</f>
        <v>0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378"/>
      <c r="Q150" s="372"/>
    </row>
    <row r="151" spans="1:17" ht="12.75">
      <c r="A151" s="60" t="s">
        <v>321</v>
      </c>
      <c r="B151" s="47" t="s">
        <v>322</v>
      </c>
      <c r="C151" s="377">
        <f>+'2 Össz'!E151</f>
        <v>0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378"/>
      <c r="Q151" s="372"/>
    </row>
    <row r="152" spans="1:17" ht="12.75">
      <c r="A152" s="60" t="s">
        <v>323</v>
      </c>
      <c r="B152" s="47" t="s">
        <v>324</v>
      </c>
      <c r="C152" s="377">
        <f>+'2 Össz'!E152</f>
        <v>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378"/>
      <c r="Q152" s="372"/>
    </row>
    <row r="153" spans="1:17" s="382" customFormat="1" ht="12.75">
      <c r="A153" s="362" t="s">
        <v>325</v>
      </c>
      <c r="B153" s="94" t="s">
        <v>326</v>
      </c>
      <c r="C153" s="96">
        <f>SUM(C149:C152)</f>
        <v>256933</v>
      </c>
      <c r="D153" s="96">
        <f>SUM(D149:D152)</f>
        <v>66935</v>
      </c>
      <c r="E153" s="96">
        <f>SUM(E149:E152)</f>
        <v>39208</v>
      </c>
      <c r="F153" s="96">
        <f>SUM(F149:F152)</f>
        <v>62290</v>
      </c>
      <c r="G153" s="96">
        <f>SUM(G149:G152)</f>
        <v>0</v>
      </c>
      <c r="H153" s="96">
        <f>SUM(H149:H152)</f>
        <v>0</v>
      </c>
      <c r="I153" s="96">
        <f>SUM(I149:I152)</f>
        <v>0</v>
      </c>
      <c r="J153" s="96">
        <f>SUM(J149:J152)</f>
        <v>0</v>
      </c>
      <c r="K153" s="96">
        <f>SUM(K149:K152)</f>
        <v>40000</v>
      </c>
      <c r="L153" s="96">
        <f>SUM(L149:L152)</f>
        <v>0</v>
      </c>
      <c r="M153" s="96">
        <f>SUM(M149:M152)</f>
        <v>0</v>
      </c>
      <c r="N153" s="96">
        <f>SUM(N149:N152)</f>
        <v>0</v>
      </c>
      <c r="O153" s="96">
        <f>SUM(O149:O152)</f>
        <v>48500</v>
      </c>
      <c r="P153" s="378"/>
      <c r="Q153" s="381"/>
    </row>
    <row r="154" spans="1:17" s="382" customFormat="1" ht="12.75">
      <c r="A154" s="116" t="s">
        <v>327</v>
      </c>
      <c r="B154" s="116" t="s">
        <v>328</v>
      </c>
      <c r="C154" s="96">
        <f>+C126+C153</f>
        <v>4488256</v>
      </c>
      <c r="D154" s="96">
        <f>+D126+D153</f>
        <v>228718</v>
      </c>
      <c r="E154" s="96">
        <f>+E126+E153</f>
        <v>224717</v>
      </c>
      <c r="F154" s="96">
        <f>+F126+F153</f>
        <v>278771</v>
      </c>
      <c r="G154" s="96">
        <f>+G126+G153</f>
        <v>246210</v>
      </c>
      <c r="H154" s="96">
        <f>+H126+H153</f>
        <v>365368</v>
      </c>
      <c r="I154" s="96">
        <f>+I126+I153</f>
        <v>279040</v>
      </c>
      <c r="J154" s="96">
        <f>+J126+J153</f>
        <v>498125</v>
      </c>
      <c r="K154" s="96">
        <f>+K126+K153</f>
        <v>305401</v>
      </c>
      <c r="L154" s="96">
        <f>+L126+L153</f>
        <v>321948</v>
      </c>
      <c r="M154" s="96">
        <f>+M126+M153</f>
        <v>325724</v>
      </c>
      <c r="N154" s="96">
        <f>+N126+N153</f>
        <v>632717</v>
      </c>
      <c r="O154" s="96">
        <f>+O126+O153</f>
        <v>781517</v>
      </c>
      <c r="P154" s="380"/>
      <c r="Q154" s="381"/>
    </row>
    <row r="155" spans="1:5" ht="12.75">
      <c r="A155" s="390"/>
      <c r="B155" s="390"/>
      <c r="C155" s="391"/>
      <c r="D155" s="392"/>
      <c r="E155" s="392"/>
    </row>
    <row r="156" spans="5:15" ht="12.75"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</row>
  </sheetData>
  <sheetProtection selectLockedCells="1" selectUnlockedCells="1"/>
  <printOptions horizontalCentered="1"/>
  <pageMargins left="0.7083333333333334" right="0.7083333333333334" top="0.31527777777777777" bottom="0.31527777777777777" header="0.5118055555555555" footer="0.15763888888888888"/>
  <pageSetup horizontalDpi="300" verticalDpi="300" orientation="landscape" paperSize="9" scale="45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L263"/>
  <sheetViews>
    <sheetView view="pageBreakPreview" zoomScaleSheetLayoutView="100" workbookViewId="0" topLeftCell="A139">
      <selection activeCell="G143" sqref="G143"/>
    </sheetView>
  </sheetViews>
  <sheetFormatPr defaultColWidth="9.140625" defaultRowHeight="15"/>
  <cols>
    <col min="1" max="1" width="77.00390625" style="13" customWidth="1"/>
    <col min="2" max="2" width="10.140625" style="13" customWidth="1"/>
    <col min="3" max="3" width="14.28125" style="393" customWidth="1"/>
    <col min="4" max="4" width="13.7109375" style="13" customWidth="1"/>
    <col min="5" max="5" width="14.421875" style="13" customWidth="1"/>
    <col min="6" max="6" width="13.7109375" style="13" customWidth="1"/>
    <col min="7" max="7" width="149.140625" style="13" customWidth="1"/>
    <col min="8" max="16384" width="9.140625" style="13" customWidth="1"/>
  </cols>
  <sheetData>
    <row r="1" spans="1:6" s="88" customFormat="1" ht="12.75">
      <c r="A1" s="146"/>
      <c r="C1" s="394"/>
      <c r="F1" s="32" t="s">
        <v>811</v>
      </c>
    </row>
    <row r="2" spans="1:6" s="88" customFormat="1" ht="12.75">
      <c r="A2" s="146"/>
      <c r="C2" s="394"/>
      <c r="F2" s="15" t="s">
        <v>10</v>
      </c>
    </row>
    <row r="3" spans="1:6" ht="12.75">
      <c r="A3" s="34" t="s">
        <v>11</v>
      </c>
      <c r="B3" s="36"/>
      <c r="C3" s="267"/>
      <c r="D3" s="36"/>
      <c r="E3" s="36"/>
      <c r="F3" s="36"/>
    </row>
    <row r="4" spans="1:6" ht="12.75">
      <c r="A4" s="40"/>
      <c r="B4" s="39"/>
      <c r="C4" s="395"/>
      <c r="D4" s="39"/>
      <c r="E4" s="39"/>
      <c r="F4" s="39"/>
    </row>
    <row r="5" spans="1:12" ht="36" customHeight="1">
      <c r="A5" s="245" t="s">
        <v>812</v>
      </c>
      <c r="B5" s="245"/>
      <c r="C5" s="245"/>
      <c r="D5" s="245"/>
      <c r="E5" s="245"/>
      <c r="F5" s="245"/>
      <c r="G5" s="119"/>
      <c r="H5" s="119"/>
      <c r="I5" s="119"/>
      <c r="J5" s="119"/>
      <c r="K5" s="119"/>
      <c r="L5" s="119"/>
    </row>
    <row r="6" spans="1:7" ht="12.75">
      <c r="A6" s="372"/>
      <c r="B6"/>
      <c r="C6" s="396"/>
      <c r="G6" s="397"/>
    </row>
    <row r="7" spans="1:7" ht="12.75">
      <c r="A7" s="19" t="s">
        <v>15</v>
      </c>
      <c r="B7" s="42" t="s">
        <v>42</v>
      </c>
      <c r="C7" s="398" t="s">
        <v>813</v>
      </c>
      <c r="D7" s="399" t="s">
        <v>814</v>
      </c>
      <c r="E7" s="399" t="s">
        <v>815</v>
      </c>
      <c r="F7" s="399" t="s">
        <v>816</v>
      </c>
      <c r="G7" s="400"/>
    </row>
    <row r="8" spans="1:7" ht="12.75">
      <c r="A8" s="45" t="s">
        <v>43</v>
      </c>
      <c r="B8" s="46" t="s">
        <v>44</v>
      </c>
      <c r="C8" s="401">
        <v>1022524</v>
      </c>
      <c r="D8" s="24">
        <f>ROUND(+C8*1.01,0)</f>
        <v>1032749</v>
      </c>
      <c r="E8" s="24">
        <f>ROUND(+D8*1.01,0)</f>
        <v>1043076</v>
      </c>
      <c r="F8" s="24">
        <f>ROUND(+E8*1.01,0)</f>
        <v>1053507</v>
      </c>
      <c r="G8" s="400"/>
    </row>
    <row r="9" spans="1:7" ht="12.75">
      <c r="A9" s="47" t="s">
        <v>45</v>
      </c>
      <c r="B9" s="46" t="s">
        <v>46</v>
      </c>
      <c r="C9" s="401">
        <v>40714</v>
      </c>
      <c r="D9" s="24">
        <f>ROUND(+C9*1.1,0)</f>
        <v>44785</v>
      </c>
      <c r="E9" s="24">
        <f>ROUND(+D9*1.1,0)</f>
        <v>49264</v>
      </c>
      <c r="F9" s="24">
        <f>ROUND(+E9*1.1,0)</f>
        <v>54190</v>
      </c>
      <c r="G9" s="402"/>
    </row>
    <row r="10" spans="1:6" ht="12.75">
      <c r="A10" s="48" t="s">
        <v>817</v>
      </c>
      <c r="B10" s="49" t="s">
        <v>48</v>
      </c>
      <c r="C10" s="403">
        <f>SUM(C8:C9)</f>
        <v>1063238</v>
      </c>
      <c r="D10" s="25">
        <f>SUM(D8:D9)</f>
        <v>1077534</v>
      </c>
      <c r="E10" s="25">
        <f>SUM(E8:E9)</f>
        <v>1092340</v>
      </c>
      <c r="F10" s="25">
        <f>SUM(F8:F9)</f>
        <v>1107697</v>
      </c>
    </row>
    <row r="11" spans="1:7" ht="12.75">
      <c r="A11" s="50" t="s">
        <v>49</v>
      </c>
      <c r="B11" s="49" t="s">
        <v>50</v>
      </c>
      <c r="C11" s="404">
        <v>253514</v>
      </c>
      <c r="D11" s="25">
        <f>ROUND(+D10*0.2384,0)</f>
        <v>256884</v>
      </c>
      <c r="E11" s="25">
        <f>ROUND(+E10*0.2384,0)</f>
        <v>260414</v>
      </c>
      <c r="F11" s="25">
        <f>ROUND(+F10*0.2384,0)</f>
        <v>264075</v>
      </c>
      <c r="G11" s="27"/>
    </row>
    <row r="12" spans="1:7" ht="12.75">
      <c r="A12" s="47" t="s">
        <v>51</v>
      </c>
      <c r="B12" s="46" t="s">
        <v>52</v>
      </c>
      <c r="C12" s="401">
        <v>265156</v>
      </c>
      <c r="D12" s="24">
        <f>ROUND(+C12*0.95,0)</f>
        <v>251898</v>
      </c>
      <c r="E12" s="24">
        <f>ROUND(+D12*0.95,0)</f>
        <v>239303</v>
      </c>
      <c r="F12" s="24">
        <f>ROUND(+E12*0.95,0)</f>
        <v>227338</v>
      </c>
      <c r="G12" s="27"/>
    </row>
    <row r="13" spans="1:6" ht="12.75">
      <c r="A13" s="47" t="s">
        <v>53</v>
      </c>
      <c r="B13" s="46" t="s">
        <v>54</v>
      </c>
      <c r="C13" s="401">
        <v>15495</v>
      </c>
      <c r="D13" s="24">
        <f>ROUND(+C13*0.98,0)</f>
        <v>15185</v>
      </c>
      <c r="E13" s="24">
        <f>ROUND(+D13*0.98,0)</f>
        <v>14881</v>
      </c>
      <c r="F13" s="24">
        <f>ROUND(+E13*0.98,0)</f>
        <v>14583</v>
      </c>
    </row>
    <row r="14" spans="1:6" ht="12.75">
      <c r="A14" s="47" t="s">
        <v>55</v>
      </c>
      <c r="B14" s="46" t="s">
        <v>56</v>
      </c>
      <c r="C14" s="401">
        <v>418371</v>
      </c>
      <c r="D14" s="24">
        <f>ROUND(+C14*0.99,0)</f>
        <v>414187</v>
      </c>
      <c r="E14" s="24">
        <f>ROUND(+D14*0.999,0)</f>
        <v>413773</v>
      </c>
      <c r="F14" s="24">
        <f>ROUND(+E14*0.998,0)</f>
        <v>412945</v>
      </c>
    </row>
    <row r="15" spans="1:6" ht="12.75">
      <c r="A15" s="47" t="s">
        <v>57</v>
      </c>
      <c r="B15" s="46" t="s">
        <v>58</v>
      </c>
      <c r="C15" s="401">
        <v>8080</v>
      </c>
      <c r="D15" s="24">
        <v>4500</v>
      </c>
      <c r="E15" s="24">
        <v>3500</v>
      </c>
      <c r="F15" s="24">
        <v>3000</v>
      </c>
    </row>
    <row r="16" spans="1:6" ht="12.75">
      <c r="A16" s="47" t="s">
        <v>59</v>
      </c>
      <c r="B16" s="46" t="s">
        <v>60</v>
      </c>
      <c r="C16" s="401">
        <v>300734</v>
      </c>
      <c r="D16" s="24">
        <f>ROUND(+C16*0.9,0)</f>
        <v>270661</v>
      </c>
      <c r="E16" s="24">
        <f>ROUND(+D16*0.9,0)</f>
        <v>243595</v>
      </c>
      <c r="F16" s="24">
        <f>ROUND(+E16*0.9,0)</f>
        <v>219236</v>
      </c>
    </row>
    <row r="17" spans="1:6" ht="12.75">
      <c r="A17" s="50" t="s">
        <v>818</v>
      </c>
      <c r="B17" s="49" t="s">
        <v>62</v>
      </c>
      <c r="C17" s="403">
        <f>SUM(C12:C16)</f>
        <v>1007836</v>
      </c>
      <c r="D17" s="25">
        <f>SUM(D12:D16)</f>
        <v>956431</v>
      </c>
      <c r="E17" s="25">
        <f>SUM(E12:E16)</f>
        <v>915052</v>
      </c>
      <c r="F17" s="25">
        <f>SUM(F12:F16)</f>
        <v>877102</v>
      </c>
    </row>
    <row r="18" spans="1:6" ht="12.75">
      <c r="A18" s="51" t="s">
        <v>63</v>
      </c>
      <c r="B18" s="49" t="s">
        <v>64</v>
      </c>
      <c r="C18" s="404">
        <v>105033</v>
      </c>
      <c r="D18" s="404">
        <v>58000</v>
      </c>
      <c r="E18" s="404">
        <v>58000</v>
      </c>
      <c r="F18" s="404">
        <v>58000</v>
      </c>
    </row>
    <row r="19" spans="1:6" ht="12.75">
      <c r="A19" s="52" t="s">
        <v>65</v>
      </c>
      <c r="B19" s="46" t="s">
        <v>66</v>
      </c>
      <c r="C19" s="401"/>
      <c r="D19" s="24"/>
      <c r="E19" s="24"/>
      <c r="F19" s="24"/>
    </row>
    <row r="20" spans="1:6" ht="12.75">
      <c r="A20" s="52" t="s">
        <v>67</v>
      </c>
      <c r="B20" s="46" t="s">
        <v>68</v>
      </c>
      <c r="C20" s="401">
        <v>12806</v>
      </c>
      <c r="D20" s="24"/>
      <c r="E20" s="24"/>
      <c r="F20" s="24"/>
    </row>
    <row r="21" spans="1:6" ht="12.75">
      <c r="A21" s="52" t="s">
        <v>69</v>
      </c>
      <c r="B21" s="46" t="s">
        <v>70</v>
      </c>
      <c r="C21" s="401"/>
      <c r="D21" s="24"/>
      <c r="E21" s="24"/>
      <c r="F21" s="24"/>
    </row>
    <row r="22" spans="1:6" ht="12.75">
      <c r="A22" s="52" t="s">
        <v>71</v>
      </c>
      <c r="B22" s="46" t="s">
        <v>72</v>
      </c>
      <c r="C22" s="401"/>
      <c r="D22" s="24"/>
      <c r="E22" s="24"/>
      <c r="F22" s="24"/>
    </row>
    <row r="23" spans="1:6" ht="12.75">
      <c r="A23" s="52" t="s">
        <v>73</v>
      </c>
      <c r="B23" s="46" t="s">
        <v>74</v>
      </c>
      <c r="C23" s="401"/>
      <c r="D23" s="24"/>
      <c r="E23" s="24"/>
      <c r="F23" s="24"/>
    </row>
    <row r="24" spans="1:6" ht="12.75">
      <c r="A24" s="52" t="s">
        <v>75</v>
      </c>
      <c r="B24" s="46" t="s">
        <v>76</v>
      </c>
      <c r="C24" s="401">
        <v>152060</v>
      </c>
      <c r="D24" s="405">
        <v>50000</v>
      </c>
      <c r="E24" s="405">
        <v>0</v>
      </c>
      <c r="F24" s="405">
        <v>0</v>
      </c>
    </row>
    <row r="25" spans="1:6" ht="12.75">
      <c r="A25" s="52" t="s">
        <v>77</v>
      </c>
      <c r="B25" s="46" t="s">
        <v>78</v>
      </c>
      <c r="C25" s="401"/>
      <c r="D25" s="24"/>
      <c r="E25" s="24"/>
      <c r="F25" s="24"/>
    </row>
    <row r="26" spans="1:6" ht="12.75">
      <c r="A26" s="52" t="s">
        <v>79</v>
      </c>
      <c r="B26" s="46" t="s">
        <v>80</v>
      </c>
      <c r="C26" s="401"/>
      <c r="D26" s="24"/>
      <c r="E26" s="24"/>
      <c r="F26" s="24"/>
    </row>
    <row r="27" spans="1:6" ht="12.75">
      <c r="A27" s="52" t="s">
        <v>81</v>
      </c>
      <c r="B27" s="46" t="s">
        <v>82</v>
      </c>
      <c r="C27" s="401"/>
      <c r="D27" s="24"/>
      <c r="E27" s="24"/>
      <c r="F27" s="24"/>
    </row>
    <row r="28" spans="1:6" ht="12.75">
      <c r="A28" s="53" t="s">
        <v>83</v>
      </c>
      <c r="B28" s="46" t="s">
        <v>84</v>
      </c>
      <c r="C28" s="401"/>
      <c r="D28" s="24"/>
      <c r="E28" s="24"/>
      <c r="F28" s="24"/>
    </row>
    <row r="29" spans="1:6" ht="12.75">
      <c r="A29" s="52" t="s">
        <v>87</v>
      </c>
      <c r="B29" s="46" t="s">
        <v>86</v>
      </c>
      <c r="C29" s="401">
        <v>39993</v>
      </c>
      <c r="D29" s="24">
        <v>40000</v>
      </c>
      <c r="E29" s="24">
        <v>40000</v>
      </c>
      <c r="F29" s="24">
        <v>40000</v>
      </c>
    </row>
    <row r="30" spans="1:6" ht="12.75">
      <c r="A30" s="53" t="s">
        <v>89</v>
      </c>
      <c r="B30" s="46" t="s">
        <v>88</v>
      </c>
      <c r="C30" s="401">
        <v>40000</v>
      </c>
      <c r="D30" s="401">
        <v>40000</v>
      </c>
      <c r="E30" s="401">
        <v>40000</v>
      </c>
      <c r="F30" s="401">
        <v>40000</v>
      </c>
    </row>
    <row r="31" spans="1:6" ht="12.75">
      <c r="A31" s="53" t="s">
        <v>91</v>
      </c>
      <c r="B31" s="46" t="s">
        <v>88</v>
      </c>
      <c r="C31" s="401">
        <v>4300</v>
      </c>
      <c r="D31" s="401">
        <v>4300</v>
      </c>
      <c r="E31" s="401">
        <v>4300</v>
      </c>
      <c r="F31" s="401">
        <v>4300</v>
      </c>
    </row>
    <row r="32" spans="1:6" ht="12.75">
      <c r="A32" s="51" t="s">
        <v>819</v>
      </c>
      <c r="B32" s="49" t="s">
        <v>93</v>
      </c>
      <c r="C32" s="275">
        <f>SUM(C19:C31)</f>
        <v>249159</v>
      </c>
      <c r="D32" s="25">
        <f>SUM(D19:D31)</f>
        <v>134300</v>
      </c>
      <c r="E32" s="25">
        <f>SUM(E19:E31)</f>
        <v>84300</v>
      </c>
      <c r="F32" s="25">
        <f>SUM(F19:F31)</f>
        <v>84300</v>
      </c>
    </row>
    <row r="33" spans="1:6" ht="12.75">
      <c r="A33" s="360" t="s">
        <v>820</v>
      </c>
      <c r="B33" s="358" t="s">
        <v>95</v>
      </c>
      <c r="C33" s="283">
        <f>+C32+C18+C17+C11+C10</f>
        <v>2678780</v>
      </c>
      <c r="D33" s="96">
        <f>+D32+D18+D17+D11+D10</f>
        <v>2483149</v>
      </c>
      <c r="E33" s="96">
        <f>+E32+E18+E17+E11+E10</f>
        <v>2410106</v>
      </c>
      <c r="F33" s="96">
        <f>+F32+F18+F17+F11+F10</f>
        <v>2391174</v>
      </c>
    </row>
    <row r="34" spans="1:6" ht="12.75">
      <c r="A34" s="57" t="s">
        <v>96</v>
      </c>
      <c r="B34" s="46" t="s">
        <v>97</v>
      </c>
      <c r="C34" s="401">
        <v>843</v>
      </c>
      <c r="D34" s="24"/>
      <c r="E34" s="24"/>
      <c r="F34" s="24"/>
    </row>
    <row r="35" spans="1:6" ht="12.75">
      <c r="A35" s="57" t="s">
        <v>98</v>
      </c>
      <c r="B35" s="46" t="s">
        <v>99</v>
      </c>
      <c r="C35" s="401">
        <v>3150</v>
      </c>
      <c r="D35" s="24"/>
      <c r="E35" s="24"/>
      <c r="F35" s="24"/>
    </row>
    <row r="36" spans="1:6" ht="12.75">
      <c r="A36" s="57" t="s">
        <v>100</v>
      </c>
      <c r="B36" s="46" t="s">
        <v>101</v>
      </c>
      <c r="C36" s="401">
        <v>2199</v>
      </c>
      <c r="D36" s="24"/>
      <c r="E36" s="24"/>
      <c r="F36" s="24"/>
    </row>
    <row r="37" spans="1:6" ht="12.75">
      <c r="A37" s="57" t="s">
        <v>102</v>
      </c>
      <c r="B37" s="46" t="s">
        <v>103</v>
      </c>
      <c r="C37" s="401">
        <v>61256</v>
      </c>
      <c r="D37" s="24">
        <v>20000</v>
      </c>
      <c r="E37" s="24">
        <v>15000</v>
      </c>
      <c r="F37" s="24">
        <v>10000</v>
      </c>
    </row>
    <row r="38" spans="1:6" ht="12.75">
      <c r="A38" s="58" t="s">
        <v>104</v>
      </c>
      <c r="B38" s="46" t="s">
        <v>105</v>
      </c>
      <c r="C38" s="401"/>
      <c r="D38" s="24"/>
      <c r="E38" s="24"/>
      <c r="F38" s="24"/>
    </row>
    <row r="39" spans="1:6" ht="12.75">
      <c r="A39" s="58" t="s">
        <v>106</v>
      </c>
      <c r="B39" s="46" t="s">
        <v>107</v>
      </c>
      <c r="C39" s="401"/>
      <c r="D39" s="24"/>
      <c r="E39" s="24"/>
      <c r="F39" s="24"/>
    </row>
    <row r="40" spans="1:6" ht="12.75">
      <c r="A40" s="58" t="s">
        <v>108</v>
      </c>
      <c r="B40" s="46" t="s">
        <v>109</v>
      </c>
      <c r="C40" s="401">
        <v>18431</v>
      </c>
      <c r="D40" s="24">
        <f>ROUND(SUM(D34:D39)*0.27,0)</f>
        <v>5400</v>
      </c>
      <c r="E40" s="24">
        <f>ROUND(SUM(E34:E39)*0.27,0)</f>
        <v>4050</v>
      </c>
      <c r="F40" s="24">
        <f>ROUND(SUM(F34:F39)*0.27,0)</f>
        <v>2700</v>
      </c>
    </row>
    <row r="41" spans="1:6" ht="12.75">
      <c r="A41" s="95" t="s">
        <v>821</v>
      </c>
      <c r="B41" s="358" t="s">
        <v>111</v>
      </c>
      <c r="C41" s="283">
        <f>SUM(C34:C40)</f>
        <v>85879</v>
      </c>
      <c r="D41" s="96">
        <f>SUM(D34:D40)</f>
        <v>25400</v>
      </c>
      <c r="E41" s="96">
        <f>SUM(E34:E40)</f>
        <v>19050</v>
      </c>
      <c r="F41" s="96">
        <f>SUM(F34:F40)</f>
        <v>12700</v>
      </c>
    </row>
    <row r="42" spans="1:6" ht="12.75">
      <c r="A42" s="60" t="s">
        <v>112</v>
      </c>
      <c r="B42" s="46" t="s">
        <v>113</v>
      </c>
      <c r="C42" s="401">
        <v>1067608</v>
      </c>
      <c r="D42" s="24">
        <v>500000</v>
      </c>
      <c r="E42" s="24">
        <v>450000</v>
      </c>
      <c r="F42" s="24">
        <v>350000</v>
      </c>
    </row>
    <row r="43" spans="1:6" ht="12.75">
      <c r="A43" s="60" t="s">
        <v>114</v>
      </c>
      <c r="B43" s="46" t="s">
        <v>115</v>
      </c>
      <c r="C43" s="401"/>
      <c r="D43" s="24"/>
      <c r="E43" s="24"/>
      <c r="F43" s="24"/>
    </row>
    <row r="44" spans="1:6" ht="12.75">
      <c r="A44" s="60" t="s">
        <v>116</v>
      </c>
      <c r="B44" s="46" t="s">
        <v>117</v>
      </c>
      <c r="C44" s="401">
        <v>149685</v>
      </c>
      <c r="D44" s="24">
        <v>90000</v>
      </c>
      <c r="E44" s="24">
        <v>80000</v>
      </c>
      <c r="F44" s="24">
        <v>50000</v>
      </c>
    </row>
    <row r="45" spans="1:6" ht="12.75">
      <c r="A45" s="60" t="s">
        <v>118</v>
      </c>
      <c r="B45" s="46" t="s">
        <v>119</v>
      </c>
      <c r="C45" s="401">
        <v>355672</v>
      </c>
      <c r="D45" s="24">
        <f>ROUND(SUM(D42:D44)*0.27,0)</f>
        <v>159300</v>
      </c>
      <c r="E45" s="24">
        <f>ROUND(SUM(E42:E44)*0.27,0)</f>
        <v>143100</v>
      </c>
      <c r="F45" s="24">
        <f>ROUND(SUM(F42:F44)*0.27,0)</f>
        <v>108000</v>
      </c>
    </row>
    <row r="46" spans="1:6" ht="12.75">
      <c r="A46" s="94" t="s">
        <v>822</v>
      </c>
      <c r="B46" s="358" t="s">
        <v>121</v>
      </c>
      <c r="C46" s="283">
        <f>SUM(C42:C45)</f>
        <v>1572965</v>
      </c>
      <c r="D46" s="96">
        <f>SUM(D42:D45)</f>
        <v>749300</v>
      </c>
      <c r="E46" s="96">
        <f>SUM(E42:E45)</f>
        <v>673100</v>
      </c>
      <c r="F46" s="96">
        <f>SUM(F42:F45)</f>
        <v>508000</v>
      </c>
    </row>
    <row r="47" spans="1:6" ht="12.75">
      <c r="A47" s="60" t="s">
        <v>122</v>
      </c>
      <c r="B47" s="46" t="s">
        <v>123</v>
      </c>
      <c r="C47" s="401"/>
      <c r="D47" s="24"/>
      <c r="E47" s="24"/>
      <c r="F47" s="24"/>
    </row>
    <row r="48" spans="1:6" ht="12.75">
      <c r="A48" s="60" t="s">
        <v>124</v>
      </c>
      <c r="B48" s="46" t="s">
        <v>125</v>
      </c>
      <c r="C48" s="401"/>
      <c r="D48" s="24"/>
      <c r="E48" s="24"/>
      <c r="F48" s="24"/>
    </row>
    <row r="49" spans="1:6" ht="12.75">
      <c r="A49" s="60" t="s">
        <v>126</v>
      </c>
      <c r="B49" s="46" t="s">
        <v>127</v>
      </c>
      <c r="C49" s="401"/>
      <c r="D49" s="24"/>
      <c r="E49" s="24"/>
      <c r="F49" s="24"/>
    </row>
    <row r="50" spans="1:6" ht="12.75">
      <c r="A50" s="60" t="s">
        <v>128</v>
      </c>
      <c r="B50" s="46" t="s">
        <v>129</v>
      </c>
      <c r="C50" s="401">
        <v>59132</v>
      </c>
      <c r="D50" s="24"/>
      <c r="E50" s="24"/>
      <c r="F50" s="24"/>
    </row>
    <row r="51" spans="1:6" ht="12.75">
      <c r="A51" s="60" t="s">
        <v>130</v>
      </c>
      <c r="B51" s="46" t="s">
        <v>131</v>
      </c>
      <c r="C51" s="401"/>
      <c r="D51" s="24"/>
      <c r="E51" s="24"/>
      <c r="F51" s="24"/>
    </row>
    <row r="52" spans="1:6" ht="12.75">
      <c r="A52" s="60" t="s">
        <v>132</v>
      </c>
      <c r="B52" s="46" t="s">
        <v>133</v>
      </c>
      <c r="C52" s="401"/>
      <c r="D52" s="24"/>
      <c r="E52" s="24"/>
      <c r="F52" s="24"/>
    </row>
    <row r="53" spans="1:6" ht="12.75">
      <c r="A53" s="60" t="s">
        <v>134</v>
      </c>
      <c r="B53" s="46" t="s">
        <v>135</v>
      </c>
      <c r="C53" s="401"/>
      <c r="D53" s="24"/>
      <c r="E53" s="24"/>
      <c r="F53" s="24"/>
    </row>
    <row r="54" spans="1:6" ht="12.75">
      <c r="A54" s="60" t="s">
        <v>823</v>
      </c>
      <c r="B54" s="46" t="s">
        <v>137</v>
      </c>
      <c r="C54" s="401"/>
      <c r="D54" s="24"/>
      <c r="E54" s="24"/>
      <c r="F54" s="24"/>
    </row>
    <row r="55" spans="1:6" ht="12.75">
      <c r="A55" s="60" t="s">
        <v>138</v>
      </c>
      <c r="B55" s="46" t="s">
        <v>139</v>
      </c>
      <c r="C55" s="401">
        <v>3000</v>
      </c>
      <c r="D55" s="24"/>
      <c r="E55" s="24"/>
      <c r="F55" s="24"/>
    </row>
    <row r="56" spans="1:6" ht="12.75">
      <c r="A56" s="143" t="s">
        <v>824</v>
      </c>
      <c r="B56" s="358" t="s">
        <v>141</v>
      </c>
      <c r="C56" s="283">
        <f>SUM(C47:C55)</f>
        <v>62132</v>
      </c>
      <c r="D56" s="96">
        <f>SUM(D47:D55)</f>
        <v>0</v>
      </c>
      <c r="E56" s="96">
        <f>SUM(E47:E55)</f>
        <v>0</v>
      </c>
      <c r="F56" s="96">
        <f>SUM(F47:F55)</f>
        <v>0</v>
      </c>
    </row>
    <row r="57" spans="1:6" ht="12.75">
      <c r="A57" s="360" t="s">
        <v>825</v>
      </c>
      <c r="B57" s="358" t="s">
        <v>143</v>
      </c>
      <c r="C57" s="283">
        <f>+C56+C46+C41</f>
        <v>1720976</v>
      </c>
      <c r="D57" s="96">
        <f>+D56+D46+D41</f>
        <v>774700</v>
      </c>
      <c r="E57" s="96">
        <f>+E56+E46+E41</f>
        <v>692150</v>
      </c>
      <c r="F57" s="96">
        <f>+F56+F46+F41</f>
        <v>520700</v>
      </c>
    </row>
    <row r="58" spans="1:6" ht="12.75">
      <c r="A58" s="95" t="s">
        <v>826</v>
      </c>
      <c r="B58" s="358" t="s">
        <v>145</v>
      </c>
      <c r="C58" s="283">
        <f>+C56+C46+C41+C32+C18+C17+C11+C10</f>
        <v>4399756</v>
      </c>
      <c r="D58" s="96">
        <f>+D56+D46+D41+D32+D18+D17+D11+D10</f>
        <v>3257849</v>
      </c>
      <c r="E58" s="96">
        <f>+E56+E46+E41+E32+E18+E17+E11+E10</f>
        <v>3102256</v>
      </c>
      <c r="F58" s="96">
        <f>+F56+F46+F41+F32+F18+F17+F11+F10</f>
        <v>2911874</v>
      </c>
    </row>
    <row r="59" spans="1:6" ht="12.75">
      <c r="A59" s="60" t="s">
        <v>146</v>
      </c>
      <c r="B59" s="47" t="s">
        <v>147</v>
      </c>
      <c r="C59" s="401"/>
      <c r="D59" s="24"/>
      <c r="E59" s="24"/>
      <c r="F59" s="24"/>
    </row>
    <row r="60" spans="1:6" ht="12.75">
      <c r="A60" s="60" t="s">
        <v>148</v>
      </c>
      <c r="B60" s="47" t="s">
        <v>149</v>
      </c>
      <c r="C60" s="401"/>
      <c r="D60" s="24"/>
      <c r="E60" s="24"/>
      <c r="F60" s="24"/>
    </row>
    <row r="61" spans="1:6" ht="12.75">
      <c r="A61" s="60" t="s">
        <v>150</v>
      </c>
      <c r="B61" s="47" t="s">
        <v>151</v>
      </c>
      <c r="C61" s="401">
        <v>88500</v>
      </c>
      <c r="D61" s="405">
        <v>88500</v>
      </c>
      <c r="E61" s="405">
        <v>88500</v>
      </c>
      <c r="F61" s="405">
        <v>88500</v>
      </c>
    </row>
    <row r="62" spans="1:6" ht="12.75">
      <c r="A62" s="51" t="s">
        <v>827</v>
      </c>
      <c r="B62" s="50" t="s">
        <v>153</v>
      </c>
      <c r="C62" s="66">
        <f>SUM(C59:C61)</f>
        <v>88500</v>
      </c>
      <c r="D62" s="66">
        <f>SUM(D59:D61)</f>
        <v>88500</v>
      </c>
      <c r="E62" s="66">
        <f>SUM(E59:E61)</f>
        <v>88500</v>
      </c>
      <c r="F62" s="66">
        <f>SUM(F59:F61)</f>
        <v>88500</v>
      </c>
    </row>
    <row r="63" spans="1:6" ht="12.75">
      <c r="A63" s="68" t="s">
        <v>828</v>
      </c>
      <c r="B63" s="47" t="s">
        <v>690</v>
      </c>
      <c r="C63" s="404"/>
      <c r="D63" s="24"/>
      <c r="E63" s="24"/>
      <c r="F63" s="24"/>
    </row>
    <row r="64" spans="1:6" ht="12.75">
      <c r="A64" s="68" t="s">
        <v>693</v>
      </c>
      <c r="B64" s="47" t="s">
        <v>694</v>
      </c>
      <c r="C64" s="404"/>
      <c r="D64" s="24"/>
      <c r="E64" s="24"/>
      <c r="F64" s="24"/>
    </row>
    <row r="65" spans="1:6" ht="12.75">
      <c r="A65" s="60" t="s">
        <v>695</v>
      </c>
      <c r="B65" s="47" t="s">
        <v>696</v>
      </c>
      <c r="C65" s="404"/>
      <c r="D65" s="24"/>
      <c r="E65" s="24"/>
      <c r="F65" s="24"/>
    </row>
    <row r="66" spans="1:6" ht="12.75">
      <c r="A66" s="60" t="s">
        <v>829</v>
      </c>
      <c r="B66" s="47" t="s">
        <v>697</v>
      </c>
      <c r="C66" s="401"/>
      <c r="D66" s="24"/>
      <c r="E66" s="24"/>
      <c r="F66" s="24"/>
    </row>
    <row r="67" spans="1:6" ht="12.75">
      <c r="A67" s="72" t="s">
        <v>830</v>
      </c>
      <c r="B67" s="50" t="s">
        <v>155</v>
      </c>
      <c r="C67" s="69">
        <f>SUM(C63:C66)</f>
        <v>0</v>
      </c>
      <c r="D67" s="69">
        <f>SUM(D63:D66)</f>
        <v>0</v>
      </c>
      <c r="E67" s="69">
        <f>SUM(E63:E66)</f>
        <v>0</v>
      </c>
      <c r="F67" s="69">
        <f>SUM(F63:F66)</f>
        <v>0</v>
      </c>
    </row>
    <row r="68" spans="1:6" ht="12.75">
      <c r="A68" s="68" t="s">
        <v>156</v>
      </c>
      <c r="B68" s="47" t="s">
        <v>157</v>
      </c>
      <c r="C68" s="404"/>
      <c r="D68" s="24"/>
      <c r="E68" s="24"/>
      <c r="F68" s="24"/>
    </row>
    <row r="69" spans="1:6" ht="12.75">
      <c r="A69" s="68" t="s">
        <v>158</v>
      </c>
      <c r="B69" s="47" t="s">
        <v>159</v>
      </c>
      <c r="C69" s="404"/>
      <c r="D69" s="24"/>
      <c r="E69" s="24"/>
      <c r="F69" s="24"/>
    </row>
    <row r="70" spans="1:6" ht="12.75">
      <c r="A70" s="68" t="s">
        <v>810</v>
      </c>
      <c r="B70" s="47" t="s">
        <v>161</v>
      </c>
      <c r="C70" s="404"/>
      <c r="D70" s="24"/>
      <c r="E70" s="24"/>
      <c r="F70" s="24"/>
    </row>
    <row r="71" spans="1:6" ht="12.75">
      <c r="A71" s="68" t="s">
        <v>699</v>
      </c>
      <c r="B71" s="47" t="s">
        <v>163</v>
      </c>
      <c r="C71" s="404"/>
      <c r="D71" s="24"/>
      <c r="E71" s="24"/>
      <c r="F71" s="24"/>
    </row>
    <row r="72" spans="1:6" ht="12.75">
      <c r="A72" s="68" t="s">
        <v>164</v>
      </c>
      <c r="B72" s="47" t="s">
        <v>165</v>
      </c>
      <c r="C72" s="404"/>
      <c r="D72" s="24"/>
      <c r="E72" s="24"/>
      <c r="F72" s="24"/>
    </row>
    <row r="73" spans="1:6" ht="12.75" hidden="1">
      <c r="A73" s="68" t="s">
        <v>166</v>
      </c>
      <c r="B73" s="47" t="s">
        <v>167</v>
      </c>
      <c r="C73" s="404"/>
      <c r="D73" s="24"/>
      <c r="E73" s="24"/>
      <c r="F73" s="24"/>
    </row>
    <row r="74" spans="1:6" ht="12.75">
      <c r="A74" s="72" t="s">
        <v>582</v>
      </c>
      <c r="B74" s="50" t="s">
        <v>171</v>
      </c>
      <c r="C74" s="69">
        <f>+C73+C72+C71+C70+C69+C68+C67+C62</f>
        <v>88500</v>
      </c>
      <c r="D74" s="69">
        <f>+D73+D72+D71+D70+D69+D68+D67+D62</f>
        <v>88500</v>
      </c>
      <c r="E74" s="69">
        <f>+E73+E72+E71+E70+E69+E68+E67+E62</f>
        <v>88500</v>
      </c>
      <c r="F74" s="69">
        <f>+F73+F72+F71+F70+F69+F68+F67+F62</f>
        <v>88500</v>
      </c>
    </row>
    <row r="75" spans="1:6" ht="12.75">
      <c r="A75" s="72" t="s">
        <v>172</v>
      </c>
      <c r="B75" s="50" t="s">
        <v>173</v>
      </c>
      <c r="C75" s="404"/>
      <c r="D75" s="24"/>
      <c r="E75" s="24"/>
      <c r="F75" s="24"/>
    </row>
    <row r="76" spans="1:6" ht="12.75">
      <c r="A76" s="60" t="s">
        <v>174</v>
      </c>
      <c r="B76" s="47" t="s">
        <v>175</v>
      </c>
      <c r="C76" s="404"/>
      <c r="D76" s="24"/>
      <c r="E76" s="24"/>
      <c r="F76" s="24"/>
    </row>
    <row r="77" spans="1:6" ht="12.75">
      <c r="A77" s="362" t="s">
        <v>831</v>
      </c>
      <c r="B77" s="94" t="s">
        <v>179</v>
      </c>
      <c r="C77" s="363">
        <f>+C76+C75+C74</f>
        <v>88500</v>
      </c>
      <c r="D77" s="363">
        <f>+D76+D75+D74</f>
        <v>88500</v>
      </c>
      <c r="E77" s="363">
        <f>+E76+E75+E74</f>
        <v>88500</v>
      </c>
      <c r="F77" s="363">
        <f>+F76+F75+F74</f>
        <v>88500</v>
      </c>
    </row>
    <row r="78" spans="1:6" ht="12.75">
      <c r="A78" s="116" t="s">
        <v>180</v>
      </c>
      <c r="B78" s="116" t="s">
        <v>181</v>
      </c>
      <c r="C78" s="283">
        <f>+C58+C77</f>
        <v>4488256</v>
      </c>
      <c r="D78" s="96">
        <f>+D58+D77</f>
        <v>3346349</v>
      </c>
      <c r="E78" s="96">
        <f>+E58+E77</f>
        <v>3190756</v>
      </c>
      <c r="F78" s="96">
        <f>+F58+F77</f>
        <v>3000374</v>
      </c>
    </row>
    <row r="79" spans="1:6" ht="12.75">
      <c r="A79" s="19" t="s">
        <v>15</v>
      </c>
      <c r="B79" s="42" t="s">
        <v>42</v>
      </c>
      <c r="C79" s="398" t="s">
        <v>813</v>
      </c>
      <c r="D79" s="399" t="s">
        <v>814</v>
      </c>
      <c r="E79" s="399" t="s">
        <v>815</v>
      </c>
      <c r="F79" s="399" t="s">
        <v>816</v>
      </c>
    </row>
    <row r="80" spans="1:6" ht="12.75">
      <c r="A80" s="45" t="s">
        <v>183</v>
      </c>
      <c r="B80" s="58" t="s">
        <v>184</v>
      </c>
      <c r="C80" s="401">
        <v>242088</v>
      </c>
      <c r="D80" s="24">
        <v>253000</v>
      </c>
      <c r="E80" s="24">
        <v>256000</v>
      </c>
      <c r="F80" s="24">
        <v>256000</v>
      </c>
    </row>
    <row r="81" spans="1:6" ht="12.75">
      <c r="A81" s="47" t="s">
        <v>185</v>
      </c>
      <c r="B81" s="58" t="s">
        <v>186</v>
      </c>
      <c r="C81" s="401">
        <v>270670</v>
      </c>
      <c r="D81" s="24">
        <v>281000</v>
      </c>
      <c r="E81" s="24">
        <v>288000</v>
      </c>
      <c r="F81" s="24">
        <v>290000</v>
      </c>
    </row>
    <row r="82" spans="1:6" ht="12.75">
      <c r="A82" s="47" t="s">
        <v>187</v>
      </c>
      <c r="B82" s="58" t="s">
        <v>188</v>
      </c>
      <c r="C82" s="401">
        <v>356931</v>
      </c>
      <c r="D82" s="24">
        <v>310000</v>
      </c>
      <c r="E82" s="24">
        <v>315000</v>
      </c>
      <c r="F82" s="24">
        <v>320000</v>
      </c>
    </row>
    <row r="83" spans="1:6" ht="12.75">
      <c r="A83" s="47" t="s">
        <v>189</v>
      </c>
      <c r="B83" s="58" t="s">
        <v>190</v>
      </c>
      <c r="C83" s="401">
        <v>13012</v>
      </c>
      <c r="D83" s="24">
        <v>13000</v>
      </c>
      <c r="E83" s="24">
        <v>13000</v>
      </c>
      <c r="F83" s="24">
        <v>13000</v>
      </c>
    </row>
    <row r="84" spans="1:6" ht="12.75">
      <c r="A84" s="47" t="s">
        <v>794</v>
      </c>
      <c r="B84" s="58" t="s">
        <v>192</v>
      </c>
      <c r="C84" s="401">
        <v>180671</v>
      </c>
      <c r="D84" s="24">
        <v>256000</v>
      </c>
      <c r="E84" s="24">
        <v>242000</v>
      </c>
      <c r="F84" s="24">
        <v>230000</v>
      </c>
    </row>
    <row r="85" spans="1:6" ht="12.75">
      <c r="A85" s="47" t="s">
        <v>795</v>
      </c>
      <c r="B85" s="58" t="s">
        <v>194</v>
      </c>
      <c r="C85" s="401">
        <v>0</v>
      </c>
      <c r="D85" s="24"/>
      <c r="E85" s="24"/>
      <c r="F85" s="24"/>
    </row>
    <row r="86" spans="1:6" ht="12.75">
      <c r="A86" s="50" t="s">
        <v>584</v>
      </c>
      <c r="B86" s="59" t="s">
        <v>196</v>
      </c>
      <c r="C86" s="403">
        <f>SUM(C80:C85)</f>
        <v>1063372</v>
      </c>
      <c r="D86" s="25">
        <f>SUM(D80:D85)</f>
        <v>1113000</v>
      </c>
      <c r="E86" s="25">
        <f>SUM(E80:E85)</f>
        <v>1114000</v>
      </c>
      <c r="F86" s="25">
        <f>SUM(F80:F85)</f>
        <v>1109000</v>
      </c>
    </row>
    <row r="87" spans="1:6" ht="12.75">
      <c r="A87" s="47" t="s">
        <v>197</v>
      </c>
      <c r="B87" s="58" t="s">
        <v>198</v>
      </c>
      <c r="C87" s="401"/>
      <c r="D87" s="24"/>
      <c r="E87" s="24"/>
      <c r="F87" s="24"/>
    </row>
    <row r="88" spans="1:6" ht="12.75">
      <c r="A88" s="47" t="s">
        <v>199</v>
      </c>
      <c r="B88" s="58" t="s">
        <v>200</v>
      </c>
      <c r="C88" s="401"/>
      <c r="D88" s="24"/>
      <c r="E88" s="24"/>
      <c r="F88" s="24"/>
    </row>
    <row r="89" spans="1:6" ht="12.75">
      <c r="A89" s="47" t="s">
        <v>201</v>
      </c>
      <c r="B89" s="58" t="s">
        <v>202</v>
      </c>
      <c r="C89" s="401"/>
      <c r="D89" s="24"/>
      <c r="E89" s="24"/>
      <c r="F89" s="24"/>
    </row>
    <row r="90" spans="1:6" ht="12.75">
      <c r="A90" s="47" t="s">
        <v>203</v>
      </c>
      <c r="B90" s="58" t="s">
        <v>204</v>
      </c>
      <c r="C90" s="401"/>
      <c r="D90" s="24"/>
      <c r="E90" s="24"/>
      <c r="F90" s="24"/>
    </row>
    <row r="91" spans="1:6" ht="12.75">
      <c r="A91" s="47" t="s">
        <v>205</v>
      </c>
      <c r="B91" s="58" t="s">
        <v>206</v>
      </c>
      <c r="C91" s="401">
        <v>633365</v>
      </c>
      <c r="D91" s="24">
        <v>635000</v>
      </c>
      <c r="E91" s="24">
        <v>630000</v>
      </c>
      <c r="F91" s="24">
        <v>630000</v>
      </c>
    </row>
    <row r="92" spans="1:6" ht="12.75">
      <c r="A92" s="94" t="s">
        <v>832</v>
      </c>
      <c r="B92" s="95" t="s">
        <v>208</v>
      </c>
      <c r="C92" s="283">
        <f>+C91+C90+C89+C88+C87+C86</f>
        <v>1696737</v>
      </c>
      <c r="D92" s="96">
        <f>+D91+D90+D89+D88+D87+D86</f>
        <v>1748000</v>
      </c>
      <c r="E92" s="96">
        <f>+E91+E90+E89+E88+E87+E86</f>
        <v>1744000</v>
      </c>
      <c r="F92" s="96">
        <f>+F91+F90+F89+F88+F87+F86</f>
        <v>1739000</v>
      </c>
    </row>
    <row r="93" spans="1:6" ht="12.75">
      <c r="A93" s="94" t="s">
        <v>209</v>
      </c>
      <c r="B93" s="95" t="s">
        <v>210</v>
      </c>
      <c r="C93" s="406">
        <v>1631106</v>
      </c>
      <c r="D93" s="96">
        <f>ROUND(+D46*0.9,0)</f>
        <v>674370</v>
      </c>
      <c r="E93" s="96">
        <f>ROUND(+E46*0.9,0)</f>
        <v>605790</v>
      </c>
      <c r="F93" s="96">
        <f>ROUND(+F46*0.9,0)</f>
        <v>457200</v>
      </c>
    </row>
    <row r="94" spans="1:6" ht="12.75">
      <c r="A94" s="47" t="s">
        <v>211</v>
      </c>
      <c r="B94" s="58" t="s">
        <v>212</v>
      </c>
      <c r="C94" s="401"/>
      <c r="D94" s="24"/>
      <c r="E94" s="24"/>
      <c r="F94" s="24"/>
    </row>
    <row r="95" spans="1:6" ht="12.75">
      <c r="A95" s="47" t="s">
        <v>213</v>
      </c>
      <c r="B95" s="58" t="s">
        <v>214</v>
      </c>
      <c r="C95" s="401"/>
      <c r="D95" s="24"/>
      <c r="E95" s="24"/>
      <c r="F95" s="24"/>
    </row>
    <row r="96" spans="1:6" ht="12.75">
      <c r="A96" s="47" t="s">
        <v>215</v>
      </c>
      <c r="B96" s="58" t="s">
        <v>216</v>
      </c>
      <c r="C96" s="401"/>
      <c r="D96" s="24"/>
      <c r="E96" s="24"/>
      <c r="F96" s="24"/>
    </row>
    <row r="97" spans="1:6" ht="12.75">
      <c r="A97" s="47" t="s">
        <v>217</v>
      </c>
      <c r="B97" s="58" t="s">
        <v>218</v>
      </c>
      <c r="C97" s="401">
        <v>96750</v>
      </c>
      <c r="D97" s="405">
        <v>96750</v>
      </c>
      <c r="E97" s="405">
        <v>96750</v>
      </c>
      <c r="F97" s="405">
        <v>96750</v>
      </c>
    </row>
    <row r="98" spans="1:6" ht="12.75">
      <c r="A98" s="47" t="s">
        <v>219</v>
      </c>
      <c r="B98" s="58" t="s">
        <v>220</v>
      </c>
      <c r="C98" s="401">
        <v>257450</v>
      </c>
      <c r="D98" s="405">
        <v>257450</v>
      </c>
      <c r="E98" s="405">
        <v>257450</v>
      </c>
      <c r="F98" s="405">
        <v>257450</v>
      </c>
    </row>
    <row r="99" spans="1:6" ht="12.75">
      <c r="A99" s="47" t="s">
        <v>221</v>
      </c>
      <c r="B99" s="58" t="s">
        <v>222</v>
      </c>
      <c r="C99" s="401">
        <v>3500</v>
      </c>
      <c r="D99" s="405">
        <v>3000</v>
      </c>
      <c r="E99" s="405">
        <v>3000</v>
      </c>
      <c r="F99" s="405">
        <v>3000</v>
      </c>
    </row>
    <row r="100" spans="1:6" ht="12.75">
      <c r="A100" s="94" t="s">
        <v>833</v>
      </c>
      <c r="B100" s="95" t="s">
        <v>224</v>
      </c>
      <c r="C100" s="283">
        <f>SUM(C94:C99)</f>
        <v>357700</v>
      </c>
      <c r="D100" s="96">
        <f>SUM(D94:D99)</f>
        <v>357200</v>
      </c>
      <c r="E100" s="96">
        <f>SUM(E94:E99)</f>
        <v>357200</v>
      </c>
      <c r="F100" s="96">
        <f>SUM(F94:F99)</f>
        <v>357200</v>
      </c>
    </row>
    <row r="101" spans="1:6" ht="12.75">
      <c r="A101" s="60" t="s">
        <v>585</v>
      </c>
      <c r="B101" s="58" t="s">
        <v>226</v>
      </c>
      <c r="C101" s="401">
        <v>850</v>
      </c>
      <c r="D101" s="405">
        <v>1000</v>
      </c>
      <c r="E101" s="405"/>
      <c r="F101" s="405"/>
    </row>
    <row r="102" spans="1:6" ht="12.75">
      <c r="A102" s="60" t="s">
        <v>227</v>
      </c>
      <c r="B102" s="58" t="s">
        <v>228</v>
      </c>
      <c r="C102" s="401">
        <v>229662</v>
      </c>
      <c r="D102" s="405">
        <v>230000</v>
      </c>
      <c r="E102" s="405">
        <v>220000</v>
      </c>
      <c r="F102" s="405">
        <v>210000</v>
      </c>
    </row>
    <row r="103" spans="1:6" ht="12.75">
      <c r="A103" s="60" t="s">
        <v>229</v>
      </c>
      <c r="B103" s="58" t="s">
        <v>230</v>
      </c>
      <c r="C103" s="401">
        <v>1670</v>
      </c>
      <c r="D103" s="405"/>
      <c r="E103" s="405"/>
      <c r="F103" s="405"/>
    </row>
    <row r="104" spans="1:6" ht="12.75">
      <c r="A104" s="60" t="s">
        <v>231</v>
      </c>
      <c r="B104" s="58" t="s">
        <v>232</v>
      </c>
      <c r="C104" s="401">
        <v>5173</v>
      </c>
      <c r="D104" s="405">
        <v>3500</v>
      </c>
      <c r="E104" s="405">
        <v>3200</v>
      </c>
      <c r="F104" s="405">
        <v>3100</v>
      </c>
    </row>
    <row r="105" spans="1:6" ht="12.75">
      <c r="A105" s="60" t="s">
        <v>233</v>
      </c>
      <c r="B105" s="58" t="s">
        <v>234</v>
      </c>
      <c r="C105" s="401">
        <v>168655</v>
      </c>
      <c r="D105" s="405">
        <v>95000</v>
      </c>
      <c r="E105" s="405">
        <v>80000</v>
      </c>
      <c r="F105" s="405">
        <v>75000</v>
      </c>
    </row>
    <row r="106" spans="1:6" ht="12.75">
      <c r="A106" s="60" t="s">
        <v>235</v>
      </c>
      <c r="B106" s="58" t="s">
        <v>236</v>
      </c>
      <c r="C106" s="401">
        <v>30627</v>
      </c>
      <c r="D106" s="405">
        <v>25000</v>
      </c>
      <c r="E106" s="405">
        <v>25000</v>
      </c>
      <c r="F106" s="405">
        <v>25000</v>
      </c>
    </row>
    <row r="107" spans="1:6" ht="12.75">
      <c r="A107" s="60" t="s">
        <v>237</v>
      </c>
      <c r="B107" s="58" t="s">
        <v>238</v>
      </c>
      <c r="C107" s="401"/>
      <c r="D107" s="405"/>
      <c r="E107" s="405"/>
      <c r="F107" s="405"/>
    </row>
    <row r="108" spans="1:6" ht="12.75">
      <c r="A108" s="60" t="s">
        <v>239</v>
      </c>
      <c r="B108" s="58" t="s">
        <v>240</v>
      </c>
      <c r="C108" s="401">
        <v>2050</v>
      </c>
      <c r="D108" s="405">
        <v>2000</v>
      </c>
      <c r="E108" s="405">
        <v>2000</v>
      </c>
      <c r="F108" s="405">
        <v>2000</v>
      </c>
    </row>
    <row r="109" spans="1:6" ht="12.75">
      <c r="A109" s="60" t="s">
        <v>241</v>
      </c>
      <c r="B109" s="58" t="s">
        <v>242</v>
      </c>
      <c r="C109" s="401"/>
      <c r="D109" s="405"/>
      <c r="E109" s="405"/>
      <c r="F109" s="405"/>
    </row>
    <row r="110" spans="1:6" ht="12.75">
      <c r="A110" s="60" t="s">
        <v>245</v>
      </c>
      <c r="B110" s="58" t="s">
        <v>244</v>
      </c>
      <c r="C110" s="401">
        <v>340</v>
      </c>
      <c r="D110" s="405"/>
      <c r="E110" s="405"/>
      <c r="F110" s="405"/>
    </row>
    <row r="111" spans="1:6" ht="12.75">
      <c r="A111" s="143" t="s">
        <v>834</v>
      </c>
      <c r="B111" s="95" t="s">
        <v>248</v>
      </c>
      <c r="C111" s="283">
        <f>SUM(C101:C110)</f>
        <v>439027</v>
      </c>
      <c r="D111" s="96">
        <f>SUM(D101:D110)</f>
        <v>356500</v>
      </c>
      <c r="E111" s="96">
        <f>SUM(E101:E110)</f>
        <v>330200</v>
      </c>
      <c r="F111" s="96">
        <f>SUM(F101:F110)</f>
        <v>315100</v>
      </c>
    </row>
    <row r="112" spans="1:6" ht="12.75">
      <c r="A112" s="60" t="s">
        <v>249</v>
      </c>
      <c r="B112" s="58" t="s">
        <v>250</v>
      </c>
      <c r="C112" s="401"/>
      <c r="D112" s="24"/>
      <c r="E112" s="24"/>
      <c r="F112" s="24"/>
    </row>
    <row r="113" spans="1:6" ht="12.75">
      <c r="A113" s="60" t="s">
        <v>251</v>
      </c>
      <c r="B113" s="58" t="s">
        <v>252</v>
      </c>
      <c r="C113" s="401">
        <v>57608</v>
      </c>
      <c r="D113" s="24">
        <v>20000</v>
      </c>
      <c r="E113" s="24">
        <v>10000</v>
      </c>
      <c r="F113" s="24"/>
    </row>
    <row r="114" spans="1:6" ht="12.75">
      <c r="A114" s="60" t="s">
        <v>253</v>
      </c>
      <c r="B114" s="58" t="s">
        <v>254</v>
      </c>
      <c r="C114" s="401"/>
      <c r="D114" s="24"/>
      <c r="E114" s="24"/>
      <c r="F114" s="24"/>
    </row>
    <row r="115" spans="1:6" ht="12.75">
      <c r="A115" s="60" t="s">
        <v>255</v>
      </c>
      <c r="B115" s="58" t="s">
        <v>256</v>
      </c>
      <c r="C115" s="401"/>
      <c r="D115" s="24"/>
      <c r="E115" s="24"/>
      <c r="F115" s="24"/>
    </row>
    <row r="116" spans="1:6" ht="12.75">
      <c r="A116" s="60" t="s">
        <v>257</v>
      </c>
      <c r="B116" s="58" t="s">
        <v>258</v>
      </c>
      <c r="C116" s="401"/>
      <c r="D116" s="24"/>
      <c r="E116" s="24"/>
      <c r="F116" s="24"/>
    </row>
    <row r="117" spans="1:6" ht="12.75">
      <c r="A117" s="94" t="s">
        <v>835</v>
      </c>
      <c r="B117" s="95" t="s">
        <v>260</v>
      </c>
      <c r="C117" s="283">
        <f>SUM(C112:C116)</f>
        <v>57608</v>
      </c>
      <c r="D117" s="96">
        <f>SUM(D112:D116)</f>
        <v>20000</v>
      </c>
      <c r="E117" s="96">
        <f>SUM(E112:E116)</f>
        <v>10000</v>
      </c>
      <c r="F117" s="96">
        <f>SUM(F112:F116)</f>
        <v>0</v>
      </c>
    </row>
    <row r="118" spans="1:6" ht="12.75">
      <c r="A118" s="94" t="s">
        <v>261</v>
      </c>
      <c r="B118" s="95" t="s">
        <v>262</v>
      </c>
      <c r="C118" s="406">
        <v>16883</v>
      </c>
      <c r="D118" s="379">
        <v>10000</v>
      </c>
      <c r="E118" s="379">
        <v>10000</v>
      </c>
      <c r="F118" s="379">
        <v>10000</v>
      </c>
    </row>
    <row r="119" spans="1:6" ht="12.75">
      <c r="A119" s="60" t="s">
        <v>263</v>
      </c>
      <c r="B119" s="58" t="s">
        <v>264</v>
      </c>
      <c r="C119" s="401"/>
      <c r="D119" s="24"/>
      <c r="E119" s="24"/>
      <c r="F119" s="24"/>
    </row>
    <row r="120" spans="1:6" ht="12.75">
      <c r="A120" s="47" t="s">
        <v>265</v>
      </c>
      <c r="B120" s="58" t="s">
        <v>266</v>
      </c>
      <c r="C120" s="401"/>
      <c r="D120" s="24"/>
      <c r="E120" s="24"/>
      <c r="F120" s="24"/>
    </row>
    <row r="121" spans="1:6" ht="12.75">
      <c r="A121" s="60" t="s">
        <v>267</v>
      </c>
      <c r="B121" s="58" t="s">
        <v>268</v>
      </c>
      <c r="C121" s="401"/>
      <c r="D121" s="24"/>
      <c r="E121" s="24"/>
      <c r="F121" s="24"/>
    </row>
    <row r="122" spans="1:6" ht="12.75">
      <c r="A122" s="60" t="s">
        <v>269</v>
      </c>
      <c r="B122" s="58" t="s">
        <v>270</v>
      </c>
      <c r="C122" s="401"/>
      <c r="D122" s="24"/>
      <c r="E122" s="24"/>
      <c r="F122" s="24"/>
    </row>
    <row r="123" spans="1:6" ht="12.75">
      <c r="A123" s="60" t="s">
        <v>271</v>
      </c>
      <c r="B123" s="58" t="s">
        <v>272</v>
      </c>
      <c r="C123" s="401">
        <v>32262</v>
      </c>
      <c r="D123" s="405">
        <v>25400</v>
      </c>
      <c r="E123" s="405">
        <v>25400</v>
      </c>
      <c r="F123" s="405">
        <v>25400</v>
      </c>
    </row>
    <row r="124" spans="1:6" ht="12.75">
      <c r="A124" s="94" t="s">
        <v>836</v>
      </c>
      <c r="B124" s="95" t="s">
        <v>274</v>
      </c>
      <c r="C124" s="283">
        <f>SUM(C119:C123)</f>
        <v>32262</v>
      </c>
      <c r="D124" s="96">
        <f>SUM(D119:D123)</f>
        <v>25400</v>
      </c>
      <c r="E124" s="96">
        <f>SUM(E119:E123)</f>
        <v>25400</v>
      </c>
      <c r="F124" s="96">
        <f>SUM(F119:F123)</f>
        <v>25400</v>
      </c>
    </row>
    <row r="125" spans="1:6" ht="12.75">
      <c r="A125" s="143" t="s">
        <v>837</v>
      </c>
      <c r="B125" s="95" t="s">
        <v>276</v>
      </c>
      <c r="C125" s="283">
        <f>+C124+C118+C117+C111+C100+C93+C92</f>
        <v>4231323</v>
      </c>
      <c r="D125" s="96">
        <f>+D124+D118+D117+D111+D100+D93+D92</f>
        <v>3191470</v>
      </c>
      <c r="E125" s="96">
        <f>+E124+E118+E117+E111+E100+E93+E92</f>
        <v>3082590</v>
      </c>
      <c r="F125" s="96">
        <f>+F124+F118+F117+F111+F100+F93+F92</f>
        <v>2903900</v>
      </c>
    </row>
    <row r="126" spans="1:6" ht="12.75">
      <c r="A126" s="365" t="s">
        <v>277</v>
      </c>
      <c r="B126" s="123"/>
      <c r="C126" s="313">
        <f>+C118+C111+C100+C92-C33</f>
        <v>-168433</v>
      </c>
      <c r="D126" s="124">
        <f>+D118+D111+D100+D92-D33</f>
        <v>-11449</v>
      </c>
      <c r="E126" s="124">
        <f>+E118+E111+E100+E92-E33</f>
        <v>31294</v>
      </c>
      <c r="F126" s="124">
        <f>+F118+F111+F100+F92-F33</f>
        <v>30126</v>
      </c>
    </row>
    <row r="127" spans="1:6" ht="12.75">
      <c r="A127" s="365" t="s">
        <v>278</v>
      </c>
      <c r="B127" s="123"/>
      <c r="C127" s="313">
        <f>+C124+C117+C93-C57</f>
        <v>0</v>
      </c>
      <c r="D127" s="124">
        <f>+D124+D117+D93-D57</f>
        <v>-54930</v>
      </c>
      <c r="E127" s="124">
        <f>+E124+E117+E93-E57</f>
        <v>-50960</v>
      </c>
      <c r="F127" s="124">
        <f>+F124+F117+F93-F57</f>
        <v>-38100</v>
      </c>
    </row>
    <row r="128" spans="1:6" ht="12.75">
      <c r="A128" s="68" t="s">
        <v>279</v>
      </c>
      <c r="B128" s="47" t="s">
        <v>280</v>
      </c>
      <c r="C128" s="401"/>
      <c r="D128" s="401">
        <v>30000</v>
      </c>
      <c r="E128" s="24"/>
      <c r="F128" s="24"/>
    </row>
    <row r="129" spans="1:6" ht="12.75">
      <c r="A129" s="60" t="s">
        <v>716</v>
      </c>
      <c r="B129" s="47" t="s">
        <v>282</v>
      </c>
      <c r="C129" s="401"/>
      <c r="D129" s="24"/>
      <c r="E129" s="24"/>
      <c r="F129" s="24"/>
    </row>
    <row r="130" spans="1:6" ht="12.75">
      <c r="A130" s="68" t="s">
        <v>283</v>
      </c>
      <c r="B130" s="47" t="s">
        <v>284</v>
      </c>
      <c r="C130" s="401">
        <v>88500</v>
      </c>
      <c r="D130" s="405">
        <v>88500</v>
      </c>
      <c r="E130" s="405">
        <v>88500</v>
      </c>
      <c r="F130" s="405">
        <v>88500</v>
      </c>
    </row>
    <row r="131" spans="1:6" ht="12.75">
      <c r="A131" s="51" t="s">
        <v>586</v>
      </c>
      <c r="B131" s="50" t="s">
        <v>286</v>
      </c>
      <c r="C131" s="403">
        <f>SUM(C128:C130)</f>
        <v>88500</v>
      </c>
      <c r="D131" s="25">
        <f>SUM(D128:D130)</f>
        <v>118500</v>
      </c>
      <c r="E131" s="25">
        <f>SUM(E128:E130)</f>
        <v>88500</v>
      </c>
      <c r="F131" s="25">
        <f>SUM(F128:F130)</f>
        <v>88500</v>
      </c>
    </row>
    <row r="132" spans="1:6" ht="12.75">
      <c r="A132" s="60" t="s">
        <v>287</v>
      </c>
      <c r="B132" s="47" t="s">
        <v>288</v>
      </c>
      <c r="C132" s="401"/>
      <c r="D132" s="24"/>
      <c r="E132" s="24"/>
      <c r="F132" s="24"/>
    </row>
    <row r="133" spans="1:6" ht="12.75">
      <c r="A133" s="68" t="s">
        <v>722</v>
      </c>
      <c r="B133" s="47" t="s">
        <v>290</v>
      </c>
      <c r="C133" s="401"/>
      <c r="D133" s="24"/>
      <c r="E133" s="24"/>
      <c r="F133" s="24"/>
    </row>
    <row r="134" spans="1:6" ht="12.75">
      <c r="A134" s="60" t="s">
        <v>291</v>
      </c>
      <c r="B134" s="47" t="s">
        <v>292</v>
      </c>
      <c r="C134" s="401"/>
      <c r="D134" s="24"/>
      <c r="E134" s="24"/>
      <c r="F134" s="24"/>
    </row>
    <row r="135" spans="1:6" ht="12.75">
      <c r="A135" s="68" t="s">
        <v>724</v>
      </c>
      <c r="B135" s="47" t="s">
        <v>294</v>
      </c>
      <c r="C135" s="401"/>
      <c r="D135" s="24"/>
      <c r="E135" s="24"/>
      <c r="F135" s="24"/>
    </row>
    <row r="136" spans="1:6" ht="12.75">
      <c r="A136" s="72" t="s">
        <v>587</v>
      </c>
      <c r="B136" s="50" t="s">
        <v>296</v>
      </c>
      <c r="C136" s="403">
        <f>SUM(C132:C135)</f>
        <v>0</v>
      </c>
      <c r="D136" s="25">
        <f>SUM(D132:D135)</f>
        <v>0</v>
      </c>
      <c r="E136" s="25">
        <f>SUM(E132:E135)</f>
        <v>0</v>
      </c>
      <c r="F136" s="25">
        <f>SUM(F132:F135)</f>
        <v>0</v>
      </c>
    </row>
    <row r="137" spans="1:6" ht="12.75">
      <c r="A137" s="47" t="s">
        <v>297</v>
      </c>
      <c r="B137" s="47" t="s">
        <v>298</v>
      </c>
      <c r="C137" s="401">
        <v>168433</v>
      </c>
      <c r="D137" s="24">
        <v>36379</v>
      </c>
      <c r="E137" s="24">
        <v>19666</v>
      </c>
      <c r="F137" s="24">
        <v>7974</v>
      </c>
    </row>
    <row r="138" spans="1:6" ht="12.75">
      <c r="A138" s="47" t="s">
        <v>299</v>
      </c>
      <c r="B138" s="47" t="s">
        <v>298</v>
      </c>
      <c r="C138" s="401"/>
      <c r="D138" s="24"/>
      <c r="E138" s="24"/>
      <c r="F138" s="24"/>
    </row>
    <row r="139" spans="1:6" ht="12.75">
      <c r="A139" s="47" t="s">
        <v>300</v>
      </c>
      <c r="B139" s="47" t="s">
        <v>301</v>
      </c>
      <c r="C139" s="401"/>
      <c r="D139" s="24"/>
      <c r="E139" s="24"/>
      <c r="F139" s="24"/>
    </row>
    <row r="140" spans="1:6" ht="12.75">
      <c r="A140" s="47" t="s">
        <v>302</v>
      </c>
      <c r="B140" s="47" t="s">
        <v>301</v>
      </c>
      <c r="C140" s="401"/>
      <c r="D140" s="24"/>
      <c r="E140" s="24"/>
      <c r="F140" s="24"/>
    </row>
    <row r="141" spans="1:6" ht="12.75">
      <c r="A141" s="50" t="s">
        <v>838</v>
      </c>
      <c r="B141" s="50" t="s">
        <v>304</v>
      </c>
      <c r="C141" s="403">
        <f>SUM(C137:C140)</f>
        <v>168433</v>
      </c>
      <c r="D141" s="25">
        <f>SUM(D137:D140)</f>
        <v>36379</v>
      </c>
      <c r="E141" s="25">
        <f>SUM(E137:E140)</f>
        <v>19666</v>
      </c>
      <c r="F141" s="25">
        <f>SUM(F137:F140)</f>
        <v>7974</v>
      </c>
    </row>
    <row r="142" spans="1:6" ht="12.75">
      <c r="A142" s="68" t="s">
        <v>305</v>
      </c>
      <c r="B142" s="47" t="s">
        <v>306</v>
      </c>
      <c r="C142" s="401"/>
      <c r="D142" s="24"/>
      <c r="E142" s="24"/>
      <c r="F142" s="24"/>
    </row>
    <row r="143" spans="1:6" ht="12.75">
      <c r="A143" s="68" t="s">
        <v>307</v>
      </c>
      <c r="B143" s="47" t="s">
        <v>308</v>
      </c>
      <c r="C143" s="401"/>
      <c r="D143" s="24"/>
      <c r="E143" s="24"/>
      <c r="F143" s="24"/>
    </row>
    <row r="144" spans="1:6" ht="12.75">
      <c r="A144" s="68" t="s">
        <v>309</v>
      </c>
      <c r="B144" s="47" t="s">
        <v>310</v>
      </c>
      <c r="C144" s="401"/>
      <c r="D144" s="24"/>
      <c r="E144" s="24"/>
      <c r="F144" s="24"/>
    </row>
    <row r="145" spans="1:6" ht="12.75">
      <c r="A145" s="68" t="s">
        <v>725</v>
      </c>
      <c r="B145" s="47" t="s">
        <v>312</v>
      </c>
      <c r="C145" s="401"/>
      <c r="D145" s="24"/>
      <c r="E145" s="24"/>
      <c r="F145" s="24"/>
    </row>
    <row r="146" spans="1:6" ht="12.75" hidden="1">
      <c r="A146" s="60" t="s">
        <v>313</v>
      </c>
      <c r="B146" s="47" t="s">
        <v>314</v>
      </c>
      <c r="C146" s="401"/>
      <c r="D146" s="24"/>
      <c r="E146" s="24"/>
      <c r="F146" s="24"/>
    </row>
    <row r="147" spans="1:6" ht="12.75">
      <c r="A147" s="51" t="s">
        <v>839</v>
      </c>
      <c r="B147" s="50" t="s">
        <v>318</v>
      </c>
      <c r="C147" s="403">
        <f>SUM(C142:C146)+C141+C136+C131</f>
        <v>256933</v>
      </c>
      <c r="D147" s="25">
        <f>SUM(D142:D146)+D141+D136+D131</f>
        <v>154879</v>
      </c>
      <c r="E147" s="25">
        <f>SUM(E142:E146)+E141+E136+E131</f>
        <v>108166</v>
      </c>
      <c r="F147" s="25">
        <f>SUM(F142:F146)+F141+F136+F131</f>
        <v>96474</v>
      </c>
    </row>
    <row r="148" spans="1:6" ht="12.75" hidden="1">
      <c r="A148" s="68" t="s">
        <v>319</v>
      </c>
      <c r="B148" s="47" t="s">
        <v>320</v>
      </c>
      <c r="C148" s="401"/>
      <c r="D148" s="24"/>
      <c r="E148" s="24"/>
      <c r="F148" s="24"/>
    </row>
    <row r="149" spans="1:6" ht="12.75" hidden="1">
      <c r="A149" s="60" t="s">
        <v>321</v>
      </c>
      <c r="B149" s="47" t="s">
        <v>322</v>
      </c>
      <c r="C149" s="401"/>
      <c r="D149" s="24"/>
      <c r="E149" s="24"/>
      <c r="F149" s="24"/>
    </row>
    <row r="150" spans="1:6" ht="12.75">
      <c r="A150" s="362" t="s">
        <v>840</v>
      </c>
      <c r="B150" s="94" t="s">
        <v>326</v>
      </c>
      <c r="C150" s="283">
        <f>+C149+C148+C147</f>
        <v>256933</v>
      </c>
      <c r="D150" s="96">
        <f>+D149+D148+D147</f>
        <v>154879</v>
      </c>
      <c r="E150" s="96">
        <f>+E149+E148+E147</f>
        <v>108166</v>
      </c>
      <c r="F150" s="96">
        <f>+F149+F148+F147</f>
        <v>96474</v>
      </c>
    </row>
    <row r="151" spans="1:6" s="97" customFormat="1" ht="12.75">
      <c r="A151" s="116" t="s">
        <v>327</v>
      </c>
      <c r="B151" s="116" t="s">
        <v>328</v>
      </c>
      <c r="C151" s="283">
        <f>+C125+C150</f>
        <v>4488256</v>
      </c>
      <c r="D151" s="96">
        <f>+D125+D150</f>
        <v>3346349</v>
      </c>
      <c r="E151" s="96">
        <f>+E125+E150</f>
        <v>3190756</v>
      </c>
      <c r="F151" s="96">
        <f>+F125+F150</f>
        <v>3000374</v>
      </c>
    </row>
    <row r="152" spans="3:6" ht="12.75">
      <c r="C152" s="407">
        <f>+C151-C78</f>
        <v>0</v>
      </c>
      <c r="D152" s="407">
        <f>+D151-D78</f>
        <v>0</v>
      </c>
      <c r="E152" s="407">
        <f>+E151-E78</f>
        <v>0</v>
      </c>
      <c r="F152" s="407">
        <f>+F151-F78</f>
        <v>0</v>
      </c>
    </row>
    <row r="153" ht="12.75">
      <c r="C153" s="396"/>
    </row>
    <row r="154" ht="12.75">
      <c r="C154" s="396"/>
    </row>
    <row r="155" ht="12.75">
      <c r="C155" s="396"/>
    </row>
    <row r="156" ht="12.75">
      <c r="C156" s="396"/>
    </row>
    <row r="157" ht="12.75">
      <c r="C157" s="396"/>
    </row>
    <row r="158" ht="12.75">
      <c r="C158" s="396"/>
    </row>
    <row r="159" ht="12.75">
      <c r="C159" s="396"/>
    </row>
    <row r="160" ht="12.75">
      <c r="C160" s="396"/>
    </row>
    <row r="161" ht="12.75">
      <c r="C161" s="396"/>
    </row>
    <row r="162" ht="12.75">
      <c r="C162" s="396"/>
    </row>
    <row r="163" ht="12.75">
      <c r="C163" s="396"/>
    </row>
    <row r="164" ht="12.75">
      <c r="C164" s="396"/>
    </row>
    <row r="165" ht="12.75">
      <c r="C165" s="396"/>
    </row>
    <row r="166" ht="12.75">
      <c r="C166" s="396"/>
    </row>
    <row r="167" ht="12.75">
      <c r="C167" s="396"/>
    </row>
    <row r="168" ht="12.75">
      <c r="C168" s="396"/>
    </row>
    <row r="169" ht="12.75">
      <c r="C169" s="396"/>
    </row>
    <row r="170" ht="12.75">
      <c r="C170" s="396"/>
    </row>
    <row r="171" ht="12.75">
      <c r="C171" s="396"/>
    </row>
    <row r="172" ht="12.75">
      <c r="C172" s="396"/>
    </row>
    <row r="173" ht="12.75">
      <c r="C173" s="396"/>
    </row>
    <row r="174" ht="12.75">
      <c r="C174" s="396"/>
    </row>
    <row r="175" ht="12.75">
      <c r="C175" s="396"/>
    </row>
    <row r="176" ht="12.75">
      <c r="C176" s="396"/>
    </row>
    <row r="177" ht="12.75">
      <c r="C177" s="396"/>
    </row>
    <row r="178" ht="12.75">
      <c r="C178" s="396"/>
    </row>
    <row r="179" ht="12.75">
      <c r="C179" s="396"/>
    </row>
    <row r="180" ht="12.75">
      <c r="C180" s="396"/>
    </row>
    <row r="181" ht="12.75">
      <c r="C181" s="396"/>
    </row>
    <row r="182" ht="12.75">
      <c r="C182" s="396"/>
    </row>
    <row r="183" ht="12.75">
      <c r="C183" s="396"/>
    </row>
    <row r="184" ht="12.75">
      <c r="C184" s="396"/>
    </row>
    <row r="185" ht="12.75">
      <c r="C185" s="396"/>
    </row>
    <row r="186" ht="12.75">
      <c r="C186" s="396"/>
    </row>
    <row r="187" ht="12.75">
      <c r="C187" s="396"/>
    </row>
    <row r="188" ht="12.75">
      <c r="C188" s="396"/>
    </row>
    <row r="189" ht="12.75">
      <c r="C189" s="396"/>
    </row>
    <row r="190" ht="12.75">
      <c r="C190" s="396"/>
    </row>
    <row r="191" ht="12.75">
      <c r="C191" s="396"/>
    </row>
    <row r="192" ht="12.75">
      <c r="C192" s="396"/>
    </row>
    <row r="193" ht="12.75">
      <c r="C193" s="396"/>
    </row>
    <row r="194" ht="12.75">
      <c r="C194" s="396"/>
    </row>
    <row r="195" ht="12.75">
      <c r="C195" s="396"/>
    </row>
    <row r="196" ht="12.75">
      <c r="C196" s="396"/>
    </row>
    <row r="197" ht="12.75">
      <c r="C197" s="396"/>
    </row>
    <row r="198" ht="12.75">
      <c r="C198" s="396"/>
    </row>
    <row r="199" ht="12.75">
      <c r="C199" s="396"/>
    </row>
    <row r="200" ht="12.75">
      <c r="C200" s="396"/>
    </row>
    <row r="201" ht="12.75">
      <c r="C201" s="396"/>
    </row>
    <row r="202" ht="12.75">
      <c r="C202" s="396"/>
    </row>
    <row r="203" ht="12.75">
      <c r="C203" s="396"/>
    </row>
    <row r="204" ht="12.75">
      <c r="C204" s="396"/>
    </row>
    <row r="205" ht="12.75">
      <c r="C205" s="396"/>
    </row>
    <row r="206" ht="12.75">
      <c r="C206" s="396"/>
    </row>
    <row r="207" ht="12.75">
      <c r="C207" s="396"/>
    </row>
    <row r="208" ht="12.75">
      <c r="C208" s="396"/>
    </row>
    <row r="209" ht="12.75">
      <c r="C209" s="396"/>
    </row>
    <row r="210" ht="12.75">
      <c r="C210" s="396"/>
    </row>
    <row r="211" ht="12.75">
      <c r="C211" s="396"/>
    </row>
    <row r="212" ht="12.75">
      <c r="C212" s="396"/>
    </row>
    <row r="213" ht="12.75">
      <c r="C213" s="396"/>
    </row>
    <row r="214" ht="12.75">
      <c r="C214" s="396"/>
    </row>
    <row r="215" ht="12.75">
      <c r="C215" s="396"/>
    </row>
    <row r="216" ht="12.75">
      <c r="C216" s="396"/>
    </row>
    <row r="217" ht="12.75">
      <c r="C217" s="396"/>
    </row>
    <row r="218" ht="12.75">
      <c r="C218" s="396"/>
    </row>
    <row r="219" ht="12.75">
      <c r="C219" s="396"/>
    </row>
    <row r="220" ht="12.75">
      <c r="C220" s="396"/>
    </row>
    <row r="221" ht="12.75">
      <c r="C221" s="396"/>
    </row>
    <row r="222" ht="12.75">
      <c r="C222" s="396"/>
    </row>
    <row r="223" ht="12.75">
      <c r="C223" s="396"/>
    </row>
    <row r="224" ht="12.75">
      <c r="C224" s="396"/>
    </row>
    <row r="225" ht="12.75">
      <c r="C225" s="396"/>
    </row>
    <row r="226" ht="12.75">
      <c r="C226" s="396"/>
    </row>
    <row r="227" ht="12.75">
      <c r="C227" s="396"/>
    </row>
    <row r="228" ht="12.75">
      <c r="C228" s="396"/>
    </row>
    <row r="229" ht="12.75">
      <c r="C229" s="396"/>
    </row>
    <row r="230" ht="12.75">
      <c r="C230" s="396"/>
    </row>
    <row r="231" ht="12.75">
      <c r="C231" s="396"/>
    </row>
    <row r="232" ht="12.75">
      <c r="C232" s="396"/>
    </row>
    <row r="233" ht="12.75">
      <c r="C233" s="396"/>
    </row>
    <row r="234" ht="12.75">
      <c r="C234" s="396"/>
    </row>
    <row r="235" ht="12.75">
      <c r="C235" s="396"/>
    </row>
    <row r="236" ht="12.75">
      <c r="C236" s="396"/>
    </row>
    <row r="237" ht="12.75">
      <c r="C237" s="396"/>
    </row>
    <row r="238" ht="12.75">
      <c r="C238" s="396"/>
    </row>
    <row r="239" ht="12.75">
      <c r="C239" s="396"/>
    </row>
    <row r="240" ht="12.75">
      <c r="C240" s="396"/>
    </row>
    <row r="241" ht="12.75">
      <c r="C241" s="396"/>
    </row>
    <row r="242" ht="12.75">
      <c r="C242" s="396"/>
    </row>
    <row r="243" ht="12.75">
      <c r="C243" s="396"/>
    </row>
    <row r="244" ht="12.75">
      <c r="C244" s="396"/>
    </row>
    <row r="245" ht="12.75">
      <c r="C245" s="396"/>
    </row>
    <row r="246" ht="12.75">
      <c r="C246" s="396"/>
    </row>
    <row r="247" ht="12.75">
      <c r="C247" s="396"/>
    </row>
    <row r="248" ht="12.75">
      <c r="C248" s="396"/>
    </row>
    <row r="249" ht="12.75">
      <c r="C249" s="396"/>
    </row>
    <row r="250" ht="12.75">
      <c r="C250" s="396"/>
    </row>
    <row r="251" ht="12.75">
      <c r="C251" s="396"/>
    </row>
    <row r="252" ht="12.75">
      <c r="C252" s="396"/>
    </row>
    <row r="253" ht="12.75">
      <c r="C253" s="396"/>
    </row>
    <row r="254" ht="12.75">
      <c r="C254" s="396"/>
    </row>
    <row r="255" ht="12.75">
      <c r="C255" s="396"/>
    </row>
    <row r="256" ht="12.75">
      <c r="C256" s="396"/>
    </row>
    <row r="257" ht="12.75">
      <c r="C257" s="396"/>
    </row>
    <row r="258" ht="12.75">
      <c r="C258" s="396"/>
    </row>
    <row r="259" ht="12.75">
      <c r="C259" s="396"/>
    </row>
    <row r="260" ht="12.75">
      <c r="C260" s="396"/>
    </row>
    <row r="261" ht="12.75">
      <c r="C261" s="396"/>
    </row>
    <row r="262" ht="12.75">
      <c r="C262" s="396"/>
    </row>
    <row r="263" ht="12.75">
      <c r="C263" s="396"/>
    </row>
  </sheetData>
  <sheetProtection selectLockedCells="1" selectUnlockedCells="1"/>
  <mergeCells count="2">
    <mergeCell ref="A5:F5"/>
    <mergeCell ref="G5:L5"/>
  </mergeCells>
  <hyperlinks>
    <hyperlink ref="A34" r:id="rId1" display="Immateriális javak beszerzése, létesítése"/>
  </hyperlinks>
  <printOptions horizontalCentered="1"/>
  <pageMargins left="0.4722222222222222" right="0.3541666666666667" top="0.43333333333333335" bottom="0.5118055555555555" header="0.5118055555555555" footer="0.31527777777777777"/>
  <pageSetup horizontalDpi="300" verticalDpi="300" orientation="portrait" paperSize="9" scale="62"/>
  <headerFooter alignWithMargins="0">
    <oddFooter>&amp;R&amp;P</oddFooter>
  </headerFooter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1"/>
  <sheetViews>
    <sheetView view="pageBreakPreview" zoomScaleSheetLayoutView="100" workbookViewId="0" topLeftCell="A1">
      <selection activeCell="H2" sqref="H2"/>
    </sheetView>
  </sheetViews>
  <sheetFormatPr defaultColWidth="9.140625" defaultRowHeight="15"/>
  <cols>
    <col min="1" max="1" width="71.00390625" style="30" customWidth="1"/>
    <col min="2" max="2" width="10.421875" style="30" customWidth="1"/>
    <col min="3" max="4" width="12.00390625" style="30" customWidth="1"/>
    <col min="5" max="5" width="12.00390625" style="31" customWidth="1"/>
    <col min="6" max="7" width="12.00390625" style="30" customWidth="1"/>
    <col min="8" max="8" width="12.00390625" style="31" customWidth="1"/>
    <col min="9" max="16384" width="9.140625" style="30" customWidth="1"/>
  </cols>
  <sheetData>
    <row r="1" spans="5:8" s="13" customFormat="1" ht="12.75">
      <c r="E1" s="32"/>
      <c r="H1" s="32" t="s">
        <v>40</v>
      </c>
    </row>
    <row r="2" spans="1:8" s="13" customFormat="1" ht="12.75">
      <c r="A2" s="33"/>
      <c r="E2" s="15"/>
      <c r="H2" s="15" t="s">
        <v>10</v>
      </c>
    </row>
    <row r="3" spans="1:8" s="13" customFormat="1" ht="12.75">
      <c r="A3" s="34" t="s">
        <v>11</v>
      </c>
      <c r="B3" s="35"/>
      <c r="C3" s="35"/>
      <c r="D3" s="36"/>
      <c r="E3" s="37"/>
      <c r="F3" s="35"/>
      <c r="G3" s="36"/>
      <c r="H3" s="37"/>
    </row>
    <row r="4" spans="1:8" s="13" customFormat="1" ht="12.75">
      <c r="A4" s="38" t="s">
        <v>41</v>
      </c>
      <c r="B4" s="39"/>
      <c r="C4" s="39"/>
      <c r="D4" s="39"/>
      <c r="E4" s="40"/>
      <c r="F4" s="39"/>
      <c r="G4" s="39"/>
      <c r="H4" s="40"/>
    </row>
    <row r="5" spans="1:8" ht="12.75">
      <c r="A5" s="41"/>
      <c r="C5" s="18" t="s">
        <v>13</v>
      </c>
      <c r="D5" s="18"/>
      <c r="E5" s="18"/>
      <c r="F5" s="18" t="s">
        <v>14</v>
      </c>
      <c r="G5" s="18"/>
      <c r="H5" s="18"/>
    </row>
    <row r="6" spans="1:8" ht="12.75">
      <c r="A6" s="19" t="s">
        <v>15</v>
      </c>
      <c r="B6" s="42" t="s">
        <v>42</v>
      </c>
      <c r="C6" s="43" t="s">
        <v>16</v>
      </c>
      <c r="D6" s="43" t="s">
        <v>17</v>
      </c>
      <c r="E6" s="44" t="s">
        <v>18</v>
      </c>
      <c r="F6" s="43" t="s">
        <v>16</v>
      </c>
      <c r="G6" s="43" t="s">
        <v>17</v>
      </c>
      <c r="H6" s="44" t="s">
        <v>18</v>
      </c>
    </row>
    <row r="7" spans="1:10" ht="12.75">
      <c r="A7" s="45" t="s">
        <v>43</v>
      </c>
      <c r="B7" s="46" t="s">
        <v>44</v>
      </c>
      <c r="C7" s="24">
        <f>+'7 Önk'!D7+'8 PH'!D7+'9 VGIG'!D7+'10 Járób'!D7+'11 Szoci'!D7+'12 Ovi'!D7+'13 Művház'!D7+'14 Könyvt'!D7</f>
        <v>764799</v>
      </c>
      <c r="D7" s="24">
        <f>+'7 Önk'!E7+'8 PH'!E7+'9 VGIG'!E7+'10 Járób'!E7+'11 Szoci'!E7+'12 Ovi'!E7+'13 Művház'!E7+'14 Könyvt'!E7</f>
        <v>257725</v>
      </c>
      <c r="E7" s="25">
        <f>+C7+D7</f>
        <v>1022524</v>
      </c>
      <c r="F7" s="24">
        <f>+'7 Önk'!G7+'8 PH'!G7+'9 VGIG'!G7+'10 Járób'!G7+'11 Szoci'!G7+'12 Ovi'!G7+'13 Művház'!G7+'14 Könyvt'!G7</f>
        <v>775288</v>
      </c>
      <c r="G7" s="24">
        <f>+'7 Önk'!H7+'8 PH'!H7+'9 VGIG'!H7+'10 Járób'!H7+'11 Szoci'!H7+'12 Ovi'!H7+'13 Művház'!H7+'14 Könyvt'!H7</f>
        <v>259625</v>
      </c>
      <c r="H7" s="25">
        <f>+F7+G7</f>
        <v>1034913</v>
      </c>
      <c r="I7" s="30">
        <v>1034913</v>
      </c>
      <c r="J7" s="30">
        <f>+I7-H7</f>
        <v>0</v>
      </c>
    </row>
    <row r="8" spans="1:10" ht="12.75">
      <c r="A8" s="47" t="s">
        <v>45</v>
      </c>
      <c r="B8" s="46" t="s">
        <v>46</v>
      </c>
      <c r="C8" s="24">
        <f>+'7 Önk'!D8+'8 PH'!D8+'9 VGIG'!D8+'10 Járób'!D8+'11 Szoci'!D8+'12 Ovi'!D8+'13 Művház'!D8+'14 Könyvt'!D8</f>
        <v>34941</v>
      </c>
      <c r="D8" s="24">
        <f>+'7 Önk'!E8+'8 PH'!E8+'9 VGIG'!E8+'10 Járób'!E8+'11 Szoci'!E8+'12 Ovi'!E8+'13 Művház'!E8+'14 Könyvt'!E8</f>
        <v>5773</v>
      </c>
      <c r="E8" s="25">
        <f>+C8+D8</f>
        <v>40714</v>
      </c>
      <c r="F8" s="24">
        <f>+'7 Önk'!G8+'8 PH'!G8+'9 VGIG'!G8+'10 Járób'!G8+'11 Szoci'!G8+'12 Ovi'!G8+'13 Művház'!G8+'14 Könyvt'!G8</f>
        <v>36354</v>
      </c>
      <c r="G8" s="24">
        <f>+'7 Önk'!H8+'8 PH'!H8+'9 VGIG'!H8+'10 Járób'!H8+'11 Szoci'!H8+'12 Ovi'!H8+'13 Művház'!H8+'14 Könyvt'!H8</f>
        <v>5408</v>
      </c>
      <c r="H8" s="25">
        <f>+F8+G8</f>
        <v>41762</v>
      </c>
      <c r="I8" s="30">
        <v>41762</v>
      </c>
      <c r="J8" s="30">
        <f>+I8-H8</f>
        <v>0</v>
      </c>
    </row>
    <row r="9" spans="1:10" ht="12.75">
      <c r="A9" s="48" t="s">
        <v>47</v>
      </c>
      <c r="B9" s="49" t="s">
        <v>48</v>
      </c>
      <c r="C9" s="25">
        <f>SUM(C7:C8)</f>
        <v>799740</v>
      </c>
      <c r="D9" s="25">
        <f>SUM(D7:D8)</f>
        <v>263498</v>
      </c>
      <c r="E9" s="25">
        <f>SUM(E7:E8)</f>
        <v>1063238</v>
      </c>
      <c r="F9" s="25">
        <f>SUM(F7:F8)</f>
        <v>811642</v>
      </c>
      <c r="G9" s="25">
        <f>SUM(G7:G8)</f>
        <v>265033</v>
      </c>
      <c r="H9" s="25">
        <f>SUM(H7:H8)</f>
        <v>1076675</v>
      </c>
      <c r="I9" s="30">
        <v>1076675</v>
      </c>
      <c r="J9" s="30">
        <f>+I9-H9</f>
        <v>0</v>
      </c>
    </row>
    <row r="10" spans="1:10" ht="12.75">
      <c r="A10" s="50" t="s">
        <v>49</v>
      </c>
      <c r="B10" s="49" t="s">
        <v>50</v>
      </c>
      <c r="C10" s="24">
        <f>+'7 Önk'!D10+'8 PH'!D10+'9 VGIG'!D10+'10 Járób'!D10+'11 Szoci'!D10+'12 Ovi'!D10+'13 Művház'!D10+'14 Könyvt'!D10</f>
        <v>196662</v>
      </c>
      <c r="D10" s="24">
        <f>+'7 Önk'!E10+'8 PH'!E10+'9 VGIG'!E10+'10 Járób'!E10+'11 Szoci'!E10+'12 Ovi'!E10+'13 Művház'!E10+'14 Könyvt'!E10</f>
        <v>56852</v>
      </c>
      <c r="E10" s="25">
        <f>+C10+D10</f>
        <v>253514</v>
      </c>
      <c r="F10" s="24">
        <f>+'7 Önk'!G10+'8 PH'!G10+'9 VGIG'!G10+'10 Járób'!G10+'11 Szoci'!G10+'12 Ovi'!G10+'13 Művház'!G10+'14 Könyvt'!G10</f>
        <v>199458</v>
      </c>
      <c r="G10" s="24">
        <f>+'7 Önk'!H10+'8 PH'!H10+'9 VGIG'!H10+'10 Járób'!H10+'11 Szoci'!H10+'12 Ovi'!H10+'13 Művház'!H10+'14 Könyvt'!H10</f>
        <v>57370</v>
      </c>
      <c r="H10" s="25">
        <f>+F10+G10</f>
        <v>256828</v>
      </c>
      <c r="I10" s="30">
        <v>256828</v>
      </c>
      <c r="J10" s="30">
        <f>+I10-H10</f>
        <v>0</v>
      </c>
    </row>
    <row r="11" spans="1:10" ht="12.75">
      <c r="A11" s="47" t="s">
        <v>51</v>
      </c>
      <c r="B11" s="46" t="s">
        <v>52</v>
      </c>
      <c r="C11" s="24">
        <f>+'7 Önk'!D11+'8 PH'!D11+'9 VGIG'!D11+'10 Járób'!D11+'11 Szoci'!D11+'12 Ovi'!D11+'13 Művház'!D11+'14 Könyvt'!D11</f>
        <v>199656</v>
      </c>
      <c r="D11" s="24">
        <f>+'7 Önk'!E11+'8 PH'!E11+'9 VGIG'!E11+'10 Járób'!E11+'11 Szoci'!E11+'12 Ovi'!E11+'13 Művház'!E11+'14 Könyvt'!E11</f>
        <v>65500</v>
      </c>
      <c r="E11" s="25">
        <f>+C11+D11</f>
        <v>265156</v>
      </c>
      <c r="F11" s="24">
        <f>+'7 Önk'!G11+'8 PH'!G11+'9 VGIG'!G11+'10 Járób'!G11+'11 Szoci'!G11+'12 Ovi'!G11+'13 Művház'!G11+'14 Könyvt'!G11</f>
        <v>199736</v>
      </c>
      <c r="G11" s="24">
        <f>+'7 Önk'!H11+'8 PH'!H11+'9 VGIG'!H11+'10 Járób'!H11+'11 Szoci'!H11+'12 Ovi'!H11+'13 Művház'!H11+'14 Könyvt'!H11</f>
        <v>65500</v>
      </c>
      <c r="H11" s="25">
        <f>+F11+G11</f>
        <v>265236</v>
      </c>
      <c r="I11" s="30">
        <v>265236</v>
      </c>
      <c r="J11" s="30">
        <f>+I11-H11</f>
        <v>0</v>
      </c>
    </row>
    <row r="12" spans="1:10" ht="12.75">
      <c r="A12" s="47" t="s">
        <v>53</v>
      </c>
      <c r="B12" s="46" t="s">
        <v>54</v>
      </c>
      <c r="C12" s="24">
        <f>+'7 Önk'!D12+'8 PH'!D12+'9 VGIG'!D12+'10 Járób'!D12+'11 Szoci'!D12+'12 Ovi'!D12+'13 Művház'!D12+'14 Könyvt'!D12</f>
        <v>8785</v>
      </c>
      <c r="D12" s="24">
        <f>+'7 Önk'!E12+'8 PH'!E12+'9 VGIG'!E12+'10 Járób'!E12+'11 Szoci'!E12+'12 Ovi'!E12+'13 Művház'!E12+'14 Könyvt'!E12</f>
        <v>6710</v>
      </c>
      <c r="E12" s="25">
        <f>+C12+D12</f>
        <v>15495</v>
      </c>
      <c r="F12" s="24">
        <f>+'7 Önk'!G12+'8 PH'!G12+'9 VGIG'!G12+'10 Járób'!G12+'11 Szoci'!G12+'12 Ovi'!G12+'13 Művház'!G12+'14 Könyvt'!G12</f>
        <v>8785</v>
      </c>
      <c r="G12" s="24">
        <f>+'7 Önk'!H12+'8 PH'!H12+'9 VGIG'!H12+'10 Járób'!H12+'11 Szoci'!H12+'12 Ovi'!H12+'13 Művház'!H12+'14 Könyvt'!H12</f>
        <v>6710</v>
      </c>
      <c r="H12" s="25">
        <f>+F12+G12</f>
        <v>15495</v>
      </c>
      <c r="I12" s="30">
        <v>15495</v>
      </c>
      <c r="J12" s="30">
        <f>+I12-H12</f>
        <v>0</v>
      </c>
    </row>
    <row r="13" spans="1:10" ht="12.75">
      <c r="A13" s="47" t="s">
        <v>55</v>
      </c>
      <c r="B13" s="46" t="s">
        <v>56</v>
      </c>
      <c r="C13" s="24">
        <f>+'7 Önk'!D13+'8 PH'!D13+'9 VGIG'!D13+'10 Járób'!D13+'11 Szoci'!D13+'12 Ovi'!D13+'13 Művház'!D13+'14 Könyvt'!D13</f>
        <v>266958</v>
      </c>
      <c r="D13" s="24">
        <f>+'7 Önk'!E13+'8 PH'!E13+'9 VGIG'!E13+'10 Járób'!E13+'11 Szoci'!E13+'12 Ovi'!E13+'13 Művház'!E13+'14 Könyvt'!E13</f>
        <v>151413</v>
      </c>
      <c r="E13" s="25">
        <f>+C13+D13</f>
        <v>418371</v>
      </c>
      <c r="F13" s="24">
        <f>+'7 Önk'!G13+'8 PH'!G13+'9 VGIG'!G13+'10 Járób'!G13+'11 Szoci'!G13+'12 Ovi'!G13+'13 Művház'!G13+'14 Könyvt'!G13</f>
        <v>313645</v>
      </c>
      <c r="G13" s="24">
        <f>+'7 Önk'!H13+'8 PH'!H13+'9 VGIG'!H13+'10 Járób'!H13+'11 Szoci'!H13+'12 Ovi'!H13+'13 Művház'!H13+'14 Könyvt'!H13</f>
        <v>151413</v>
      </c>
      <c r="H13" s="25">
        <f>+F13+G13</f>
        <v>465058</v>
      </c>
      <c r="I13" s="30">
        <v>450558</v>
      </c>
      <c r="J13" s="30">
        <f>+I13-H13</f>
        <v>-14500</v>
      </c>
    </row>
    <row r="14" spans="1:10" ht="12.75">
      <c r="A14" s="47" t="s">
        <v>57</v>
      </c>
      <c r="B14" s="46" t="s">
        <v>58</v>
      </c>
      <c r="C14" s="24">
        <f>+'7 Önk'!D14+'8 PH'!D14+'9 VGIG'!D14+'10 Járób'!D14+'11 Szoci'!D14+'12 Ovi'!D14+'13 Művház'!D14+'14 Könyvt'!D14</f>
        <v>5550</v>
      </c>
      <c r="D14" s="24">
        <f>+'7 Önk'!E14+'8 PH'!E14+'9 VGIG'!E14+'10 Járób'!E14+'11 Szoci'!E14+'12 Ovi'!E14+'13 Művház'!E14+'14 Könyvt'!E14</f>
        <v>2530</v>
      </c>
      <c r="E14" s="25">
        <f>+C14+D14</f>
        <v>8080</v>
      </c>
      <c r="F14" s="24">
        <f>+'7 Önk'!G14+'8 PH'!G14+'9 VGIG'!G14+'10 Járób'!G14+'11 Szoci'!G14+'12 Ovi'!G14+'13 Művház'!G14+'14 Könyvt'!G14</f>
        <v>5700</v>
      </c>
      <c r="G14" s="24">
        <f>+'7 Önk'!H14+'8 PH'!H14+'9 VGIG'!H14+'10 Járób'!H14+'11 Szoci'!H14+'12 Ovi'!H14+'13 Művház'!H14+'14 Könyvt'!H14</f>
        <v>2530</v>
      </c>
      <c r="H14" s="25">
        <f>+F14+G14</f>
        <v>8230</v>
      </c>
      <c r="I14" s="30">
        <v>8230</v>
      </c>
      <c r="J14" s="30">
        <f>+I14-H14</f>
        <v>0</v>
      </c>
    </row>
    <row r="15" spans="1:10" ht="12.75">
      <c r="A15" s="47" t="s">
        <v>59</v>
      </c>
      <c r="B15" s="46" t="s">
        <v>60</v>
      </c>
      <c r="C15" s="24">
        <f>+'7 Önk'!D15+'8 PH'!D15+'9 VGIG'!D15+'10 Járób'!D15+'11 Szoci'!D15+'12 Ovi'!D15+'13 Művház'!D15+'14 Könyvt'!D15</f>
        <v>215023</v>
      </c>
      <c r="D15" s="24">
        <f>+'7 Önk'!E15+'8 PH'!E15+'9 VGIG'!E15+'10 Járób'!E15+'11 Szoci'!E15+'12 Ovi'!E15+'13 Művház'!E15+'14 Könyvt'!E15</f>
        <v>85711</v>
      </c>
      <c r="E15" s="25">
        <f>+C15+D15</f>
        <v>300734</v>
      </c>
      <c r="F15" s="24">
        <f>+'7 Önk'!G15+'8 PH'!G15+'9 VGIG'!G15+'10 Járób'!G15+'11 Szoci'!G15+'12 Ovi'!G15+'13 Művház'!G15+'14 Könyvt'!G15</f>
        <v>312641</v>
      </c>
      <c r="G15" s="24">
        <f>+'7 Önk'!H15+'8 PH'!H15+'9 VGIG'!H15+'10 Járób'!H15+'11 Szoci'!H15+'12 Ovi'!H15+'13 Művház'!H15+'14 Könyvt'!H15</f>
        <v>85711</v>
      </c>
      <c r="H15" s="25">
        <f>+F15+G15</f>
        <v>398352</v>
      </c>
      <c r="I15" s="30">
        <v>298663</v>
      </c>
      <c r="J15" s="30">
        <f>+I15-H15</f>
        <v>-99689</v>
      </c>
    </row>
    <row r="16" spans="1:10" ht="12.75">
      <c r="A16" s="50" t="s">
        <v>61</v>
      </c>
      <c r="B16" s="49" t="s">
        <v>62</v>
      </c>
      <c r="C16" s="25">
        <f>SUM(C11:C15)</f>
        <v>695972</v>
      </c>
      <c r="D16" s="25">
        <f>SUM(D11:D15)</f>
        <v>311864</v>
      </c>
      <c r="E16" s="25">
        <f>SUM(E11:E15)</f>
        <v>1007836</v>
      </c>
      <c r="F16" s="25">
        <f>SUM(F11:F15)</f>
        <v>840507</v>
      </c>
      <c r="G16" s="25">
        <f>SUM(G11:G15)</f>
        <v>311864</v>
      </c>
      <c r="H16" s="25">
        <f>SUM(H11:H15)</f>
        <v>1152371</v>
      </c>
      <c r="I16" s="30">
        <v>1038182</v>
      </c>
      <c r="J16" s="30">
        <f>+I16-H16</f>
        <v>-114189</v>
      </c>
    </row>
    <row r="17" spans="1:10" ht="12.75">
      <c r="A17" s="51" t="s">
        <v>63</v>
      </c>
      <c r="B17" s="49" t="s">
        <v>64</v>
      </c>
      <c r="C17" s="25">
        <f>+'7 Önk'!D17+'8 PH'!D17+'9 VGIG'!D17+'10 Járób'!D17+'11 Szoci'!D17+'12 Ovi'!D17+'13 Művház'!D17+'14 Könyvt'!D17+'16 szociális kiad'!D27</f>
        <v>105033</v>
      </c>
      <c r="D17" s="24">
        <f>+'7 Önk'!E17+'8 PH'!E17+'9 VGIG'!E17+'10 Járób'!E17+'11 Szoci'!E17+'12 Ovi'!E17+'13 Művház'!E17+'14 Könyvt'!E17</f>
        <v>0</v>
      </c>
      <c r="E17" s="25">
        <f>+C17+D17</f>
        <v>105033</v>
      </c>
      <c r="F17" s="25">
        <f>+'7 Önk'!G17+'8 PH'!G17+'9 VGIG'!G17+'10 Járób'!G17+'11 Szoci'!G17+'12 Ovi'!G17+'13 Művház'!G17+'14 Könyvt'!G17+'16 szociális kiad'!E27</f>
        <v>105033</v>
      </c>
      <c r="G17" s="24">
        <f>+'7 Önk'!H17+'8 PH'!H17+'9 VGIG'!H17+'10 Járób'!H17+'11 Szoci'!H17+'12 Ovi'!H17+'13 Művház'!H17+'14 Könyvt'!H17</f>
        <v>0</v>
      </c>
      <c r="H17" s="25">
        <f>+F17+G17</f>
        <v>105033</v>
      </c>
      <c r="I17" s="30">
        <v>105033</v>
      </c>
      <c r="J17" s="30">
        <f>+I17-H17</f>
        <v>0</v>
      </c>
    </row>
    <row r="18" spans="1:10" ht="12.75">
      <c r="A18" s="52" t="s">
        <v>65</v>
      </c>
      <c r="B18" s="46" t="s">
        <v>66</v>
      </c>
      <c r="C18" s="24">
        <f>+'7 Önk'!D18+'8 PH'!D18+'9 VGIG'!D18+'10 Járób'!D18+'11 Szoci'!D18+'12 Ovi'!D18+'13 Művház'!D18+'14 Könyvt'!D18</f>
        <v>0</v>
      </c>
      <c r="D18" s="24">
        <f>+'7 Önk'!E18+'8 PH'!E18+'9 VGIG'!E18+'10 Járób'!E18+'11 Szoci'!E18+'12 Ovi'!E18+'13 Művház'!E18+'14 Könyvt'!E18</f>
        <v>0</v>
      </c>
      <c r="E18" s="25">
        <f>+C18+D18</f>
        <v>0</v>
      </c>
      <c r="F18" s="24">
        <f>+'7 Önk'!G18+'8 PH'!G18+'9 VGIG'!G18+'10 Járób'!G18+'11 Szoci'!G18+'12 Ovi'!G18+'13 Művház'!G18+'14 Könyvt'!G18</f>
        <v>0</v>
      </c>
      <c r="G18" s="24">
        <f>+'7 Önk'!H18+'8 PH'!H18+'9 VGIG'!H18+'10 Járób'!H18+'11 Szoci'!H18+'12 Ovi'!H18+'13 Művház'!H18+'14 Könyvt'!H18</f>
        <v>0</v>
      </c>
      <c r="H18" s="25">
        <f>+F18+G18</f>
        <v>0</v>
      </c>
      <c r="J18" s="30">
        <f>+I18-H18</f>
        <v>0</v>
      </c>
    </row>
    <row r="19" spans="1:10" ht="12.75">
      <c r="A19" s="52" t="s">
        <v>67</v>
      </c>
      <c r="B19" s="46" t="s">
        <v>68</v>
      </c>
      <c r="C19" s="24">
        <f>+'7 Önk'!D19+'8 PH'!D19+'9 VGIG'!D19+'10 Járób'!D19+'11 Szoci'!D19+'12 Ovi'!D19+'13 Művház'!D19+'14 Könyvt'!D19</f>
        <v>12806</v>
      </c>
      <c r="D19" s="24">
        <f>+'7 Önk'!E19+'8 PH'!E19+'9 VGIG'!E19+'10 Járób'!E19+'11 Szoci'!E19+'12 Ovi'!E19+'13 Művház'!E19+'14 Könyvt'!E19</f>
        <v>0</v>
      </c>
      <c r="E19" s="25">
        <f>+C19+D19</f>
        <v>12806</v>
      </c>
      <c r="F19" s="24">
        <f>+'7 Önk'!G19+'8 PH'!G19+'9 VGIG'!G19+'10 Járób'!G19+'11 Szoci'!G19+'12 Ovi'!G19+'13 Művház'!G19+'14 Könyvt'!G19</f>
        <v>33074</v>
      </c>
      <c r="G19" s="24">
        <f>+'7 Önk'!H19+'8 PH'!H19+'9 VGIG'!H19+'10 Járób'!H19+'11 Szoci'!H19+'12 Ovi'!H19+'13 Művház'!H19+'14 Könyvt'!H19</f>
        <v>0</v>
      </c>
      <c r="H19" s="25">
        <f>+F19+G19</f>
        <v>33074</v>
      </c>
      <c r="I19" s="30">
        <v>28174</v>
      </c>
      <c r="J19" s="30">
        <f>+I19-H19</f>
        <v>-4900</v>
      </c>
    </row>
    <row r="20" spans="1:10" ht="12.75">
      <c r="A20" s="52" t="s">
        <v>69</v>
      </c>
      <c r="B20" s="46" t="s">
        <v>70</v>
      </c>
      <c r="C20" s="24">
        <f>+'7 Önk'!D20+'8 PH'!D20+'9 VGIG'!D20+'10 Járób'!D20+'11 Szoci'!D20+'12 Ovi'!D20+'13 Művház'!D20+'14 Könyvt'!D20</f>
        <v>0</v>
      </c>
      <c r="D20" s="24">
        <f>+'7 Önk'!E20+'8 PH'!E20+'9 VGIG'!E20+'10 Járób'!E20+'11 Szoci'!E20+'12 Ovi'!E20+'13 Művház'!E20+'14 Könyvt'!E20</f>
        <v>0</v>
      </c>
      <c r="E20" s="25">
        <f>+C20+D20</f>
        <v>0</v>
      </c>
      <c r="F20" s="24">
        <f>+'7 Önk'!G20+'8 PH'!G20+'9 VGIG'!G20+'10 Járób'!G20+'11 Szoci'!G20+'12 Ovi'!G20+'13 Művház'!G20+'14 Könyvt'!G20</f>
        <v>0</v>
      </c>
      <c r="G20" s="24">
        <f>+'7 Önk'!H20+'8 PH'!H20+'9 VGIG'!H20+'10 Járób'!H20+'11 Szoci'!H20+'12 Ovi'!H20+'13 Művház'!H20+'14 Könyvt'!H20</f>
        <v>0</v>
      </c>
      <c r="H20" s="25">
        <f>+F20+G20</f>
        <v>0</v>
      </c>
      <c r="J20" s="30">
        <f>+I20-H20</f>
        <v>0</v>
      </c>
    </row>
    <row r="21" spans="1:10" ht="12.75">
      <c r="A21" s="52" t="s">
        <v>71</v>
      </c>
      <c r="B21" s="46" t="s">
        <v>72</v>
      </c>
      <c r="C21" s="24">
        <f>+'7 Önk'!D21+'8 PH'!D21+'9 VGIG'!D21+'10 Járób'!D21+'11 Szoci'!D21+'12 Ovi'!D21+'13 Művház'!D21+'14 Könyvt'!D21</f>
        <v>0</v>
      </c>
      <c r="D21" s="24">
        <f>+'7 Önk'!E21+'8 PH'!E21+'9 VGIG'!E21+'10 Járób'!E21+'11 Szoci'!E21+'12 Ovi'!E21+'13 Művház'!E21+'14 Könyvt'!E21</f>
        <v>0</v>
      </c>
      <c r="E21" s="25">
        <f>+C21+D21</f>
        <v>0</v>
      </c>
      <c r="F21" s="24">
        <f>+'7 Önk'!G21+'8 PH'!G21+'9 VGIG'!G21+'10 Járób'!G21+'11 Szoci'!G21+'12 Ovi'!G21+'13 Művház'!G21+'14 Könyvt'!G21</f>
        <v>0</v>
      </c>
      <c r="G21" s="24">
        <f>+'7 Önk'!H21+'8 PH'!H21+'9 VGIG'!H21+'10 Járób'!H21+'11 Szoci'!H21+'12 Ovi'!H21+'13 Művház'!H21+'14 Könyvt'!H21</f>
        <v>0</v>
      </c>
      <c r="H21" s="25">
        <f>+F21+G21</f>
        <v>0</v>
      </c>
      <c r="J21" s="30">
        <f>+I21-H21</f>
        <v>0</v>
      </c>
    </row>
    <row r="22" spans="1:10" ht="12.75">
      <c r="A22" s="52" t="s">
        <v>73</v>
      </c>
      <c r="B22" s="46" t="s">
        <v>74</v>
      </c>
      <c r="C22" s="24">
        <f>+'7 Önk'!D22+'8 PH'!D22+'9 VGIG'!D22+'10 Járób'!D22+'11 Szoci'!D22+'12 Ovi'!D22+'13 Művház'!D22+'14 Könyvt'!D22</f>
        <v>0</v>
      </c>
      <c r="D22" s="24">
        <f>+'7 Önk'!E22+'8 PH'!E22+'9 VGIG'!E22+'10 Járób'!E22+'11 Szoci'!E22+'12 Ovi'!E22+'13 Művház'!E22+'14 Könyvt'!E22</f>
        <v>0</v>
      </c>
      <c r="E22" s="25">
        <f>+C22+D22</f>
        <v>0</v>
      </c>
      <c r="F22" s="24">
        <f>+'7 Önk'!G22+'8 PH'!G22+'9 VGIG'!G22+'10 Járób'!G22+'11 Szoci'!G22+'12 Ovi'!G22+'13 Művház'!G22+'14 Könyvt'!G22</f>
        <v>0</v>
      </c>
      <c r="G22" s="24">
        <f>+'7 Önk'!H22+'8 PH'!H22+'9 VGIG'!H22+'10 Járób'!H22+'11 Szoci'!H22+'12 Ovi'!H22+'13 Művház'!H22+'14 Könyvt'!H22</f>
        <v>0</v>
      </c>
      <c r="H22" s="25">
        <f>+F22+G22</f>
        <v>0</v>
      </c>
      <c r="J22" s="30">
        <f>+I22-H22</f>
        <v>0</v>
      </c>
    </row>
    <row r="23" spans="1:10" ht="12.75">
      <c r="A23" s="52" t="s">
        <v>75</v>
      </c>
      <c r="B23" s="46" t="s">
        <v>76</v>
      </c>
      <c r="C23" s="24">
        <f>+'7 Önk'!D23+'8 PH'!D23+'9 VGIG'!D23+'10 Járób'!D23+'11 Szoci'!D23+'12 Ovi'!D23+'13 Művház'!D23+'14 Könyvt'!D23</f>
        <v>150060</v>
      </c>
      <c r="D23" s="24">
        <f>+'7 Önk'!E23+'8 PH'!E23+'9 VGIG'!E23+'10 Járób'!E23+'11 Szoci'!E23+'12 Ovi'!E23+'13 Művház'!E23+'14 Könyvt'!E23</f>
        <v>2000</v>
      </c>
      <c r="E23" s="25">
        <f>+C23+D23</f>
        <v>152060</v>
      </c>
      <c r="F23" s="24">
        <f>+'7 Önk'!G23+'8 PH'!G23+'9 VGIG'!G23+'10 Járób'!G23+'11 Szoci'!G23+'12 Ovi'!G23+'13 Művház'!G23+'14 Könyvt'!G23</f>
        <v>150060</v>
      </c>
      <c r="G23" s="24">
        <f>+'7 Önk'!H23+'8 PH'!H23+'9 VGIG'!H23+'10 Járób'!H23+'11 Szoci'!H23+'12 Ovi'!H23+'13 Művház'!H23+'14 Könyvt'!H23</f>
        <v>2000</v>
      </c>
      <c r="H23" s="25">
        <f>+F23+G23</f>
        <v>152060</v>
      </c>
      <c r="I23" s="30">
        <v>152060</v>
      </c>
      <c r="J23" s="30">
        <f>+I23-H23</f>
        <v>0</v>
      </c>
    </row>
    <row r="24" spans="1:10" ht="12.75">
      <c r="A24" s="52" t="s">
        <v>77</v>
      </c>
      <c r="B24" s="46" t="s">
        <v>78</v>
      </c>
      <c r="C24" s="24">
        <f>+'7 Önk'!D24+'8 PH'!D24+'9 VGIG'!D24+'10 Járób'!D24+'11 Szoci'!D24+'12 Ovi'!D24+'13 Művház'!D24+'14 Könyvt'!D24</f>
        <v>0</v>
      </c>
      <c r="D24" s="24">
        <f>+'7 Önk'!E24+'8 PH'!E24+'9 VGIG'!E24+'10 Járób'!E24+'11 Szoci'!E24+'12 Ovi'!E24+'13 Művház'!E24+'14 Könyvt'!E24</f>
        <v>0</v>
      </c>
      <c r="E24" s="25">
        <f>+C24+D24</f>
        <v>0</v>
      </c>
      <c r="F24" s="24">
        <f>+'7 Önk'!G24+'8 PH'!G24+'9 VGIG'!G24+'10 Járób'!G24+'11 Szoci'!G24+'12 Ovi'!G24+'13 Művház'!G24+'14 Könyvt'!G24</f>
        <v>0</v>
      </c>
      <c r="G24" s="24">
        <f>+'7 Önk'!H24+'8 PH'!H24+'9 VGIG'!H24+'10 Járób'!H24+'11 Szoci'!H24+'12 Ovi'!H24+'13 Művház'!H24+'14 Könyvt'!H24</f>
        <v>0</v>
      </c>
      <c r="H24" s="25">
        <f>+F24+G24</f>
        <v>0</v>
      </c>
      <c r="J24" s="30">
        <f>+I24-H24</f>
        <v>0</v>
      </c>
    </row>
    <row r="25" spans="1:10" ht="12.75">
      <c r="A25" s="52" t="s">
        <v>79</v>
      </c>
      <c r="B25" s="46" t="s">
        <v>80</v>
      </c>
      <c r="C25" s="24">
        <f>+'7 Önk'!D25+'8 PH'!D25+'9 VGIG'!D25+'10 Járób'!D25+'11 Szoci'!D25+'12 Ovi'!D25+'13 Művház'!D25+'14 Könyvt'!D25</f>
        <v>0</v>
      </c>
      <c r="D25" s="24">
        <f>+'7 Önk'!E25+'8 PH'!E25+'9 VGIG'!E25+'10 Járób'!E25+'11 Szoci'!E25+'12 Ovi'!E25+'13 Művház'!E25+'14 Könyvt'!E25</f>
        <v>0</v>
      </c>
      <c r="E25" s="25">
        <f>+C25+D25</f>
        <v>0</v>
      </c>
      <c r="F25" s="24">
        <f>+'7 Önk'!G25+'8 PH'!G25+'9 VGIG'!G25+'10 Járób'!G25+'11 Szoci'!G25+'12 Ovi'!G25+'13 Művház'!G25+'14 Könyvt'!G25</f>
        <v>2549</v>
      </c>
      <c r="G25" s="24">
        <f>+'7 Önk'!H25+'8 PH'!H25+'9 VGIG'!H25+'10 Járób'!H25+'11 Szoci'!H25+'12 Ovi'!H25+'13 Művház'!H25+'14 Könyvt'!H25</f>
        <v>0</v>
      </c>
      <c r="H25" s="25">
        <f>+F25+G25</f>
        <v>2549</v>
      </c>
      <c r="I25" s="30">
        <v>2549</v>
      </c>
      <c r="J25" s="30">
        <f>+I25-H25</f>
        <v>0</v>
      </c>
    </row>
    <row r="26" spans="1:10" ht="12.75">
      <c r="A26" s="52" t="s">
        <v>81</v>
      </c>
      <c r="B26" s="46" t="s">
        <v>82</v>
      </c>
      <c r="C26" s="24">
        <f>+'7 Önk'!D26+'8 PH'!D26+'9 VGIG'!D26+'10 Járób'!D26+'11 Szoci'!D26+'12 Ovi'!D26+'13 Művház'!D26+'14 Könyvt'!D26</f>
        <v>0</v>
      </c>
      <c r="D26" s="24">
        <f>+'7 Önk'!E26+'8 PH'!E26+'9 VGIG'!E26+'10 Járób'!E26+'11 Szoci'!E26+'12 Ovi'!E26+'13 Művház'!E26+'14 Könyvt'!E26</f>
        <v>0</v>
      </c>
      <c r="E26" s="25">
        <f>+C26+D26</f>
        <v>0</v>
      </c>
      <c r="F26" s="24">
        <f>+'7 Önk'!G26+'8 PH'!G26+'9 VGIG'!G26+'10 Járób'!G26+'11 Szoci'!G26+'12 Ovi'!G26+'13 Művház'!G26+'14 Könyvt'!G26</f>
        <v>0</v>
      </c>
      <c r="G26" s="24">
        <f>+'7 Önk'!H26+'8 PH'!H26+'9 VGIG'!H26+'10 Járób'!H26+'11 Szoci'!H26+'12 Ovi'!H26+'13 Művház'!H26+'14 Könyvt'!H26</f>
        <v>0</v>
      </c>
      <c r="H26" s="25">
        <f>+F26+G26</f>
        <v>0</v>
      </c>
      <c r="J26" s="30">
        <f>+I26-H26</f>
        <v>0</v>
      </c>
    </row>
    <row r="27" spans="1:10" ht="12.75">
      <c r="A27" s="53" t="s">
        <v>83</v>
      </c>
      <c r="B27" s="46" t="s">
        <v>84</v>
      </c>
      <c r="C27" s="24">
        <f>+'7 Önk'!D27+'8 PH'!D27+'9 VGIG'!D27+'10 Járób'!D27+'11 Szoci'!D27+'12 Ovi'!D27+'13 Művház'!D27+'14 Könyvt'!D27</f>
        <v>0</v>
      </c>
      <c r="D27" s="24">
        <f>+'7 Önk'!E27+'8 PH'!E27+'9 VGIG'!E27+'10 Járób'!E27+'11 Szoci'!E27+'12 Ovi'!E27+'13 Művház'!E27+'14 Könyvt'!E27</f>
        <v>0</v>
      </c>
      <c r="E27" s="25">
        <f>+C27+D27</f>
        <v>0</v>
      </c>
      <c r="F27" s="24">
        <f>+'7 Önk'!G27+'8 PH'!G27+'9 VGIG'!G27+'10 Járób'!G27+'11 Szoci'!G27+'12 Ovi'!G27+'13 Művház'!G27+'14 Könyvt'!G27</f>
        <v>0</v>
      </c>
      <c r="G27" s="24">
        <f>+'7 Önk'!H27+'8 PH'!H27+'9 VGIG'!H27+'10 Járób'!H27+'11 Szoci'!H27+'12 Ovi'!H27+'13 Művház'!H27+'14 Könyvt'!H27</f>
        <v>0</v>
      </c>
      <c r="H27" s="25">
        <f>+F27+G27</f>
        <v>0</v>
      </c>
      <c r="J27" s="30">
        <f>+I27-H27</f>
        <v>0</v>
      </c>
    </row>
    <row r="28" spans="1:10" ht="12.75">
      <c r="A28" s="52" t="s">
        <v>85</v>
      </c>
      <c r="B28" s="46" t="s">
        <v>86</v>
      </c>
      <c r="C28" s="24"/>
      <c r="D28" s="24"/>
      <c r="E28" s="25"/>
      <c r="F28" s="24"/>
      <c r="G28" s="24"/>
      <c r="H28" s="25"/>
      <c r="J28" s="30">
        <f>+I28-H28</f>
        <v>0</v>
      </c>
    </row>
    <row r="29" spans="1:10" ht="12.75">
      <c r="A29" s="52" t="s">
        <v>87</v>
      </c>
      <c r="B29" s="46" t="s">
        <v>88</v>
      </c>
      <c r="C29" s="24">
        <f>+'7 Önk'!D29+'8 PH'!D29+'9 VGIG'!D29+'10 Járób'!D29+'11 Szoci'!D29+'12 Ovi'!D29+'13 Művház'!D29+'14 Könyvt'!D29</f>
        <v>11693</v>
      </c>
      <c r="D29" s="24">
        <f>+'7 Önk'!E29+'8 PH'!E29+'9 VGIG'!E29+'10 Járób'!E29+'11 Szoci'!E29+'12 Ovi'!E29+'13 Művház'!E29+'14 Könyvt'!E29</f>
        <v>28300</v>
      </c>
      <c r="E29" s="25">
        <f>+C29+D29</f>
        <v>39993</v>
      </c>
      <c r="F29" s="24">
        <f>+'7 Önk'!G29+'8 PH'!G29+'9 VGIG'!G29+'10 Járób'!G29+'11 Szoci'!G29+'12 Ovi'!G29+'13 Művház'!G29+'14 Könyvt'!G29</f>
        <v>11579</v>
      </c>
      <c r="G29" s="24">
        <f>+'7 Önk'!H29+'8 PH'!H29+'9 VGIG'!H29+'10 Járób'!H29+'11 Szoci'!H29+'12 Ovi'!H29+'13 Művház'!H29+'14 Könyvt'!H29</f>
        <v>28872</v>
      </c>
      <c r="H29" s="25">
        <f>+F29+G29</f>
        <v>40451</v>
      </c>
      <c r="I29" s="30">
        <v>40291</v>
      </c>
      <c r="J29" s="30">
        <f>+I29-H29</f>
        <v>-160</v>
      </c>
    </row>
    <row r="30" spans="1:10" ht="12.75">
      <c r="A30" s="53" t="s">
        <v>89</v>
      </c>
      <c r="B30" s="46" t="s">
        <v>90</v>
      </c>
      <c r="C30" s="24">
        <f>+'6 Tart'!D14</f>
        <v>40000</v>
      </c>
      <c r="D30" s="24">
        <f>+'6 Tart'!E14</f>
        <v>0</v>
      </c>
      <c r="E30" s="25">
        <f>+C30+D30</f>
        <v>40000</v>
      </c>
      <c r="F30" s="24">
        <f>+'6 Tart'!G14</f>
        <v>240</v>
      </c>
      <c r="G30" s="24">
        <f>+'6 Tart'!H14</f>
        <v>0</v>
      </c>
      <c r="H30" s="25">
        <f>+F30+G30</f>
        <v>240</v>
      </c>
      <c r="J30" s="30">
        <f>+I30-H30</f>
        <v>-240</v>
      </c>
    </row>
    <row r="31" spans="1:10" ht="12.75">
      <c r="A31" s="53" t="s">
        <v>91</v>
      </c>
      <c r="B31" s="46" t="s">
        <v>90</v>
      </c>
      <c r="C31" s="24">
        <f>+'6 Tart'!D24</f>
        <v>4300</v>
      </c>
      <c r="D31" s="24">
        <f>+'6 Tart'!E24</f>
        <v>0</v>
      </c>
      <c r="E31" s="25">
        <f>+C31+D31</f>
        <v>4300</v>
      </c>
      <c r="F31" s="24">
        <f>+'6 Tart'!G24</f>
        <v>3577</v>
      </c>
      <c r="G31" s="24">
        <f>+'6 Tart'!H24</f>
        <v>0</v>
      </c>
      <c r="H31" s="25">
        <f>+F31+G31</f>
        <v>3577</v>
      </c>
      <c r="I31" s="30">
        <v>3977</v>
      </c>
      <c r="J31" s="30">
        <f>+I31-H31</f>
        <v>400</v>
      </c>
    </row>
    <row r="32" spans="1:10" s="31" customFormat="1" ht="12.75">
      <c r="A32" s="51" t="s">
        <v>92</v>
      </c>
      <c r="B32" s="49" t="s">
        <v>93</v>
      </c>
      <c r="C32" s="25">
        <f>SUM(C18:C31)</f>
        <v>218859</v>
      </c>
      <c r="D32" s="25">
        <f>SUM(D18:D31)</f>
        <v>30300</v>
      </c>
      <c r="E32" s="25">
        <f>SUM(E18:E31)</f>
        <v>249159</v>
      </c>
      <c r="F32" s="25">
        <f>SUM(F18:F31)</f>
        <v>201079</v>
      </c>
      <c r="G32" s="25">
        <f>SUM(G18:G31)</f>
        <v>30872</v>
      </c>
      <c r="H32" s="25">
        <f>SUM(H18:H31)</f>
        <v>231951</v>
      </c>
      <c r="I32" s="30">
        <v>227051</v>
      </c>
      <c r="J32" s="30">
        <f>+I32-H32</f>
        <v>-4900</v>
      </c>
    </row>
    <row r="33" spans="1:10" ht="12.75">
      <c r="A33" s="54" t="s">
        <v>94</v>
      </c>
      <c r="B33" s="55" t="s">
        <v>95</v>
      </c>
      <c r="C33" s="56">
        <f>+C32+C17+C16+C10+C9</f>
        <v>2016266</v>
      </c>
      <c r="D33" s="56">
        <f>+D32+D17+D16+D10+D9</f>
        <v>662514</v>
      </c>
      <c r="E33" s="56">
        <f>+E32+E17+E16+E10+E9</f>
        <v>2678780</v>
      </c>
      <c r="F33" s="56">
        <f>+F32+F17+F16+F10+F9</f>
        <v>2157719</v>
      </c>
      <c r="G33" s="56">
        <f>+G32+G17+G16+G10+G9</f>
        <v>665139</v>
      </c>
      <c r="H33" s="56">
        <f>+H32+H17+H16+H10+H9</f>
        <v>2822858</v>
      </c>
      <c r="I33" s="56">
        <f>+I32+I17+I16+I10+I9</f>
        <v>2703769</v>
      </c>
      <c r="J33" s="30">
        <f>+I33-H33</f>
        <v>-119089</v>
      </c>
    </row>
    <row r="34" spans="1:10" ht="12.75">
      <c r="A34" s="57" t="s">
        <v>96</v>
      </c>
      <c r="B34" s="46" t="s">
        <v>97</v>
      </c>
      <c r="C34" s="24">
        <f>+'7 Önk'!D34+'8 PH'!D34+'9 VGIG'!D34+'10 Járób'!D34+'11 Szoci'!D34+'12 Ovi'!D34+'13 Művház'!D34+'14 Könyvt'!D34+'5 Beruh kiad'!D12</f>
        <v>803</v>
      </c>
      <c r="D34" s="24">
        <f>+'7 Önk'!E34+'8 PH'!E34+'9 VGIG'!E34+'10 Járób'!E34+'11 Szoci'!E34+'12 Ovi'!E34+'13 Művház'!E34+'14 Könyvt'!E34+'5 Beruh kiad'!E12</f>
        <v>40</v>
      </c>
      <c r="E34" s="25">
        <f>+C34+D34</f>
        <v>843</v>
      </c>
      <c r="F34" s="24">
        <f>+'7 Önk'!G34+'8 PH'!G34+'9 VGIG'!G34+'10 Járób'!G34+'11 Szoci'!G34+'12 Ovi'!G34+'13 Művház'!G34+'14 Könyvt'!G34+'5 Beruh kiad'!F12</f>
        <v>889</v>
      </c>
      <c r="G34" s="24">
        <f>+'7 Önk'!H34+'8 PH'!H34+'9 VGIG'!H34+'10 Járób'!H34+'11 Szoci'!H34+'12 Ovi'!H34+'13 Művház'!H34+'14 Könyvt'!H34+'5 Beruh kiad'!G12</f>
        <v>40</v>
      </c>
      <c r="H34" s="25">
        <f>+F34+G34</f>
        <v>929</v>
      </c>
      <c r="I34" s="30">
        <v>929</v>
      </c>
      <c r="J34" s="30">
        <f>+I34-H34</f>
        <v>0</v>
      </c>
    </row>
    <row r="35" spans="1:10" ht="12.75">
      <c r="A35" s="57" t="s">
        <v>98</v>
      </c>
      <c r="B35" s="46" t="s">
        <v>99</v>
      </c>
      <c r="C35" s="24">
        <f>+'7 Önk'!D35+'8 PH'!D35+'9 VGIG'!D35+'10 Járób'!D35+'11 Szoci'!D35+'12 Ovi'!D35+'13 Művház'!D35+'14 Könyvt'!D35+'5 Beruh kiad'!D17</f>
        <v>3150</v>
      </c>
      <c r="D35" s="24">
        <f>+'7 Önk'!E35+'8 PH'!E35+'9 VGIG'!E35+'10 Járób'!E35+'11 Szoci'!E35+'12 Ovi'!E35+'13 Művház'!E35+'14 Könyvt'!E35+'5 Beruh kiad'!E17</f>
        <v>0</v>
      </c>
      <c r="E35" s="25">
        <f>+C35+D35</f>
        <v>3150</v>
      </c>
      <c r="F35" s="24">
        <f>+'7 Önk'!G35+'8 PH'!G35+'9 VGIG'!G35+'10 Járób'!G35+'11 Szoci'!G35+'12 Ovi'!G35+'13 Művház'!G35+'14 Könyvt'!G35+'5 Beruh kiad'!F17</f>
        <v>27351</v>
      </c>
      <c r="G35" s="24">
        <f>+'7 Önk'!H35+'8 PH'!H35+'9 VGIG'!H35+'10 Járób'!H35+'11 Szoci'!H35+'12 Ovi'!H35+'13 Művház'!H35+'14 Könyvt'!H35+'5 Beruh kiad'!G17</f>
        <v>0</v>
      </c>
      <c r="H35" s="25">
        <f>+F35+G35</f>
        <v>27351</v>
      </c>
      <c r="I35" s="30">
        <v>28351</v>
      </c>
      <c r="J35" s="30">
        <f>+I35-H35</f>
        <v>1000</v>
      </c>
    </row>
    <row r="36" spans="1:10" ht="12.75">
      <c r="A36" s="57" t="s">
        <v>100</v>
      </c>
      <c r="B36" s="46" t="s">
        <v>101</v>
      </c>
      <c r="C36" s="24">
        <f>+'7 Önk'!D36+'8 PH'!D36+'9 VGIG'!D36+'10 Járób'!D36+'11 Szoci'!D36+'12 Ovi'!D36+'13 Művház'!D36+'14 Könyvt'!D36+'5 Beruh kiad'!D22</f>
        <v>2079</v>
      </c>
      <c r="D36" s="24">
        <f>+'7 Önk'!E36+'8 PH'!E36+'9 VGIG'!E36+'10 Járób'!E36+'11 Szoci'!E36+'12 Ovi'!E36+'13 Művház'!E36+'14 Könyvt'!E36+'5 Beruh kiad'!E22</f>
        <v>120</v>
      </c>
      <c r="E36" s="25">
        <f>+C36+D36</f>
        <v>2199</v>
      </c>
      <c r="F36" s="24">
        <f>+'7 Önk'!G36+'8 PH'!G36+'9 VGIG'!G36+'10 Járób'!G36+'11 Szoci'!G36+'12 Ovi'!G36+'13 Művház'!G36+'14 Könyvt'!G36+'5 Beruh kiad'!F22</f>
        <v>3107</v>
      </c>
      <c r="G36" s="24">
        <f>+'7 Önk'!H36+'8 PH'!H36+'9 VGIG'!H36+'10 Járób'!H36+'11 Szoci'!H36+'12 Ovi'!H36+'13 Művház'!H36+'14 Könyvt'!H36+'5 Beruh kiad'!G22</f>
        <v>420</v>
      </c>
      <c r="H36" s="25">
        <f>+F36+G36</f>
        <v>3527</v>
      </c>
      <c r="I36" s="30">
        <v>4327</v>
      </c>
      <c r="J36" s="30">
        <f>+I36-H36</f>
        <v>800</v>
      </c>
    </row>
    <row r="37" spans="1:10" ht="12.75">
      <c r="A37" s="57" t="s">
        <v>102</v>
      </c>
      <c r="B37" s="46" t="s">
        <v>103</v>
      </c>
      <c r="C37" s="24">
        <f>+'7 Önk'!D37+'8 PH'!D37+'9 VGIG'!D37+'10 Járób'!D37+'11 Szoci'!D37+'12 Ovi'!D37+'13 Művház'!D37+'14 Könyvt'!D37+'5 Beruh kiad'!D27</f>
        <v>12536</v>
      </c>
      <c r="D37" s="24">
        <f>+'7 Önk'!E37+'8 PH'!E37+'9 VGIG'!E37+'10 Járób'!E37+'11 Szoci'!E37+'12 Ovi'!E37+'13 Művház'!E37+'14 Könyvt'!E37+'5 Beruh kiad'!E27</f>
        <v>48720</v>
      </c>
      <c r="E37" s="25">
        <f>+C37+D37</f>
        <v>61256</v>
      </c>
      <c r="F37" s="24">
        <f>+'7 Önk'!G37+'8 PH'!G37+'9 VGIG'!G37+'10 Járób'!G37+'11 Szoci'!G37+'12 Ovi'!G37+'13 Művház'!G37+'14 Könyvt'!G37+'5 Beruh kiad'!F27</f>
        <v>18375</v>
      </c>
      <c r="G37" s="24">
        <f>+'7 Önk'!H37+'8 PH'!H37+'9 VGIG'!H37+'10 Járób'!H37+'11 Szoci'!H37+'12 Ovi'!H37+'13 Művház'!H37+'14 Könyvt'!H37+'5 Beruh kiad'!G27</f>
        <v>58915</v>
      </c>
      <c r="H37" s="25">
        <f>+F37+G37</f>
        <v>77290</v>
      </c>
      <c r="I37" s="30">
        <v>75490</v>
      </c>
      <c r="J37" s="30">
        <f>+I37-H37</f>
        <v>-1800</v>
      </c>
    </row>
    <row r="38" spans="1:10" ht="12.75">
      <c r="A38" s="58" t="s">
        <v>104</v>
      </c>
      <c r="B38" s="46" t="s">
        <v>105</v>
      </c>
      <c r="C38" s="24">
        <f>+'7 Önk'!D38+'8 PH'!D38+'9 VGIG'!D38+'10 Járób'!D38+'11 Szoci'!D38+'12 Ovi'!D38+'13 Művház'!D38+'14 Könyvt'!D38+'5 Beruh kiad'!D30</f>
        <v>0</v>
      </c>
      <c r="D38" s="24">
        <f>+'7 Önk'!E38+'8 PH'!E38+'9 VGIG'!E38+'10 Járób'!E38+'11 Szoci'!E38+'12 Ovi'!E38+'13 Művház'!E38+'14 Könyvt'!E38+'5 Beruh kiad'!E30</f>
        <v>0</v>
      </c>
      <c r="E38" s="25">
        <f>+C38+D38</f>
        <v>0</v>
      </c>
      <c r="F38" s="24">
        <f>+'7 Önk'!G38+'8 PH'!G38+'9 VGIG'!G38+'10 Járób'!G38+'11 Szoci'!G38+'12 Ovi'!G38+'13 Művház'!G38+'14 Könyvt'!G38+'5 Beruh kiad'!F30</f>
        <v>0</v>
      </c>
      <c r="G38" s="24">
        <f>+'7 Önk'!H38+'8 PH'!H38+'9 VGIG'!H38+'10 Járób'!H38+'11 Szoci'!H38+'12 Ovi'!H38+'13 Művház'!H38+'14 Könyvt'!H38+'5 Beruh kiad'!G30</f>
        <v>0</v>
      </c>
      <c r="H38" s="25">
        <f>+F38+G38</f>
        <v>0</v>
      </c>
      <c r="J38" s="30">
        <f>+I38-H38</f>
        <v>0</v>
      </c>
    </row>
    <row r="39" spans="1:10" ht="12.75">
      <c r="A39" s="58" t="s">
        <v>106</v>
      </c>
      <c r="B39" s="46" t="s">
        <v>107</v>
      </c>
      <c r="C39" s="24">
        <f>+'7 Önk'!D39+'8 PH'!D39+'9 VGIG'!D39+'10 Járób'!D39+'11 Szoci'!D39+'12 Ovi'!D39+'13 Művház'!D39+'14 Könyvt'!D39+'5 Beruh kiad'!D33</f>
        <v>0</v>
      </c>
      <c r="D39" s="24">
        <f>+'7 Önk'!E39+'8 PH'!E39+'9 VGIG'!E39+'10 Járób'!E39+'11 Szoci'!E39+'12 Ovi'!E39+'13 Művház'!E39+'14 Könyvt'!E39+'5 Beruh kiad'!E33</f>
        <v>0</v>
      </c>
      <c r="E39" s="25">
        <f>+C39+D39</f>
        <v>0</v>
      </c>
      <c r="F39" s="24">
        <f>+'7 Önk'!G39+'8 PH'!G39+'9 VGIG'!G39+'10 Járób'!G39+'11 Szoci'!G39+'12 Ovi'!G39+'13 Művház'!G39+'14 Könyvt'!G39+'5 Beruh kiad'!F33</f>
        <v>0</v>
      </c>
      <c r="G39" s="24">
        <f>+'7 Önk'!H39+'8 PH'!H39+'9 VGIG'!H39+'10 Járób'!H39+'11 Szoci'!H39+'12 Ovi'!H39+'13 Művház'!H39+'14 Könyvt'!H39+'5 Beruh kiad'!G33</f>
        <v>0</v>
      </c>
      <c r="H39" s="25">
        <f>+F39+G39</f>
        <v>0</v>
      </c>
      <c r="J39" s="30">
        <f>+I39-H39</f>
        <v>0</v>
      </c>
    </row>
    <row r="40" spans="1:10" ht="12.75">
      <c r="A40" s="58" t="s">
        <v>108</v>
      </c>
      <c r="B40" s="46" t="s">
        <v>109</v>
      </c>
      <c r="C40" s="24">
        <f>+'7 Önk'!D40+'8 PH'!D40+'9 VGIG'!D40+'10 Járób'!D40+'11 Szoci'!D40+'12 Ovi'!D40+'13 Művház'!D40+'14 Könyvt'!D40+'5 Beruh kiad'!D43</f>
        <v>5233</v>
      </c>
      <c r="D40" s="24">
        <f>+'7 Önk'!E40+'8 PH'!E40+'9 VGIG'!E40+'10 Járób'!E40+'11 Szoci'!E40+'12 Ovi'!E40+'13 Művház'!E40+'14 Könyvt'!E40+'5 Beruh kiad'!E43</f>
        <v>13198</v>
      </c>
      <c r="E40" s="25">
        <f>+C40+D40</f>
        <v>18431</v>
      </c>
      <c r="F40" s="24">
        <f>+'7 Önk'!G40+'8 PH'!G40+'9 VGIG'!G40+'10 Járób'!G40+'11 Szoci'!G40+'12 Ovi'!G40+'13 Művház'!G40+'14 Könyvt'!G40+'5 Beruh kiad'!F43</f>
        <v>6981</v>
      </c>
      <c r="G40" s="24">
        <f>+'7 Önk'!H40+'8 PH'!H40+'9 VGIG'!H40+'10 Járób'!H40+'11 Szoci'!H40+'12 Ovi'!H40+'13 Művház'!H40+'14 Könyvt'!H40+'5 Beruh kiad'!G43</f>
        <v>11308</v>
      </c>
      <c r="H40" s="25">
        <f>+F40+G40</f>
        <v>18289</v>
      </c>
      <c r="I40" s="30">
        <v>18289</v>
      </c>
      <c r="J40" s="30">
        <f>+I40-H40</f>
        <v>0</v>
      </c>
    </row>
    <row r="41" spans="1:10" s="31" customFormat="1" ht="12.75">
      <c r="A41" s="59" t="s">
        <v>110</v>
      </c>
      <c r="B41" s="49" t="s">
        <v>111</v>
      </c>
      <c r="C41" s="25">
        <f>SUM(C34:C40)</f>
        <v>23801</v>
      </c>
      <c r="D41" s="25">
        <f>SUM(D34:D40)</f>
        <v>62078</v>
      </c>
      <c r="E41" s="25">
        <f>SUM(E34:E40)</f>
        <v>85879</v>
      </c>
      <c r="F41" s="25">
        <f>SUM(F34:F40)</f>
        <v>56703</v>
      </c>
      <c r="G41" s="25">
        <f>SUM(G34:G40)</f>
        <v>70683</v>
      </c>
      <c r="H41" s="25">
        <f>SUM(H34:H40)</f>
        <v>127386</v>
      </c>
      <c r="I41" s="30">
        <v>127386</v>
      </c>
      <c r="J41" s="30">
        <f>+I41-H41</f>
        <v>0</v>
      </c>
    </row>
    <row r="42" spans="1:10" ht="12.75">
      <c r="A42" s="60" t="s">
        <v>112</v>
      </c>
      <c r="B42" s="46" t="s">
        <v>113</v>
      </c>
      <c r="C42" s="24">
        <f>+'7 Önk'!D42+'8 PH'!D42+'9 VGIG'!D42+'10 Járób'!D42+'11 Szoci'!D42+'12 Ovi'!D42+'13 Művház'!D42+'14 Könyvt'!D42+'5 Beruh kiad'!D59</f>
        <v>538357</v>
      </c>
      <c r="D42" s="24">
        <f>+'7 Önk'!E42+'8 PH'!E42+'9 VGIG'!E42+'10 Járób'!E42+'11 Szoci'!E42+'12 Ovi'!E42+'13 Művház'!E42+'14 Könyvt'!E42+'5 Beruh kiad'!E59</f>
        <v>529251</v>
      </c>
      <c r="E42" s="25">
        <f>+C42+D42</f>
        <v>1067608</v>
      </c>
      <c r="F42" s="24">
        <f>+'7 Önk'!G42+'8 PH'!G42+'9 VGIG'!G42+'10 Járób'!G42+'11 Szoci'!G42+'12 Ovi'!G42+'13 Művház'!G42+'14 Könyvt'!G42+'5 Beruh kiad'!F59</f>
        <v>558338</v>
      </c>
      <c r="G42" s="24">
        <f>+'7 Önk'!H42+'8 PH'!H42+'9 VGIG'!H42+'10 Járób'!H42+'11 Szoci'!H42+'12 Ovi'!H42+'13 Művház'!H42+'14 Könyvt'!H42+'5 Beruh kiad'!G59</f>
        <v>529251</v>
      </c>
      <c r="H42" s="25">
        <f>+F42+G42</f>
        <v>1087589</v>
      </c>
      <c r="I42" s="30">
        <v>1069789</v>
      </c>
      <c r="J42" s="30">
        <f>+I42-H42</f>
        <v>-17800</v>
      </c>
    </row>
    <row r="43" spans="1:10" ht="12.75">
      <c r="A43" s="60" t="s">
        <v>114</v>
      </c>
      <c r="B43" s="46" t="s">
        <v>115</v>
      </c>
      <c r="C43" s="24">
        <f>+'7 Önk'!D43+'8 PH'!D43+'9 VGIG'!D43+'10 Járób'!D43+'11 Szoci'!D43+'12 Ovi'!D43+'13 Művház'!D43+'14 Könyvt'!D43+'5 Beruh kiad'!D62</f>
        <v>0</v>
      </c>
      <c r="D43" s="24">
        <f>+'7 Önk'!E43+'8 PH'!E43+'9 VGIG'!E43+'10 Járób'!E43+'11 Szoci'!E43+'12 Ovi'!E43+'13 Művház'!E43+'14 Könyvt'!E43+'5 Beruh kiad'!E62</f>
        <v>0</v>
      </c>
      <c r="E43" s="25">
        <f>+C43+D43</f>
        <v>0</v>
      </c>
      <c r="F43" s="24">
        <f>+'7 Önk'!G43+'8 PH'!G43+'9 VGIG'!G43+'10 Járób'!G43+'11 Szoci'!G43+'12 Ovi'!G43+'13 Művház'!G43+'14 Könyvt'!G43+'5 Beruh kiad'!F62</f>
        <v>0</v>
      </c>
      <c r="G43" s="24">
        <f>+'7 Önk'!H43+'8 PH'!H43+'9 VGIG'!H43+'10 Járób'!H43+'11 Szoci'!H43+'12 Ovi'!H43+'13 Művház'!H43+'14 Könyvt'!H43+'5 Beruh kiad'!G62</f>
        <v>0</v>
      </c>
      <c r="H43" s="25">
        <f>+F43+G43</f>
        <v>0</v>
      </c>
      <c r="J43" s="30">
        <f>+I43-H43</f>
        <v>0</v>
      </c>
    </row>
    <row r="44" spans="1:10" ht="12.75">
      <c r="A44" s="60" t="s">
        <v>116</v>
      </c>
      <c r="B44" s="46" t="s">
        <v>117</v>
      </c>
      <c r="C44" s="24">
        <f>+'7 Önk'!D44+'8 PH'!D44+'9 VGIG'!D44+'10 Járób'!D44+'11 Szoci'!D44+'12 Ovi'!D44+'13 Művház'!D44+'14 Könyvt'!D44+'5 Beruh kiad'!D65</f>
        <v>149685</v>
      </c>
      <c r="D44" s="24">
        <f>+'7 Önk'!E44+'8 PH'!E44+'9 VGIG'!E44+'10 Járób'!E44+'11 Szoci'!E44+'12 Ovi'!E44+'13 Művház'!E44+'14 Könyvt'!E44+'5 Beruh kiad'!E65</f>
        <v>0</v>
      </c>
      <c r="E44" s="25">
        <f>+C44+D44</f>
        <v>149685</v>
      </c>
      <c r="F44" s="24">
        <f>+'7 Önk'!G44+'8 PH'!G44+'9 VGIG'!G44+'10 Járób'!G44+'11 Szoci'!G44+'12 Ovi'!G44+'13 Művház'!G44+'14 Könyvt'!G44+'5 Beruh kiad'!F65</f>
        <v>149685</v>
      </c>
      <c r="G44" s="24">
        <f>+'7 Önk'!H44+'8 PH'!H44+'9 VGIG'!H44+'10 Járób'!H44+'11 Szoci'!H44+'12 Ovi'!H44+'13 Művház'!H44+'14 Könyvt'!H44+'5 Beruh kiad'!G65</f>
        <v>0</v>
      </c>
      <c r="H44" s="25">
        <f>+F44+G44</f>
        <v>149685</v>
      </c>
      <c r="I44" s="30">
        <v>149685</v>
      </c>
      <c r="J44" s="30">
        <f>+I44-H44</f>
        <v>0</v>
      </c>
    </row>
    <row r="45" spans="1:10" ht="12.75">
      <c r="A45" s="60" t="s">
        <v>118</v>
      </c>
      <c r="B45" s="46" t="s">
        <v>119</v>
      </c>
      <c r="C45" s="24">
        <f>+'7 Önk'!D45+'8 PH'!D45+'9 VGIG'!D45+'10 Járób'!D45+'11 Szoci'!D45+'12 Ovi'!D45+'13 Művház'!D45+'14 Könyvt'!D45+'5 Beruh kiad'!D79</f>
        <v>185773</v>
      </c>
      <c r="D45" s="24">
        <f>+'7 Önk'!E45+'8 PH'!E45+'9 VGIG'!E45+'10 Járób'!E45+'11 Szoci'!E45+'12 Ovi'!E45+'13 Művház'!E45+'14 Könyvt'!E45+'5 Beruh kiad'!E79</f>
        <v>169899</v>
      </c>
      <c r="E45" s="25">
        <f>+C45+D45</f>
        <v>355672</v>
      </c>
      <c r="F45" s="24">
        <f>+'7 Önk'!G45+'8 PH'!G45+'9 VGIG'!G45+'10 Járób'!G45+'11 Szoci'!G45+'12 Ovi'!G45+'13 Művház'!G45+'14 Könyvt'!G45+'5 Beruh kiad'!F79</f>
        <v>185773</v>
      </c>
      <c r="G45" s="24">
        <f>+'7 Önk'!H45+'8 PH'!H45+'9 VGIG'!H45+'10 Járób'!H45+'11 Szoci'!H45+'12 Ovi'!H45+'13 Művház'!H45+'14 Könyvt'!H45+'5 Beruh kiad'!G79</f>
        <v>169899</v>
      </c>
      <c r="H45" s="25">
        <f>+F45+G45</f>
        <v>355672</v>
      </c>
      <c r="I45" s="30">
        <v>355672</v>
      </c>
      <c r="J45" s="30">
        <f>+I45-H45</f>
        <v>0</v>
      </c>
    </row>
    <row r="46" spans="1:10" s="31" customFormat="1" ht="12.75">
      <c r="A46" s="50" t="s">
        <v>120</v>
      </c>
      <c r="B46" s="49" t="s">
        <v>121</v>
      </c>
      <c r="C46" s="25">
        <f>SUM(C42:C45)</f>
        <v>873815</v>
      </c>
      <c r="D46" s="25">
        <f>SUM(D42:D45)</f>
        <v>699150</v>
      </c>
      <c r="E46" s="25">
        <f>SUM(E42:E45)</f>
        <v>1572965</v>
      </c>
      <c r="F46" s="25">
        <f>SUM(F42:F45)</f>
        <v>893796</v>
      </c>
      <c r="G46" s="25">
        <f>SUM(G42:G45)</f>
        <v>699150</v>
      </c>
      <c r="H46" s="25">
        <f>SUM(H42:H45)</f>
        <v>1592946</v>
      </c>
      <c r="I46" s="30">
        <v>1575146</v>
      </c>
      <c r="J46" s="30">
        <f>+I46-H46</f>
        <v>-17800</v>
      </c>
    </row>
    <row r="47" spans="1:10" ht="12.75">
      <c r="A47" s="60" t="s">
        <v>122</v>
      </c>
      <c r="B47" s="46" t="s">
        <v>123</v>
      </c>
      <c r="C47" s="24">
        <f>+'7 Önk'!D47+'8 PH'!D47+'9 VGIG'!D47+'10 Járób'!D47+'11 Szoci'!D47+'12 Ovi'!D47+'13 Művház'!D47+'14 Könyvt'!D47</f>
        <v>0</v>
      </c>
      <c r="D47" s="24">
        <f>+'7 Önk'!E47+'8 PH'!E47+'9 VGIG'!E47+'10 Járób'!E47+'11 Szoci'!E47+'12 Ovi'!E47+'13 Művház'!E47+'14 Könyvt'!E47</f>
        <v>0</v>
      </c>
      <c r="E47" s="25">
        <f>+C47+D47</f>
        <v>0</v>
      </c>
      <c r="F47" s="24">
        <f>+'7 Önk'!G47+'8 PH'!G47+'9 VGIG'!G47+'10 Járób'!G47+'11 Szoci'!G47+'12 Ovi'!G47+'13 Művház'!G47+'14 Könyvt'!G47</f>
        <v>0</v>
      </c>
      <c r="G47" s="24">
        <f>+'7 Önk'!H47+'8 PH'!H47+'9 VGIG'!H47+'10 Járób'!H47+'11 Szoci'!H47+'12 Ovi'!H47+'13 Művház'!H47+'14 Könyvt'!H47</f>
        <v>0</v>
      </c>
      <c r="H47" s="25">
        <f>+F47+G47</f>
        <v>0</v>
      </c>
      <c r="J47" s="30">
        <f>+I47-H47</f>
        <v>0</v>
      </c>
    </row>
    <row r="48" spans="1:10" ht="12.75">
      <c r="A48" s="60" t="s">
        <v>124</v>
      </c>
      <c r="B48" s="46" t="s">
        <v>125</v>
      </c>
      <c r="C48" s="24">
        <f>+'7 Önk'!D48+'8 PH'!D48+'9 VGIG'!D48+'10 Járób'!D48+'11 Szoci'!D48+'12 Ovi'!D48+'13 Művház'!D48+'14 Könyvt'!D48</f>
        <v>0</v>
      </c>
      <c r="D48" s="24">
        <f>+'7 Önk'!E48+'8 PH'!E48+'9 VGIG'!E48+'10 Járób'!E48+'11 Szoci'!E48+'12 Ovi'!E48+'13 Művház'!E48+'14 Könyvt'!E48</f>
        <v>0</v>
      </c>
      <c r="E48" s="25">
        <f>+C48+D48</f>
        <v>0</v>
      </c>
      <c r="F48" s="24">
        <f>+'7 Önk'!G48+'8 PH'!G48+'9 VGIG'!G48+'10 Járób'!G48+'11 Szoci'!G48+'12 Ovi'!G48+'13 Művház'!G48+'14 Könyvt'!G48</f>
        <v>0</v>
      </c>
      <c r="G48" s="24">
        <f>+'7 Önk'!H48+'8 PH'!H48+'9 VGIG'!H48+'10 Járób'!H48+'11 Szoci'!H48+'12 Ovi'!H48+'13 Művház'!H48+'14 Könyvt'!H48</f>
        <v>0</v>
      </c>
      <c r="H48" s="25">
        <f>+F48+G48</f>
        <v>0</v>
      </c>
      <c r="J48" s="30">
        <f>+I48-H48</f>
        <v>0</v>
      </c>
    </row>
    <row r="49" spans="1:10" ht="12.75">
      <c r="A49" s="60" t="s">
        <v>126</v>
      </c>
      <c r="B49" s="46" t="s">
        <v>127</v>
      </c>
      <c r="C49" s="24">
        <f>+'7 Önk'!D49+'8 PH'!D49+'9 VGIG'!D49+'10 Járób'!D49+'11 Szoci'!D49+'12 Ovi'!D49+'13 Művház'!D49+'14 Könyvt'!D49</f>
        <v>0</v>
      </c>
      <c r="D49" s="24">
        <f>+'7 Önk'!E49+'8 PH'!E49+'9 VGIG'!E49+'10 Járób'!E49+'11 Szoci'!E49+'12 Ovi'!E49+'13 Művház'!E49+'14 Könyvt'!E49</f>
        <v>0</v>
      </c>
      <c r="E49" s="25">
        <f>+C49+D49</f>
        <v>0</v>
      </c>
      <c r="F49" s="24">
        <f>+'7 Önk'!G49+'8 PH'!G49+'9 VGIG'!G49+'10 Járób'!G49+'11 Szoci'!G49+'12 Ovi'!G49+'13 Művház'!G49+'14 Könyvt'!G49</f>
        <v>0</v>
      </c>
      <c r="G49" s="24">
        <f>+'7 Önk'!H49+'8 PH'!H49+'9 VGIG'!H49+'10 Járób'!H49+'11 Szoci'!H49+'12 Ovi'!H49+'13 Művház'!H49+'14 Könyvt'!H49</f>
        <v>0</v>
      </c>
      <c r="H49" s="25">
        <f>+F49+G49</f>
        <v>0</v>
      </c>
      <c r="J49" s="30">
        <f>+I49-H49</f>
        <v>0</v>
      </c>
    </row>
    <row r="50" spans="1:10" ht="12.75">
      <c r="A50" s="60" t="s">
        <v>128</v>
      </c>
      <c r="B50" s="46" t="s">
        <v>129</v>
      </c>
      <c r="C50" s="24">
        <f>+'7 Önk'!D50+'8 PH'!D50+'9 VGIG'!D50+'10 Járób'!D50+'11 Szoci'!D50+'12 Ovi'!D50+'13 Művház'!D50+'14 Könyvt'!D50</f>
        <v>59132</v>
      </c>
      <c r="D50" s="24">
        <f>+'7 Önk'!E50+'8 PH'!E50+'9 VGIG'!E50+'10 Járób'!E50+'11 Szoci'!E50+'12 Ovi'!E50+'13 Művház'!E50+'14 Könyvt'!E50</f>
        <v>0</v>
      </c>
      <c r="E50" s="25">
        <f>+C50+D50</f>
        <v>59132</v>
      </c>
      <c r="F50" s="24">
        <f>+'7 Önk'!G50+'8 PH'!G50+'9 VGIG'!G50+'10 Járób'!G50+'11 Szoci'!G50+'12 Ovi'!G50+'13 Művház'!G50+'14 Könyvt'!G50</f>
        <v>59132</v>
      </c>
      <c r="G50" s="24">
        <f>+'7 Önk'!H50+'8 PH'!H50+'9 VGIG'!H50+'10 Járób'!H50+'11 Szoci'!H50+'12 Ovi'!H50+'13 Művház'!H50+'14 Könyvt'!H50</f>
        <v>0</v>
      </c>
      <c r="H50" s="25">
        <f>+F50+G50</f>
        <v>59132</v>
      </c>
      <c r="I50" s="30">
        <v>59132</v>
      </c>
      <c r="J50" s="30">
        <f>+I50-H50</f>
        <v>0</v>
      </c>
    </row>
    <row r="51" spans="1:10" ht="12.75">
      <c r="A51" s="60" t="s">
        <v>130</v>
      </c>
      <c r="B51" s="46" t="s">
        <v>131</v>
      </c>
      <c r="C51" s="24">
        <f>+'7 Önk'!D51+'8 PH'!D51+'9 VGIG'!D51+'10 Járób'!D51+'11 Szoci'!D51+'12 Ovi'!D51+'13 Művház'!D51+'14 Könyvt'!D51</f>
        <v>0</v>
      </c>
      <c r="D51" s="24">
        <f>+'7 Önk'!E51+'8 PH'!E51+'9 VGIG'!E51+'10 Járób'!E51+'11 Szoci'!E51+'12 Ovi'!E51+'13 Művház'!E51+'14 Könyvt'!E51</f>
        <v>0</v>
      </c>
      <c r="E51" s="25">
        <f>+C51+D51</f>
        <v>0</v>
      </c>
      <c r="F51" s="24">
        <f>+'7 Önk'!G51+'8 PH'!G51+'9 VGIG'!G51+'10 Járób'!G51+'11 Szoci'!G51+'12 Ovi'!G51+'13 Művház'!G51+'14 Könyvt'!G51</f>
        <v>0</v>
      </c>
      <c r="G51" s="24">
        <f>+'7 Önk'!H51+'8 PH'!H51+'9 VGIG'!H51+'10 Járób'!H51+'11 Szoci'!H51+'12 Ovi'!H51+'13 Művház'!H51+'14 Könyvt'!H51</f>
        <v>0</v>
      </c>
      <c r="H51" s="25">
        <f>+F51+G51</f>
        <v>0</v>
      </c>
      <c r="J51" s="30">
        <f>+I51-H51</f>
        <v>0</v>
      </c>
    </row>
    <row r="52" spans="1:10" ht="12.75">
      <c r="A52" s="60" t="s">
        <v>132</v>
      </c>
      <c r="B52" s="46" t="s">
        <v>133</v>
      </c>
      <c r="C52" s="24">
        <f>+'7 Önk'!D52+'8 PH'!D52+'9 VGIG'!D52+'10 Járób'!D52+'11 Szoci'!D52+'12 Ovi'!D52+'13 Művház'!D52+'14 Könyvt'!D52</f>
        <v>0</v>
      </c>
      <c r="D52" s="24">
        <f>+'7 Önk'!E52+'8 PH'!E52+'9 VGIG'!E52+'10 Járób'!E52+'11 Szoci'!E52+'12 Ovi'!E52+'13 Művház'!E52+'14 Könyvt'!E52</f>
        <v>0</v>
      </c>
      <c r="E52" s="25">
        <f>+C52+D52</f>
        <v>0</v>
      </c>
      <c r="F52" s="24">
        <f>+'7 Önk'!G52+'8 PH'!G52+'9 VGIG'!G52+'10 Járób'!G52+'11 Szoci'!G52+'12 Ovi'!G52+'13 Művház'!G52+'14 Könyvt'!G52</f>
        <v>0</v>
      </c>
      <c r="G52" s="24">
        <f>+'7 Önk'!H52+'8 PH'!H52+'9 VGIG'!H52+'10 Járób'!H52+'11 Szoci'!H52+'12 Ovi'!H52+'13 Művház'!H52+'14 Könyvt'!H52</f>
        <v>0</v>
      </c>
      <c r="H52" s="25">
        <f>+F52+G52</f>
        <v>0</v>
      </c>
      <c r="J52" s="30">
        <f>+I52-H52</f>
        <v>0</v>
      </c>
    </row>
    <row r="53" spans="1:10" ht="12.75">
      <c r="A53" s="60" t="s">
        <v>134</v>
      </c>
      <c r="B53" s="46" t="s">
        <v>135</v>
      </c>
      <c r="C53" s="24">
        <f>+'7 Önk'!D53+'8 PH'!D53+'9 VGIG'!D53+'10 Járób'!D53+'11 Szoci'!D53+'12 Ovi'!D53+'13 Művház'!D53+'14 Könyvt'!D53</f>
        <v>0</v>
      </c>
      <c r="D53" s="24">
        <f>+'7 Önk'!E53+'8 PH'!E53+'9 VGIG'!E53+'10 Járób'!E53+'11 Szoci'!E53+'12 Ovi'!E53+'13 Művház'!E53+'14 Könyvt'!E53</f>
        <v>0</v>
      </c>
      <c r="E53" s="25">
        <f>+C53+D53</f>
        <v>0</v>
      </c>
      <c r="F53" s="24">
        <f>+'7 Önk'!G53+'8 PH'!G53+'9 VGIG'!G53+'10 Járób'!G53+'11 Szoci'!G53+'12 Ovi'!G53+'13 Művház'!G53+'14 Könyvt'!G53</f>
        <v>0</v>
      </c>
      <c r="G53" s="24">
        <f>+'7 Önk'!H53+'8 PH'!H53+'9 VGIG'!H53+'10 Járób'!H53+'11 Szoci'!H53+'12 Ovi'!H53+'13 Művház'!H53+'14 Könyvt'!H53</f>
        <v>0</v>
      </c>
      <c r="H53" s="25">
        <f>+F53+G53</f>
        <v>0</v>
      </c>
      <c r="J53" s="30">
        <f>+I53-H53</f>
        <v>0</v>
      </c>
    </row>
    <row r="54" spans="1:10" ht="12.75">
      <c r="A54" s="60" t="s">
        <v>136</v>
      </c>
      <c r="B54" s="46" t="s">
        <v>137</v>
      </c>
      <c r="C54" s="24"/>
      <c r="D54" s="24"/>
      <c r="E54" s="25"/>
      <c r="F54" s="24"/>
      <c r="G54" s="24"/>
      <c r="H54" s="25"/>
      <c r="J54" s="30">
        <f>+I54-H54</f>
        <v>0</v>
      </c>
    </row>
    <row r="55" spans="1:10" ht="12.75">
      <c r="A55" s="60" t="s">
        <v>138</v>
      </c>
      <c r="B55" s="46" t="s">
        <v>139</v>
      </c>
      <c r="C55" s="24">
        <f>+'7 Önk'!D55+'8 PH'!D55+'9 VGIG'!D55+'10 Járób'!D55+'11 Szoci'!D55+'12 Ovi'!D55+'13 Művház'!D55+'14 Könyvt'!D55</f>
        <v>0</v>
      </c>
      <c r="D55" s="24">
        <f>+'7 Önk'!E55+'8 PH'!E55+'9 VGIG'!E55+'10 Járób'!E55+'11 Szoci'!E55+'12 Ovi'!E55+'13 Művház'!E55+'14 Könyvt'!E55</f>
        <v>3000</v>
      </c>
      <c r="E55" s="25">
        <f>+C55+D55</f>
        <v>3000</v>
      </c>
      <c r="F55" s="24">
        <f>+'7 Önk'!G55+'8 PH'!G55+'9 VGIG'!G55+'10 Járób'!G55+'11 Szoci'!G55+'12 Ovi'!G55+'13 Művház'!G55+'14 Könyvt'!G55</f>
        <v>0</v>
      </c>
      <c r="G55" s="24">
        <f>+'7 Önk'!H55+'8 PH'!H55+'9 VGIG'!H55+'10 Járób'!H55+'11 Szoci'!H55+'12 Ovi'!H55+'13 Művház'!H55+'14 Könyvt'!H55</f>
        <v>3000</v>
      </c>
      <c r="H55" s="25">
        <f>+F55+G55</f>
        <v>3000</v>
      </c>
      <c r="I55" s="30">
        <v>3000</v>
      </c>
      <c r="J55" s="30">
        <f>+I55-H55</f>
        <v>0</v>
      </c>
    </row>
    <row r="56" spans="1:10" s="31" customFormat="1" ht="12.75">
      <c r="A56" s="51" t="s">
        <v>140</v>
      </c>
      <c r="B56" s="49" t="s">
        <v>141</v>
      </c>
      <c r="C56" s="25">
        <f>SUM(C47:C55)</f>
        <v>59132</v>
      </c>
      <c r="D56" s="25">
        <f>SUM(D47:D55)</f>
        <v>3000</v>
      </c>
      <c r="E56" s="25">
        <f>SUM(E47:E55)</f>
        <v>62132</v>
      </c>
      <c r="F56" s="25">
        <f>SUM(F47:F55)</f>
        <v>59132</v>
      </c>
      <c r="G56" s="25">
        <f>SUM(G47:G55)</f>
        <v>3000</v>
      </c>
      <c r="H56" s="25">
        <f>SUM(H47:H55)</f>
        <v>62132</v>
      </c>
      <c r="I56" s="30">
        <v>62132</v>
      </c>
      <c r="J56" s="30">
        <f>+I56-H56</f>
        <v>0</v>
      </c>
    </row>
    <row r="57" spans="1:10" ht="12.75">
      <c r="A57" s="54" t="s">
        <v>142</v>
      </c>
      <c r="B57" s="55" t="s">
        <v>143</v>
      </c>
      <c r="C57" s="56">
        <f>+C56+C46+C41</f>
        <v>956748</v>
      </c>
      <c r="D57" s="56">
        <f>+D56+D46+D41</f>
        <v>764228</v>
      </c>
      <c r="E57" s="56">
        <f>+E56+E46+E41</f>
        <v>1720976</v>
      </c>
      <c r="F57" s="56">
        <f>+F56+F46+F41</f>
        <v>1009631</v>
      </c>
      <c r="G57" s="56">
        <f>+G56+G46+G41</f>
        <v>772833</v>
      </c>
      <c r="H57" s="56">
        <f>+H56+H46+H41</f>
        <v>1782464</v>
      </c>
      <c r="J57" s="30">
        <f>+I57-H57</f>
        <v>-1782464</v>
      </c>
    </row>
    <row r="58" spans="1:10" ht="12.75">
      <c r="A58" s="61" t="s">
        <v>144</v>
      </c>
      <c r="B58" s="62" t="s">
        <v>145</v>
      </c>
      <c r="C58" s="63">
        <f>+C56+C46+C41+C32+C17+C16+C10+C9</f>
        <v>2973014</v>
      </c>
      <c r="D58" s="63">
        <f>+D56+D46+D41+D32+D17+D16+D10+D9</f>
        <v>1426742</v>
      </c>
      <c r="E58" s="63">
        <f>+E56+E46+E41+E32+E17+E16+E10+E9</f>
        <v>4399756</v>
      </c>
      <c r="F58" s="63">
        <f>+F56+F46+F41+F32+F17+F16+F10+F9</f>
        <v>3167350</v>
      </c>
      <c r="G58" s="63">
        <f>+G56+G46+G41+G32+G17+G16+G10+G9</f>
        <v>1437972</v>
      </c>
      <c r="H58" s="63">
        <f>+H56+H46+H41+H32+H17+H16+H10+H9</f>
        <v>4605322</v>
      </c>
      <c r="I58" s="30">
        <v>4468433</v>
      </c>
      <c r="J58" s="30">
        <f>+I58-H58</f>
        <v>-136889</v>
      </c>
    </row>
    <row r="59" spans="1:18" ht="12.75">
      <c r="A59" s="60" t="s">
        <v>146</v>
      </c>
      <c r="B59" s="47" t="s">
        <v>147</v>
      </c>
      <c r="C59" s="24">
        <f>+'17 hitelek'!D13</f>
        <v>0</v>
      </c>
      <c r="D59" s="24">
        <f>+'17 hitelek'!E13</f>
        <v>0</v>
      </c>
      <c r="E59" s="25">
        <f>+C59+D59</f>
        <v>0</v>
      </c>
      <c r="F59" s="24">
        <f>+'17 hitelek'!F13</f>
        <v>0</v>
      </c>
      <c r="G59" s="24">
        <f>+'17 hitelek'!G13</f>
        <v>0</v>
      </c>
      <c r="H59" s="25">
        <f>+F59+G59</f>
        <v>0</v>
      </c>
      <c r="J59" s="30">
        <f>+I59-H59</f>
        <v>0</v>
      </c>
      <c r="K59" s="64"/>
      <c r="L59" s="64"/>
      <c r="M59" s="64"/>
      <c r="N59" s="64"/>
      <c r="O59" s="64"/>
      <c r="P59" s="64"/>
      <c r="Q59" s="65"/>
      <c r="R59" s="65"/>
    </row>
    <row r="60" spans="1:18" ht="12.75">
      <c r="A60" s="60" t="s">
        <v>148</v>
      </c>
      <c r="B60" s="47" t="s">
        <v>149</v>
      </c>
      <c r="C60" s="24">
        <f>+'17 hitelek'!D16</f>
        <v>0</v>
      </c>
      <c r="D60" s="24">
        <f>+'17 hitelek'!E16</f>
        <v>0</v>
      </c>
      <c r="E60" s="25">
        <f>+C60+D60</f>
        <v>0</v>
      </c>
      <c r="F60" s="24">
        <f>+'17 hitelek'!F16</f>
        <v>0</v>
      </c>
      <c r="G60" s="24">
        <f>+'17 hitelek'!G16</f>
        <v>0</v>
      </c>
      <c r="H60" s="25">
        <f>+F60+G60</f>
        <v>0</v>
      </c>
      <c r="J60" s="30">
        <f>+I60-H60</f>
        <v>0</v>
      </c>
      <c r="K60" s="64"/>
      <c r="L60" s="64"/>
      <c r="M60" s="64"/>
      <c r="N60" s="64"/>
      <c r="O60" s="64"/>
      <c r="P60" s="64"/>
      <c r="Q60" s="65"/>
      <c r="R60" s="65"/>
    </row>
    <row r="61" spans="1:18" ht="12.75">
      <c r="A61" s="60" t="s">
        <v>150</v>
      </c>
      <c r="B61" s="47" t="s">
        <v>151</v>
      </c>
      <c r="C61" s="24">
        <f>+'17 hitelek'!D19</f>
        <v>88500</v>
      </c>
      <c r="D61" s="24">
        <f>+'17 hitelek'!E19</f>
        <v>0</v>
      </c>
      <c r="E61" s="25">
        <f>+C61+D61</f>
        <v>88500</v>
      </c>
      <c r="F61" s="24">
        <f>+'17 hitelek'!F19</f>
        <v>88500</v>
      </c>
      <c r="G61" s="24">
        <f>+'17 hitelek'!G19</f>
        <v>0</v>
      </c>
      <c r="H61" s="25">
        <f>+F61+G61</f>
        <v>88500</v>
      </c>
      <c r="I61" s="30">
        <v>88500</v>
      </c>
      <c r="J61" s="30">
        <f>+I61-H61</f>
        <v>0</v>
      </c>
      <c r="K61" s="64"/>
      <c r="L61" s="64"/>
      <c r="M61" s="64"/>
      <c r="N61" s="64"/>
      <c r="O61" s="64"/>
      <c r="P61" s="64"/>
      <c r="Q61" s="65"/>
      <c r="R61" s="65"/>
    </row>
    <row r="62" spans="1:18" ht="12.75">
      <c r="A62" s="51" t="s">
        <v>152</v>
      </c>
      <c r="B62" s="50" t="s">
        <v>153</v>
      </c>
      <c r="C62" s="66">
        <f>SUM(C59:C61)</f>
        <v>88500</v>
      </c>
      <c r="D62" s="66">
        <f>SUM(D59:D61)</f>
        <v>0</v>
      </c>
      <c r="E62" s="66">
        <f>SUM(E59:E61)</f>
        <v>88500</v>
      </c>
      <c r="F62" s="66">
        <f>SUM(F59:F61)</f>
        <v>88500</v>
      </c>
      <c r="G62" s="66">
        <f>SUM(G59:G61)</f>
        <v>0</v>
      </c>
      <c r="H62" s="66">
        <f>SUM(H59:H61)</f>
        <v>88500</v>
      </c>
      <c r="I62" s="30">
        <v>88500</v>
      </c>
      <c r="J62" s="30">
        <f>+I62-H62</f>
        <v>0</v>
      </c>
      <c r="K62" s="67"/>
      <c r="L62" s="67"/>
      <c r="M62" s="67"/>
      <c r="N62" s="67"/>
      <c r="O62" s="67"/>
      <c r="P62" s="67"/>
      <c r="Q62" s="65"/>
      <c r="R62" s="65"/>
    </row>
    <row r="63" spans="1:18" ht="12.75">
      <c r="A63" s="68" t="s">
        <v>154</v>
      </c>
      <c r="B63" s="47" t="s">
        <v>155</v>
      </c>
      <c r="C63" s="69"/>
      <c r="D63" s="69"/>
      <c r="E63" s="25">
        <f>+C63+D63</f>
        <v>0</v>
      </c>
      <c r="F63" s="69"/>
      <c r="G63" s="69"/>
      <c r="H63" s="25">
        <f>+F63+G63</f>
        <v>0</v>
      </c>
      <c r="J63" s="30">
        <f>+I63-H63</f>
        <v>0</v>
      </c>
      <c r="K63" s="70"/>
      <c r="L63" s="70"/>
      <c r="M63" s="70"/>
      <c r="N63" s="70"/>
      <c r="O63" s="70"/>
      <c r="P63" s="70"/>
      <c r="Q63" s="65"/>
      <c r="R63" s="65"/>
    </row>
    <row r="64" spans="1:18" ht="12.75">
      <c r="A64" s="68" t="s">
        <v>156</v>
      </c>
      <c r="B64" s="47" t="s">
        <v>157</v>
      </c>
      <c r="C64" s="24"/>
      <c r="D64" s="24"/>
      <c r="E64" s="25">
        <f>+C64+D64</f>
        <v>0</v>
      </c>
      <c r="F64" s="24"/>
      <c r="G64" s="24"/>
      <c r="H64" s="25">
        <f>+F64+G64</f>
        <v>0</v>
      </c>
      <c r="J64" s="30">
        <f>+I64-H64</f>
        <v>0</v>
      </c>
      <c r="K64" s="71"/>
      <c r="L64" s="71"/>
      <c r="M64" s="71"/>
      <c r="N64" s="71"/>
      <c r="O64" s="71"/>
      <c r="P64" s="71"/>
      <c r="Q64" s="65"/>
      <c r="R64" s="65"/>
    </row>
    <row r="65" spans="1:18" ht="12.75">
      <c r="A65" s="68" t="s">
        <v>158</v>
      </c>
      <c r="B65" s="47" t="s">
        <v>159</v>
      </c>
      <c r="C65" s="24"/>
      <c r="D65" s="24"/>
      <c r="E65" s="25">
        <f>+C65+D65</f>
        <v>0</v>
      </c>
      <c r="F65" s="24">
        <f>+'17 hitelek'!F35</f>
        <v>25996</v>
      </c>
      <c r="G65" s="24"/>
      <c r="H65" s="25">
        <f>+F65+G65</f>
        <v>25996</v>
      </c>
      <c r="I65" s="30">
        <v>25996</v>
      </c>
      <c r="J65" s="30">
        <f>+I65-H65</f>
        <v>0</v>
      </c>
      <c r="K65" s="71"/>
      <c r="L65" s="71"/>
      <c r="M65" s="71"/>
      <c r="N65" s="71"/>
      <c r="O65" s="71"/>
      <c r="P65" s="71"/>
      <c r="Q65" s="65"/>
      <c r="R65" s="65"/>
    </row>
    <row r="66" spans="1:18" ht="12.75">
      <c r="A66" s="68" t="s">
        <v>160</v>
      </c>
      <c r="B66" s="47" t="s">
        <v>161</v>
      </c>
      <c r="C66" s="24"/>
      <c r="D66" s="24"/>
      <c r="E66" s="25">
        <f>+C66+D66</f>
        <v>0</v>
      </c>
      <c r="F66" s="24"/>
      <c r="G66" s="24"/>
      <c r="H66" s="25">
        <f>+F66+G66</f>
        <v>0</v>
      </c>
      <c r="J66" s="30">
        <f>+I66-H66</f>
        <v>0</v>
      </c>
      <c r="K66" s="71"/>
      <c r="L66" s="71"/>
      <c r="M66" s="71"/>
      <c r="N66" s="71"/>
      <c r="O66" s="71"/>
      <c r="P66" s="71"/>
      <c r="Q66" s="65"/>
      <c r="R66" s="65"/>
    </row>
    <row r="67" spans="1:18" ht="12.75">
      <c r="A67" s="68" t="s">
        <v>162</v>
      </c>
      <c r="B67" s="47" t="s">
        <v>163</v>
      </c>
      <c r="C67" s="24"/>
      <c r="D67" s="24"/>
      <c r="E67" s="25">
        <f>+C67+D67</f>
        <v>0</v>
      </c>
      <c r="F67" s="24"/>
      <c r="G67" s="24"/>
      <c r="H67" s="25">
        <f>+F67+G67</f>
        <v>0</v>
      </c>
      <c r="J67" s="30">
        <f>+I67-H67</f>
        <v>0</v>
      </c>
      <c r="K67" s="71"/>
      <c r="L67" s="71"/>
      <c r="M67" s="71"/>
      <c r="N67" s="71"/>
      <c r="O67" s="71"/>
      <c r="P67" s="71"/>
      <c r="Q67" s="65"/>
      <c r="R67" s="65"/>
    </row>
    <row r="68" spans="1:18" ht="12.75">
      <c r="A68" s="68" t="s">
        <v>164</v>
      </c>
      <c r="B68" s="47" t="s">
        <v>165</v>
      </c>
      <c r="C68" s="24"/>
      <c r="D68" s="24"/>
      <c r="E68" s="25">
        <f>+C68+D68</f>
        <v>0</v>
      </c>
      <c r="F68" s="24"/>
      <c r="G68" s="24"/>
      <c r="H68" s="25">
        <f>+F68+G68</f>
        <v>0</v>
      </c>
      <c r="J68" s="30">
        <f>+I68-H68</f>
        <v>0</v>
      </c>
      <c r="K68" s="71"/>
      <c r="L68" s="71"/>
      <c r="M68" s="71"/>
      <c r="N68" s="71"/>
      <c r="O68" s="71"/>
      <c r="P68" s="71"/>
      <c r="Q68" s="65"/>
      <c r="R68" s="65"/>
    </row>
    <row r="69" spans="1:18" ht="12.75">
      <c r="A69" s="68" t="s">
        <v>166</v>
      </c>
      <c r="B69" s="47" t="s">
        <v>167</v>
      </c>
      <c r="C69" s="24"/>
      <c r="D69" s="24"/>
      <c r="E69" s="25">
        <f>+C69+D69</f>
        <v>0</v>
      </c>
      <c r="F69" s="24"/>
      <c r="G69" s="24"/>
      <c r="H69" s="25">
        <f>+F69+G69</f>
        <v>0</v>
      </c>
      <c r="J69" s="30">
        <f>+I69-H69</f>
        <v>0</v>
      </c>
      <c r="K69" s="71"/>
      <c r="L69" s="71"/>
      <c r="M69" s="71"/>
      <c r="N69" s="71"/>
      <c r="O69" s="71"/>
      <c r="P69" s="71"/>
      <c r="Q69" s="65"/>
      <c r="R69" s="65"/>
    </row>
    <row r="70" spans="1:18" ht="12.75">
      <c r="A70" s="68" t="s">
        <v>168</v>
      </c>
      <c r="B70" s="47" t="s">
        <v>169</v>
      </c>
      <c r="C70" s="24"/>
      <c r="D70" s="24"/>
      <c r="E70" s="25"/>
      <c r="F70" s="24"/>
      <c r="G70" s="24"/>
      <c r="H70" s="25"/>
      <c r="J70" s="30">
        <f>+I70-H70</f>
        <v>0</v>
      </c>
      <c r="K70" s="71"/>
      <c r="L70" s="71"/>
      <c r="M70" s="71"/>
      <c r="N70" s="71"/>
      <c r="O70" s="71"/>
      <c r="P70" s="71"/>
      <c r="Q70" s="65"/>
      <c r="R70" s="65"/>
    </row>
    <row r="71" spans="1:18" ht="12.75">
      <c r="A71" s="72" t="s">
        <v>170</v>
      </c>
      <c r="B71" s="50" t="s">
        <v>171</v>
      </c>
      <c r="C71" s="69">
        <f>+C69+C68+C67+C66+C65+C64+C63+C62</f>
        <v>88500</v>
      </c>
      <c r="D71" s="69">
        <f>+D69+D68+D67+D66+D65+D64+D63+D62</f>
        <v>0</v>
      </c>
      <c r="E71" s="69">
        <f>+E69+E68+E67+E66+E65+E64+E63+E62</f>
        <v>88500</v>
      </c>
      <c r="F71" s="69">
        <f>+F69+F68+F67+F66+F65+F64+F63+F62</f>
        <v>114496</v>
      </c>
      <c r="G71" s="69">
        <f>+G69+G68+G67+G66+G65+G64+G63+G62</f>
        <v>0</v>
      </c>
      <c r="H71" s="69">
        <f>+H69+H68+H67+H66+H65+H64+H63+H62</f>
        <v>114496</v>
      </c>
      <c r="J71" s="30">
        <f>+I71-H71</f>
        <v>-114496</v>
      </c>
      <c r="K71" s="70"/>
      <c r="L71" s="70"/>
      <c r="M71" s="70"/>
      <c r="N71" s="70"/>
      <c r="O71" s="70"/>
      <c r="P71" s="70"/>
      <c r="Q71" s="65"/>
      <c r="R71" s="65"/>
    </row>
    <row r="72" spans="1:18" ht="12.75">
      <c r="A72" s="68" t="s">
        <v>172</v>
      </c>
      <c r="B72" s="47" t="s">
        <v>173</v>
      </c>
      <c r="C72" s="24">
        <f>+'7 Önk'!D60+'8 PH'!D60+'9 VGIG'!D60+'10 Járób'!D60+'11 Szoci'!D60+'12 Ovi'!D60+'13 Művház'!D60+'14 Könyvt'!D60</f>
        <v>0</v>
      </c>
      <c r="D72" s="24">
        <f>+'7 Önk'!E60+'8 PH'!E60+'9 VGIG'!E60+'10 Járób'!E60+'11 Szoci'!E60+'12 Ovi'!E60+'13 Művház'!E60+'14 Könyvt'!E60</f>
        <v>0</v>
      </c>
      <c r="E72" s="25">
        <f>+C72+D72</f>
        <v>0</v>
      </c>
      <c r="F72" s="24">
        <f>+'7 Önk'!G60+'8 PH'!G60+'9 VGIG'!G60+'10 Járób'!G60+'11 Szoci'!G60+'12 Ovi'!G60+'13 Művház'!G60+'14 Könyvt'!G60</f>
        <v>0</v>
      </c>
      <c r="G72" s="24">
        <f>+'7 Önk'!H60+'8 PH'!H60+'9 VGIG'!H60+'10 Járób'!H60+'11 Szoci'!H60+'12 Ovi'!H60+'13 Művház'!H60+'14 Könyvt'!H60</f>
        <v>0</v>
      </c>
      <c r="H72" s="25">
        <f>+F72+G72</f>
        <v>0</v>
      </c>
      <c r="J72" s="30">
        <f>+I72-H72</f>
        <v>0</v>
      </c>
      <c r="K72" s="70"/>
      <c r="L72" s="70"/>
      <c r="M72" s="70"/>
      <c r="N72" s="70"/>
      <c r="O72" s="70"/>
      <c r="P72" s="70"/>
      <c r="Q72" s="65"/>
      <c r="R72" s="65"/>
    </row>
    <row r="73" spans="1:18" ht="12.75">
      <c r="A73" s="60" t="s">
        <v>174</v>
      </c>
      <c r="B73" s="47" t="s">
        <v>175</v>
      </c>
      <c r="C73" s="24">
        <f>+'7 Önk'!D61+'8 PH'!D61+'9 VGIG'!D61+'10 Járób'!D61+'11 Szoci'!D61+'12 Ovi'!D61+'13 Művház'!D61+'14 Könyvt'!D61</f>
        <v>0</v>
      </c>
      <c r="D73" s="24">
        <f>+'7 Önk'!E61+'8 PH'!E61+'9 VGIG'!E61+'10 Járób'!E61+'11 Szoci'!E61+'12 Ovi'!E61+'13 Művház'!E61+'14 Könyvt'!E61</f>
        <v>0</v>
      </c>
      <c r="E73" s="25">
        <f>+C73+D73</f>
        <v>0</v>
      </c>
      <c r="F73" s="24">
        <f>+'7 Önk'!G61+'8 PH'!G61+'9 VGIG'!G61+'10 Járób'!G61+'11 Szoci'!G61+'12 Ovi'!G61+'13 Művház'!G61+'14 Könyvt'!G61</f>
        <v>0</v>
      </c>
      <c r="G73" s="24">
        <f>+'7 Önk'!H61+'8 PH'!H61+'9 VGIG'!H61+'10 Járób'!H61+'11 Szoci'!H61+'12 Ovi'!H61+'13 Művház'!H61+'14 Könyvt'!H61</f>
        <v>0</v>
      </c>
      <c r="H73" s="25">
        <f>+F73+G73</f>
        <v>0</v>
      </c>
      <c r="J73" s="30">
        <f>+I73-H73</f>
        <v>0</v>
      </c>
      <c r="K73" s="64"/>
      <c r="L73" s="64"/>
      <c r="M73" s="64"/>
      <c r="N73" s="64"/>
      <c r="O73" s="64"/>
      <c r="P73" s="64"/>
      <c r="Q73" s="65"/>
      <c r="R73" s="65"/>
    </row>
    <row r="74" spans="1:18" ht="12.75">
      <c r="A74" s="60" t="s">
        <v>176</v>
      </c>
      <c r="B74" s="47" t="s">
        <v>177</v>
      </c>
      <c r="C74" s="24"/>
      <c r="D74" s="24"/>
      <c r="E74" s="25"/>
      <c r="F74" s="24"/>
      <c r="G74" s="24"/>
      <c r="H74" s="25"/>
      <c r="J74" s="30">
        <f>+I74-H74</f>
        <v>0</v>
      </c>
      <c r="K74" s="64"/>
      <c r="L74" s="64"/>
      <c r="M74" s="64"/>
      <c r="N74" s="64"/>
      <c r="O74" s="64"/>
      <c r="P74" s="64"/>
      <c r="Q74" s="65"/>
      <c r="R74" s="65"/>
    </row>
    <row r="75" spans="1:18" ht="12.75">
      <c r="A75" s="73" t="s">
        <v>178</v>
      </c>
      <c r="B75" s="74" t="s">
        <v>179</v>
      </c>
      <c r="C75" s="75">
        <f>+C73+C72+C71+C74</f>
        <v>88500</v>
      </c>
      <c r="D75" s="75">
        <f>+D73+D72+D71+D74</f>
        <v>0</v>
      </c>
      <c r="E75" s="75">
        <f>+E73+E72+E71+E74</f>
        <v>88500</v>
      </c>
      <c r="F75" s="75">
        <f>+F73+F72+F71+F74</f>
        <v>114496</v>
      </c>
      <c r="G75" s="75">
        <f>+G73+G72+G71+G74</f>
        <v>0</v>
      </c>
      <c r="H75" s="75">
        <f>+H73+H72+H71+H74</f>
        <v>114496</v>
      </c>
      <c r="J75" s="30">
        <f>+I75-H75</f>
        <v>-114496</v>
      </c>
      <c r="K75" s="70"/>
      <c r="L75" s="70"/>
      <c r="M75" s="70"/>
      <c r="N75" s="70"/>
      <c r="O75" s="70"/>
      <c r="P75" s="70"/>
      <c r="Q75" s="65"/>
      <c r="R75" s="65"/>
    </row>
    <row r="76" spans="1:18" ht="12.75">
      <c r="A76" s="28" t="s">
        <v>180</v>
      </c>
      <c r="B76" s="28" t="s">
        <v>181</v>
      </c>
      <c r="C76" s="29">
        <f>+C58+C75</f>
        <v>3061514</v>
      </c>
      <c r="D76" s="29">
        <f>+D58+D75</f>
        <v>1426742</v>
      </c>
      <c r="E76" s="29">
        <f>+E58+E75</f>
        <v>4488256</v>
      </c>
      <c r="F76" s="29">
        <f>+F58+F75</f>
        <v>3281846</v>
      </c>
      <c r="G76" s="29">
        <f>+G58+G75</f>
        <v>1437972</v>
      </c>
      <c r="H76" s="29">
        <f>+H58+H75</f>
        <v>4719818</v>
      </c>
      <c r="J76" s="30">
        <f>+I76-H76</f>
        <v>-4719818</v>
      </c>
      <c r="K76" s="65"/>
      <c r="L76" s="65"/>
      <c r="M76" s="65"/>
      <c r="N76" s="65"/>
      <c r="O76" s="65"/>
      <c r="P76" s="65"/>
      <c r="Q76" s="65"/>
      <c r="R76" s="65"/>
    </row>
    <row r="77" spans="1:18" ht="12.75">
      <c r="A77" s="13"/>
      <c r="B77" s="76"/>
      <c r="C77" s="77"/>
      <c r="D77" s="77"/>
      <c r="E77" s="78"/>
      <c r="F77" s="77"/>
      <c r="G77" s="77"/>
      <c r="H77" s="78"/>
      <c r="K77" s="65"/>
      <c r="L77" s="65"/>
      <c r="M77" s="65"/>
      <c r="N77" s="65"/>
      <c r="O77" s="65"/>
      <c r="P77" s="65"/>
      <c r="Q77" s="65"/>
      <c r="R77" s="65"/>
    </row>
    <row r="78" spans="1:18" ht="15.75" customHeight="1" hidden="1">
      <c r="A78" s="13"/>
      <c r="B78" s="76"/>
      <c r="C78" s="18" t="s">
        <v>14</v>
      </c>
      <c r="D78" s="18"/>
      <c r="E78" s="18"/>
      <c r="F78" s="18" t="s">
        <v>14</v>
      </c>
      <c r="G78" s="18"/>
      <c r="H78" s="18"/>
      <c r="J78" s="30">
        <f>+I78-H78</f>
        <v>0</v>
      </c>
      <c r="K78" s="65"/>
      <c r="L78" s="65"/>
      <c r="M78" s="65"/>
      <c r="N78" s="65"/>
      <c r="O78" s="65"/>
      <c r="P78" s="65"/>
      <c r="Q78" s="65"/>
      <c r="R78" s="65"/>
    </row>
    <row r="79" spans="1:18" ht="12.75">
      <c r="A79" s="19" t="s">
        <v>15</v>
      </c>
      <c r="B79" s="42" t="s">
        <v>182</v>
      </c>
      <c r="C79" s="79" t="s">
        <v>16</v>
      </c>
      <c r="D79" s="79" t="s">
        <v>17</v>
      </c>
      <c r="E79" s="80" t="s">
        <v>18</v>
      </c>
      <c r="F79" s="79" t="s">
        <v>16</v>
      </c>
      <c r="G79" s="79" t="s">
        <v>17</v>
      </c>
      <c r="H79" s="80" t="s">
        <v>18</v>
      </c>
      <c r="K79" s="65"/>
      <c r="L79" s="65"/>
      <c r="M79" s="65"/>
      <c r="N79" s="65"/>
      <c r="O79" s="65"/>
      <c r="P79" s="65"/>
      <c r="Q79" s="65"/>
      <c r="R79" s="65"/>
    </row>
    <row r="80" spans="1:18" ht="12.75">
      <c r="A80" s="45" t="s">
        <v>183</v>
      </c>
      <c r="B80" s="58" t="s">
        <v>184</v>
      </c>
      <c r="C80" s="24">
        <f>+'3 Adók és tám'!D48</f>
        <v>242088</v>
      </c>
      <c r="D80" s="24"/>
      <c r="E80" s="25">
        <f>+D80+C80</f>
        <v>242088</v>
      </c>
      <c r="F80" s="24">
        <f>+'3 Adók és tám'!E48</f>
        <v>242088</v>
      </c>
      <c r="G80" s="24"/>
      <c r="H80" s="25">
        <f>+G80+F80</f>
        <v>242088</v>
      </c>
      <c r="I80" s="30">
        <v>242087</v>
      </c>
      <c r="J80" s="30">
        <f>+I80-H80</f>
        <v>-1</v>
      </c>
      <c r="K80" s="65"/>
      <c r="L80" s="65"/>
      <c r="M80" s="65"/>
      <c r="N80" s="65"/>
      <c r="O80" s="65"/>
      <c r="P80" s="65"/>
      <c r="Q80" s="65"/>
      <c r="R80" s="65"/>
    </row>
    <row r="81" spans="1:18" ht="12.75">
      <c r="A81" s="47" t="s">
        <v>185</v>
      </c>
      <c r="B81" s="58" t="s">
        <v>186</v>
      </c>
      <c r="C81" s="24">
        <f>+'3 Adók és tám'!D54</f>
        <v>270670</v>
      </c>
      <c r="D81" s="24"/>
      <c r="E81" s="25">
        <f>+D81+C81</f>
        <v>270670</v>
      </c>
      <c r="F81" s="24">
        <f>+'3 Adók és tám'!E54</f>
        <v>270670</v>
      </c>
      <c r="G81" s="24"/>
      <c r="H81" s="25">
        <f>+G81+F81</f>
        <v>270670</v>
      </c>
      <c r="I81" s="30">
        <v>270670</v>
      </c>
      <c r="J81" s="30">
        <f>+I81-H81</f>
        <v>0</v>
      </c>
      <c r="K81" s="65"/>
      <c r="L81" s="65"/>
      <c r="M81" s="65"/>
      <c r="N81" s="65"/>
      <c r="O81" s="65"/>
      <c r="P81" s="65"/>
      <c r="Q81" s="65"/>
      <c r="R81" s="65"/>
    </row>
    <row r="82" spans="1:18" ht="12.75">
      <c r="A82" s="47" t="s">
        <v>187</v>
      </c>
      <c r="B82" s="58" t="s">
        <v>188</v>
      </c>
      <c r="C82" s="24">
        <f>+'3 Adók és tám'!D66</f>
        <v>356931</v>
      </c>
      <c r="D82" s="24"/>
      <c r="E82" s="25">
        <f>+D82+C82</f>
        <v>356931</v>
      </c>
      <c r="F82" s="24">
        <f>+'3 Adók és tám'!E66</f>
        <v>363808</v>
      </c>
      <c r="G82" s="24"/>
      <c r="H82" s="25">
        <f>+G82+F82</f>
        <v>363808</v>
      </c>
      <c r="I82" s="30">
        <v>363808</v>
      </c>
      <c r="J82" s="30">
        <f>+I82-H82</f>
        <v>0</v>
      </c>
      <c r="K82" s="65"/>
      <c r="L82" s="65"/>
      <c r="M82" s="65"/>
      <c r="N82" s="65"/>
      <c r="O82" s="65"/>
      <c r="P82" s="65"/>
      <c r="Q82" s="65"/>
      <c r="R82" s="65"/>
    </row>
    <row r="83" spans="1:18" ht="12.75">
      <c r="A83" s="47" t="s">
        <v>189</v>
      </c>
      <c r="B83" s="58" t="s">
        <v>190</v>
      </c>
      <c r="C83" s="24">
        <f>+'3 Adók és tám'!D68</f>
        <v>13012</v>
      </c>
      <c r="D83" s="24"/>
      <c r="E83" s="25">
        <f>+D83+C83</f>
        <v>13012</v>
      </c>
      <c r="F83" s="24">
        <f>+'3 Adók és tám'!E68</f>
        <v>13012</v>
      </c>
      <c r="G83" s="24"/>
      <c r="H83" s="25">
        <f>+G83+F83</f>
        <v>13012</v>
      </c>
      <c r="I83" s="30">
        <v>13012</v>
      </c>
      <c r="J83" s="30">
        <f>+I83-H83</f>
        <v>0</v>
      </c>
      <c r="K83" s="65"/>
      <c r="L83" s="65"/>
      <c r="M83" s="65"/>
      <c r="N83" s="65"/>
      <c r="O83" s="65"/>
      <c r="P83" s="65"/>
      <c r="Q83" s="65"/>
      <c r="R83" s="65"/>
    </row>
    <row r="84" spans="1:18" ht="12.75">
      <c r="A84" s="47" t="s">
        <v>191</v>
      </c>
      <c r="B84" s="58" t="s">
        <v>192</v>
      </c>
      <c r="C84" s="24">
        <f>+'3 Adók és tám'!D77</f>
        <v>180671</v>
      </c>
      <c r="D84" s="24"/>
      <c r="E84" s="25">
        <f>+D84+C84</f>
        <v>180671</v>
      </c>
      <c r="F84" s="24">
        <f>+'3 Adók és tám'!E77</f>
        <v>311587</v>
      </c>
      <c r="G84" s="24"/>
      <c r="H84" s="25">
        <f>+G84+F84</f>
        <v>311587</v>
      </c>
      <c r="I84" s="30">
        <v>231819</v>
      </c>
      <c r="J84" s="30">
        <f>+I84-H84</f>
        <v>-79768</v>
      </c>
      <c r="K84" s="65"/>
      <c r="L84" s="65"/>
      <c r="M84" s="65"/>
      <c r="N84" s="65"/>
      <c r="O84" s="65"/>
      <c r="P84" s="65"/>
      <c r="Q84" s="65"/>
      <c r="R84" s="65"/>
    </row>
    <row r="85" spans="1:18" ht="12.75">
      <c r="A85" s="47" t="s">
        <v>193</v>
      </c>
      <c r="B85" s="58" t="s">
        <v>194</v>
      </c>
      <c r="C85" s="24">
        <f>+'3 Adók és tám'!D79</f>
        <v>0</v>
      </c>
      <c r="D85" s="24"/>
      <c r="E85" s="25">
        <f>+D85+C85</f>
        <v>0</v>
      </c>
      <c r="F85" s="24">
        <f>+'3 Adók és tám'!G79</f>
        <v>0</v>
      </c>
      <c r="G85" s="24"/>
      <c r="H85" s="25">
        <f>+G85+F85</f>
        <v>0</v>
      </c>
      <c r="J85" s="30">
        <f>+I85-H85</f>
        <v>0</v>
      </c>
      <c r="K85" s="65"/>
      <c r="L85" s="65"/>
      <c r="M85" s="65"/>
      <c r="N85" s="65"/>
      <c r="O85" s="65"/>
      <c r="P85" s="65"/>
      <c r="Q85" s="65"/>
      <c r="R85" s="65"/>
    </row>
    <row r="86" spans="1:18" ht="12.75">
      <c r="A86" s="50" t="s">
        <v>195</v>
      </c>
      <c r="B86" s="59" t="s">
        <v>196</v>
      </c>
      <c r="C86" s="25">
        <f>SUM(C80:C85)</f>
        <v>1063372</v>
      </c>
      <c r="D86" s="25">
        <f>SUM(D80:D85)</f>
        <v>0</v>
      </c>
      <c r="E86" s="25">
        <f>SUM(E80:E85)</f>
        <v>1063372</v>
      </c>
      <c r="F86" s="25">
        <f>SUM(F80:F85)</f>
        <v>1201165</v>
      </c>
      <c r="G86" s="25">
        <f>SUM(G80:G85)</f>
        <v>0</v>
      </c>
      <c r="H86" s="25">
        <f>SUM(H80:H85)</f>
        <v>1201165</v>
      </c>
      <c r="I86" s="30">
        <v>1121396</v>
      </c>
      <c r="J86" s="30">
        <f>+I86-H86</f>
        <v>-79769</v>
      </c>
      <c r="K86" s="65"/>
      <c r="L86" s="65"/>
      <c r="M86" s="65"/>
      <c r="N86" s="65"/>
      <c r="O86" s="65"/>
      <c r="P86" s="65"/>
      <c r="Q86" s="65"/>
      <c r="R86" s="65"/>
    </row>
    <row r="87" spans="1:18" ht="12.75">
      <c r="A87" s="47" t="s">
        <v>197</v>
      </c>
      <c r="B87" s="58" t="s">
        <v>198</v>
      </c>
      <c r="C87" s="24">
        <f>+'7 Önk'!D69+'8 PH'!D69+'9 VGIG'!D69+'10 Járób'!D69+'11 Szoci'!D69+'12 Ovi'!D69+'13 Művház'!D69+'14 Könyvt'!D69</f>
        <v>0</v>
      </c>
      <c r="D87" s="24">
        <f>+'7 Önk'!E69+'8 PH'!E69+'9 VGIG'!E69+'10 Járób'!E69+'11 Szoci'!E69+'12 Ovi'!E69+'13 Művház'!E69+'14 Könyvt'!E69</f>
        <v>0</v>
      </c>
      <c r="E87" s="25">
        <f>+D87+C87</f>
        <v>0</v>
      </c>
      <c r="F87" s="24">
        <f>+'7 Önk'!G69+'8 PH'!G69+'9 VGIG'!G69+'10 Járób'!G69+'11 Szoci'!G69+'12 Ovi'!G69+'13 Művház'!G69+'14 Könyvt'!G69</f>
        <v>0</v>
      </c>
      <c r="G87" s="24">
        <f>+'7 Önk'!H69+'8 PH'!H69+'9 VGIG'!H69+'10 Járób'!H69+'11 Szoci'!H69+'12 Ovi'!H69+'13 Művház'!H69+'14 Könyvt'!H69</f>
        <v>0</v>
      </c>
      <c r="H87" s="25">
        <f>+G87+F87</f>
        <v>0</v>
      </c>
      <c r="J87" s="30">
        <f>+I87-H87</f>
        <v>0</v>
      </c>
      <c r="K87" s="65"/>
      <c r="L87" s="65"/>
      <c r="M87" s="65"/>
      <c r="N87" s="65"/>
      <c r="O87" s="65"/>
      <c r="P87" s="65"/>
      <c r="Q87" s="65"/>
      <c r="R87" s="65"/>
    </row>
    <row r="88" spans="1:18" ht="12.75">
      <c r="A88" s="47" t="s">
        <v>199</v>
      </c>
      <c r="B88" s="58" t="s">
        <v>200</v>
      </c>
      <c r="C88" s="24">
        <f>+'7 Önk'!D70+'8 PH'!D70+'9 VGIG'!D70+'10 Járób'!D70+'11 Szoci'!D70+'12 Ovi'!D70+'13 Művház'!D70+'14 Könyvt'!D70</f>
        <v>0</v>
      </c>
      <c r="D88" s="24">
        <f>+'7 Önk'!E70+'8 PH'!E70+'9 VGIG'!E70+'10 Járób'!E70+'11 Szoci'!E70+'12 Ovi'!E70+'13 Művház'!E70+'14 Könyvt'!E70</f>
        <v>0</v>
      </c>
      <c r="E88" s="25">
        <f>+D88+C88</f>
        <v>0</v>
      </c>
      <c r="F88" s="24">
        <f>+'7 Önk'!G70+'8 PH'!G70+'9 VGIG'!G70+'10 Járób'!G70+'11 Szoci'!G70+'12 Ovi'!G70+'13 Művház'!G70+'14 Könyvt'!G70</f>
        <v>0</v>
      </c>
      <c r="G88" s="24">
        <f>+'7 Önk'!H70+'8 PH'!H70+'9 VGIG'!H70+'10 Járób'!H70+'11 Szoci'!H70+'12 Ovi'!H70+'13 Művház'!H70+'14 Könyvt'!H70</f>
        <v>0</v>
      </c>
      <c r="H88" s="25">
        <f>+G88+F88</f>
        <v>0</v>
      </c>
      <c r="J88" s="30">
        <f>+I88-H88</f>
        <v>0</v>
      </c>
      <c r="K88" s="65"/>
      <c r="L88" s="65"/>
      <c r="M88" s="65"/>
      <c r="N88" s="65"/>
      <c r="O88" s="65"/>
      <c r="P88" s="65"/>
      <c r="Q88" s="65"/>
      <c r="R88" s="65"/>
    </row>
    <row r="89" spans="1:18" ht="31.5">
      <c r="A89" s="47" t="s">
        <v>201</v>
      </c>
      <c r="B89" s="58" t="s">
        <v>202</v>
      </c>
      <c r="C89" s="24">
        <f>+'7 Önk'!D71+'8 PH'!D71+'9 VGIG'!D71+'10 Járób'!D71+'11 Szoci'!D71+'12 Ovi'!D71+'13 Művház'!D71+'14 Könyvt'!D71</f>
        <v>0</v>
      </c>
      <c r="D89" s="24">
        <f>+'7 Önk'!E71+'8 PH'!E71+'9 VGIG'!E71+'10 Járób'!E71+'11 Szoci'!E71+'12 Ovi'!E71+'13 Művház'!E71+'14 Könyvt'!E71</f>
        <v>0</v>
      </c>
      <c r="E89" s="25">
        <f>+D89+C89</f>
        <v>0</v>
      </c>
      <c r="F89" s="24">
        <f>+'7 Önk'!G71+'8 PH'!G71+'9 VGIG'!G71+'10 Járób'!G71+'11 Szoci'!G71+'12 Ovi'!G71+'13 Művház'!G71+'14 Könyvt'!G71</f>
        <v>0</v>
      </c>
      <c r="G89" s="24">
        <f>+'7 Önk'!H71+'8 PH'!H71+'9 VGIG'!H71+'10 Járób'!H71+'11 Szoci'!H71+'12 Ovi'!H71+'13 Művház'!H71+'14 Könyvt'!H71</f>
        <v>0</v>
      </c>
      <c r="H89" s="25">
        <f>+G89+F89</f>
        <v>0</v>
      </c>
      <c r="J89" s="30">
        <f>+I89-H89</f>
        <v>0</v>
      </c>
      <c r="K89" s="65"/>
      <c r="L89" s="65"/>
      <c r="M89" s="65"/>
      <c r="N89" s="65"/>
      <c r="O89" s="65"/>
      <c r="P89" s="65"/>
      <c r="Q89" s="65"/>
      <c r="R89" s="65"/>
    </row>
    <row r="90" spans="1:18" ht="31.5">
      <c r="A90" s="47" t="s">
        <v>203</v>
      </c>
      <c r="B90" s="58" t="s">
        <v>204</v>
      </c>
      <c r="C90" s="24">
        <f>+'7 Önk'!D72+'8 PH'!D72+'9 VGIG'!D72+'10 Járób'!D72+'11 Szoci'!D72+'12 Ovi'!D72+'13 Művház'!D72+'14 Könyvt'!D72</f>
        <v>0</v>
      </c>
      <c r="D90" s="24">
        <f>+'7 Önk'!E72+'8 PH'!E72+'9 VGIG'!E72+'10 Járób'!E72+'11 Szoci'!E72+'12 Ovi'!E72+'13 Művház'!E72+'14 Könyvt'!E72</f>
        <v>0</v>
      </c>
      <c r="E90" s="25">
        <f>+D90+C90</f>
        <v>0</v>
      </c>
      <c r="F90" s="24">
        <f>+'7 Önk'!G72+'8 PH'!G72+'9 VGIG'!G72+'10 Járób'!G72+'11 Szoci'!G72+'12 Ovi'!G72+'13 Művház'!G72+'14 Könyvt'!G72</f>
        <v>0</v>
      </c>
      <c r="G90" s="24">
        <f>+'7 Önk'!H72+'8 PH'!H72+'9 VGIG'!H72+'10 Járób'!H72+'11 Szoci'!H72+'12 Ovi'!H72+'13 Művház'!H72+'14 Könyvt'!H72</f>
        <v>0</v>
      </c>
      <c r="H90" s="25">
        <f>+G90+F90</f>
        <v>0</v>
      </c>
      <c r="J90" s="30">
        <f>+I90-H90</f>
        <v>0</v>
      </c>
      <c r="K90" s="65"/>
      <c r="L90" s="65"/>
      <c r="M90" s="65"/>
      <c r="N90" s="65"/>
      <c r="O90" s="65"/>
      <c r="P90" s="65"/>
      <c r="Q90" s="65"/>
      <c r="R90" s="65"/>
    </row>
    <row r="91" spans="1:18" ht="31.5">
      <c r="A91" s="47" t="s">
        <v>205</v>
      </c>
      <c r="B91" s="58" t="s">
        <v>206</v>
      </c>
      <c r="C91" s="24">
        <f>+'7 Önk'!D73+'8 PH'!D73+'9 VGIG'!D73+'10 Járób'!D73+'11 Szoci'!D73+'12 Ovi'!D73+'13 Művház'!D73+'14 Könyvt'!D73+'4 Átvett és Felh bev'!D25</f>
        <v>161948</v>
      </c>
      <c r="D91" s="24">
        <f>+'7 Önk'!E73+'8 PH'!E73+'9 VGIG'!E73+'10 Járób'!E73+'11 Szoci'!E73+'12 Ovi'!E73+'13 Művház'!E73+'14 Könyvt'!E73+'4 Átvett és Felh bev'!E25</f>
        <v>471417</v>
      </c>
      <c r="E91" s="25">
        <f>+D91+C91</f>
        <v>633365</v>
      </c>
      <c r="F91" s="24">
        <f>+'7 Önk'!G73+'8 PH'!G73+'9 VGIG'!G73+'10 Járób'!G73+'11 Szoci'!G73+'12 Ovi'!G73+'13 Művház'!G73+'14 Könyvt'!G73+'4 Átvett és Felh bev'!F25</f>
        <v>170249</v>
      </c>
      <c r="G91" s="24">
        <f>+'7 Önk'!H73+'8 PH'!H73+'9 VGIG'!H73+'10 Járób'!H73+'11 Szoci'!H73+'12 Ovi'!H73+'13 Művház'!H73+'14 Könyvt'!H73+'4 Átvett és Felh bev'!G25</f>
        <v>479999</v>
      </c>
      <c r="H91" s="25">
        <f>+G91+F91</f>
        <v>650248</v>
      </c>
      <c r="I91" s="30">
        <v>650248</v>
      </c>
      <c r="J91" s="30">
        <f>+I91-H91</f>
        <v>0</v>
      </c>
      <c r="K91" s="65"/>
      <c r="L91" s="65"/>
      <c r="M91" s="65"/>
      <c r="N91" s="65"/>
      <c r="O91" s="65"/>
      <c r="P91" s="65"/>
      <c r="Q91" s="65"/>
      <c r="R91" s="65"/>
    </row>
    <row r="92" spans="1:18" ht="31.5">
      <c r="A92" s="50" t="s">
        <v>207</v>
      </c>
      <c r="B92" s="59" t="s">
        <v>208</v>
      </c>
      <c r="C92" s="25">
        <f>+C91+C90+C89+C88+C87+C86</f>
        <v>1225320</v>
      </c>
      <c r="D92" s="25">
        <f>+D91+D90+D89+D88+D87+D86</f>
        <v>471417</v>
      </c>
      <c r="E92" s="25">
        <f>+E91+E90+E89+E88+E87+E86</f>
        <v>1696737</v>
      </c>
      <c r="F92" s="25">
        <f>+F91+F90+F89+F88+F87+F86</f>
        <v>1371414</v>
      </c>
      <c r="G92" s="25">
        <f>+G91+G90+G89+G88+G87+G86</f>
        <v>479999</v>
      </c>
      <c r="H92" s="25">
        <f>+H91+H90+H89+H88+H87+H86</f>
        <v>1851413</v>
      </c>
      <c r="I92" s="30">
        <v>1771644</v>
      </c>
      <c r="J92" s="30">
        <f>+I92-H92</f>
        <v>-79769</v>
      </c>
      <c r="K92" s="65"/>
      <c r="L92" s="65"/>
      <c r="M92" s="65"/>
      <c r="N92" s="65"/>
      <c r="O92" s="65"/>
      <c r="P92" s="65"/>
      <c r="Q92" s="65"/>
      <c r="R92" s="65"/>
    </row>
    <row r="93" spans="1:18" ht="31.5">
      <c r="A93" s="50" t="s">
        <v>209</v>
      </c>
      <c r="B93" s="59" t="s">
        <v>210</v>
      </c>
      <c r="C93" s="25">
        <f>+'7 Önk'!D75+'8 PH'!D75+'9 VGIG'!D75+'10 Járób'!D75+'11 Szoci'!D75+'12 Ovi'!D75+'13 Művház'!D75+'14 Könyvt'!D75+'4 Átvett és Felh bev'!D63</f>
        <v>899854</v>
      </c>
      <c r="D93" s="25">
        <f>+'7 Önk'!E75+'8 PH'!E75+'9 VGIG'!E75+'10 Járób'!E75+'11 Szoci'!E75+'12 Ovi'!E75+'13 Művház'!E75+'14 Könyvt'!E75+'4 Átvett és Felh bev'!E63</f>
        <v>731252</v>
      </c>
      <c r="E93" s="25">
        <f>+D93+C93</f>
        <v>1631106</v>
      </c>
      <c r="F93" s="25">
        <f>+'7 Önk'!G75+'8 PH'!G75+'9 VGIG'!G75+'10 Járób'!G75+'11 Szoci'!G75+'12 Ovi'!G75+'13 Művház'!G75+'14 Könyvt'!G75+'4 Átvett és Felh bev'!F63</f>
        <v>917654</v>
      </c>
      <c r="G93" s="25">
        <f>+'7 Önk'!H75+'8 PH'!H75+'9 VGIG'!H75+'10 Járób'!H75+'11 Szoci'!H75+'12 Ovi'!H75+'13 Művház'!H75+'14 Könyvt'!H75+'4 Átvett és Felh bev'!G63</f>
        <v>731252</v>
      </c>
      <c r="H93" s="25">
        <f>+G93+F93</f>
        <v>1648906</v>
      </c>
      <c r="I93" s="30">
        <v>1631106</v>
      </c>
      <c r="J93" s="30">
        <f>+I93-H93</f>
        <v>-17800</v>
      </c>
      <c r="K93" s="65"/>
      <c r="L93" s="65"/>
      <c r="M93" s="65"/>
      <c r="N93" s="65"/>
      <c r="O93" s="65"/>
      <c r="P93" s="65"/>
      <c r="Q93" s="65"/>
      <c r="R93" s="65"/>
    </row>
    <row r="94" spans="1:18" ht="12.75">
      <c r="A94" s="47" t="s">
        <v>211</v>
      </c>
      <c r="B94" s="58" t="s">
        <v>212</v>
      </c>
      <c r="C94" s="24">
        <f>+'7 Önk'!D76+'8 PH'!D76+'9 VGIG'!D76+'10 Járób'!D76+'11 Szoci'!D76+'12 Ovi'!D76+'13 Művház'!D76+'14 Könyvt'!D76</f>
        <v>0</v>
      </c>
      <c r="D94" s="24">
        <f>+'7 Önk'!E76+'8 PH'!E76+'9 VGIG'!E76+'10 Járób'!E76+'11 Szoci'!E76+'12 Ovi'!E76+'13 Művház'!E76+'14 Könyvt'!E76</f>
        <v>0</v>
      </c>
      <c r="E94" s="25">
        <f>+D94+C94</f>
        <v>0</v>
      </c>
      <c r="F94" s="24">
        <f>+'7 Önk'!G76+'8 PH'!G76+'9 VGIG'!G76+'10 Járób'!G76+'11 Szoci'!G76+'12 Ovi'!G76+'13 Művház'!G76+'14 Könyvt'!G76</f>
        <v>0</v>
      </c>
      <c r="G94" s="24">
        <f>+'7 Önk'!H76+'8 PH'!H76+'9 VGIG'!H76+'10 Járób'!H76+'11 Szoci'!H76+'12 Ovi'!H76+'13 Művház'!H76+'14 Könyvt'!H76</f>
        <v>0</v>
      </c>
      <c r="H94" s="25">
        <f>+G94+F94</f>
        <v>0</v>
      </c>
      <c r="J94" s="30">
        <f>+I94-H94</f>
        <v>0</v>
      </c>
      <c r="K94" s="65"/>
      <c r="L94" s="65"/>
      <c r="M94" s="65"/>
      <c r="N94" s="65"/>
      <c r="O94" s="65"/>
      <c r="P94" s="65"/>
      <c r="Q94" s="65"/>
      <c r="R94" s="65"/>
    </row>
    <row r="95" spans="1:18" ht="12.75">
      <c r="A95" s="47" t="s">
        <v>213</v>
      </c>
      <c r="B95" s="58" t="s">
        <v>214</v>
      </c>
      <c r="C95" s="24">
        <f>+'7 Önk'!D77+'8 PH'!D77+'9 VGIG'!D77+'10 Járób'!D77+'11 Szoci'!D77+'12 Ovi'!D77+'13 Művház'!D77+'14 Könyvt'!D77</f>
        <v>0</v>
      </c>
      <c r="D95" s="24">
        <f>+'7 Önk'!E77+'8 PH'!E77+'9 VGIG'!E77+'10 Járób'!E77+'11 Szoci'!E77+'12 Ovi'!E77+'13 Művház'!E77+'14 Könyvt'!E77</f>
        <v>0</v>
      </c>
      <c r="E95" s="25">
        <f>+D95+C95</f>
        <v>0</v>
      </c>
      <c r="F95" s="24">
        <f>+'7 Önk'!G77+'8 PH'!G77+'9 VGIG'!G77+'10 Járób'!G77+'11 Szoci'!G77+'12 Ovi'!G77+'13 Művház'!G77+'14 Könyvt'!G77</f>
        <v>0</v>
      </c>
      <c r="G95" s="24">
        <f>+'7 Önk'!H77+'8 PH'!H77+'9 VGIG'!H77+'10 Járób'!H77+'11 Szoci'!H77+'12 Ovi'!H77+'13 Művház'!H77+'14 Könyvt'!H77</f>
        <v>0</v>
      </c>
      <c r="H95" s="25">
        <f>+G95+F95</f>
        <v>0</v>
      </c>
      <c r="J95" s="30">
        <f>+I95-H95</f>
        <v>0</v>
      </c>
      <c r="K95" s="65"/>
      <c r="L95" s="65"/>
      <c r="M95" s="65"/>
      <c r="N95" s="65"/>
      <c r="O95" s="65"/>
      <c r="P95" s="65"/>
      <c r="Q95" s="65"/>
      <c r="R95" s="65"/>
    </row>
    <row r="96" spans="1:18" ht="12.75">
      <c r="A96" s="47" t="s">
        <v>215</v>
      </c>
      <c r="B96" s="58" t="s">
        <v>216</v>
      </c>
      <c r="C96" s="24">
        <f>+'7 Önk'!D78+'8 PH'!D78+'9 VGIG'!D78+'10 Járób'!D78+'11 Szoci'!D78+'12 Ovi'!D78+'13 Művház'!D78+'14 Könyvt'!D78</f>
        <v>0</v>
      </c>
      <c r="D96" s="24">
        <f>+'7 Önk'!E78+'8 PH'!E78+'9 VGIG'!E78+'10 Járób'!E78+'11 Szoci'!E78+'12 Ovi'!E78+'13 Művház'!E78+'14 Könyvt'!E78</f>
        <v>0</v>
      </c>
      <c r="E96" s="25">
        <f>+D96+C96</f>
        <v>0</v>
      </c>
      <c r="F96" s="24">
        <f>+'7 Önk'!G78+'8 PH'!G78+'9 VGIG'!G78+'10 Járób'!G78+'11 Szoci'!G78+'12 Ovi'!G78+'13 Művház'!G78+'14 Könyvt'!G78</f>
        <v>0</v>
      </c>
      <c r="G96" s="24">
        <f>+'7 Önk'!H78+'8 PH'!H78+'9 VGIG'!H78+'10 Járób'!H78+'11 Szoci'!H78+'12 Ovi'!H78+'13 Művház'!H78+'14 Könyvt'!H78</f>
        <v>0</v>
      </c>
      <c r="H96" s="25">
        <f>+G96+F96</f>
        <v>0</v>
      </c>
      <c r="J96" s="30">
        <f>+I96-H96</f>
        <v>0</v>
      </c>
      <c r="K96" s="65"/>
      <c r="L96" s="65"/>
      <c r="M96" s="65"/>
      <c r="N96" s="65"/>
      <c r="O96" s="65"/>
      <c r="P96" s="65"/>
      <c r="Q96" s="65"/>
      <c r="R96" s="65"/>
    </row>
    <row r="97" spans="1:18" ht="12.75">
      <c r="A97" s="47" t="s">
        <v>217</v>
      </c>
      <c r="B97" s="58" t="s">
        <v>218</v>
      </c>
      <c r="C97" s="24">
        <f>+'3 Adók és tám'!D13</f>
        <v>96750</v>
      </c>
      <c r="D97" s="24"/>
      <c r="E97" s="25">
        <f>+D97+C97</f>
        <v>96750</v>
      </c>
      <c r="F97" s="24">
        <f>+'3 Adók és tám'!E13</f>
        <v>96750</v>
      </c>
      <c r="G97" s="24"/>
      <c r="H97" s="25">
        <f>+G97+F97</f>
        <v>96750</v>
      </c>
      <c r="I97" s="30">
        <v>96750</v>
      </c>
      <c r="J97" s="30">
        <f>+I97-H97</f>
        <v>0</v>
      </c>
      <c r="K97" s="65"/>
      <c r="L97" s="65"/>
      <c r="M97" s="65"/>
      <c r="N97" s="65"/>
      <c r="O97" s="65"/>
      <c r="P97" s="65"/>
      <c r="Q97" s="65"/>
      <c r="R97" s="65"/>
    </row>
    <row r="98" spans="1:18" ht="12.75">
      <c r="A98" s="47" t="s">
        <v>219</v>
      </c>
      <c r="B98" s="58" t="s">
        <v>220</v>
      </c>
      <c r="C98" s="24">
        <f>+'3 Adók és tám'!D25-D98</f>
        <v>235423</v>
      </c>
      <c r="D98" s="24">
        <v>22027</v>
      </c>
      <c r="E98" s="25">
        <f>+D98+C98</f>
        <v>257450</v>
      </c>
      <c r="F98" s="24">
        <f>+'3 Adók és tám'!E25-G98</f>
        <v>232798</v>
      </c>
      <c r="G98" s="24">
        <v>24652</v>
      </c>
      <c r="H98" s="25">
        <f>+G98+F98</f>
        <v>257450</v>
      </c>
      <c r="I98" s="30">
        <v>257450</v>
      </c>
      <c r="J98" s="30">
        <f>+I98-H98</f>
        <v>0</v>
      </c>
      <c r="K98" s="65"/>
      <c r="L98" s="65"/>
      <c r="M98" s="65"/>
      <c r="N98" s="65"/>
      <c r="O98" s="65"/>
      <c r="P98" s="65"/>
      <c r="Q98" s="65"/>
      <c r="R98" s="65"/>
    </row>
    <row r="99" spans="1:18" ht="12.75">
      <c r="A99" s="47" t="s">
        <v>221</v>
      </c>
      <c r="B99" s="58" t="s">
        <v>222</v>
      </c>
      <c r="C99" s="24">
        <f>+'3 Adók és tám'!D36</f>
        <v>3500</v>
      </c>
      <c r="D99" s="24"/>
      <c r="E99" s="25">
        <f>+D99+C99</f>
        <v>3500</v>
      </c>
      <c r="F99" s="24">
        <f>+'3 Adók és tám'!E36</f>
        <v>3500</v>
      </c>
      <c r="G99" s="24"/>
      <c r="H99" s="25">
        <f>+G99+F99</f>
        <v>3500</v>
      </c>
      <c r="I99" s="30">
        <v>3500</v>
      </c>
      <c r="J99" s="30">
        <f>+I99-H99</f>
        <v>0</v>
      </c>
      <c r="K99" s="65"/>
      <c r="L99" s="65"/>
      <c r="M99" s="65"/>
      <c r="N99" s="65"/>
      <c r="O99" s="65"/>
      <c r="P99" s="65"/>
      <c r="Q99" s="65"/>
      <c r="R99" s="65"/>
    </row>
    <row r="100" spans="1:18" ht="12.75">
      <c r="A100" s="50" t="s">
        <v>223</v>
      </c>
      <c r="B100" s="59" t="s">
        <v>224</v>
      </c>
      <c r="C100" s="25">
        <f>SUM(C94:C99)</f>
        <v>335673</v>
      </c>
      <c r="D100" s="25">
        <f>SUM(D94:D99)</f>
        <v>22027</v>
      </c>
      <c r="E100" s="25">
        <f>SUM(E94:E99)</f>
        <v>357700</v>
      </c>
      <c r="F100" s="25">
        <f>SUM(F94:F99)</f>
        <v>333048</v>
      </c>
      <c r="G100" s="25">
        <f>SUM(G94:G99)</f>
        <v>24652</v>
      </c>
      <c r="H100" s="25">
        <f>SUM(H94:H99)</f>
        <v>357700</v>
      </c>
      <c r="I100" s="30">
        <v>357700</v>
      </c>
      <c r="J100" s="30">
        <f>+I100-H100</f>
        <v>0</v>
      </c>
      <c r="K100" s="65"/>
      <c r="L100" s="65"/>
      <c r="M100" s="65"/>
      <c r="N100" s="65"/>
      <c r="O100" s="65"/>
      <c r="P100" s="65"/>
      <c r="Q100" s="65"/>
      <c r="R100" s="65"/>
    </row>
    <row r="101" spans="1:18" ht="12.75">
      <c r="A101" s="60" t="s">
        <v>225</v>
      </c>
      <c r="B101" s="58" t="s">
        <v>226</v>
      </c>
      <c r="C101" s="24">
        <f>+'7 Önk'!D83+'8 PH'!D83+'9 VGIG'!D83+'10 Járób'!D83+'11 Szoci'!D83+'12 Ovi'!D83+'13 Művház'!D83+'14 Könyvt'!D83</f>
        <v>650</v>
      </c>
      <c r="D101" s="24">
        <f>+'7 Önk'!E83+'8 PH'!E83+'9 VGIG'!E83+'10 Járób'!E83+'11 Szoci'!E83+'12 Ovi'!E83+'13 Művház'!E83+'14 Könyvt'!E83</f>
        <v>200</v>
      </c>
      <c r="E101" s="25">
        <f>+D101+C101</f>
        <v>850</v>
      </c>
      <c r="F101" s="24">
        <f>+'7 Önk'!G83+'8 PH'!G83+'9 VGIG'!G83+'10 Járób'!G83+'11 Szoci'!G83+'12 Ovi'!G83+'13 Művház'!G83+'14 Könyvt'!G83</f>
        <v>650</v>
      </c>
      <c r="G101" s="24">
        <f>+'7 Önk'!H83+'8 PH'!H83+'9 VGIG'!H83+'10 Járób'!H83+'11 Szoci'!H83+'12 Ovi'!H83+'13 Művház'!H83+'14 Könyvt'!H83</f>
        <v>200</v>
      </c>
      <c r="H101" s="25">
        <f>+G101+F101</f>
        <v>850</v>
      </c>
      <c r="I101" s="30">
        <v>850</v>
      </c>
      <c r="J101" s="30">
        <f>+I101-H101</f>
        <v>0</v>
      </c>
      <c r="K101" s="65"/>
      <c r="L101" s="65"/>
      <c r="M101" s="65"/>
      <c r="N101" s="65"/>
      <c r="O101" s="65"/>
      <c r="P101" s="65"/>
      <c r="Q101" s="65"/>
      <c r="R101" s="65"/>
    </row>
    <row r="102" spans="1:18" ht="12.75">
      <c r="A102" s="60" t="s">
        <v>227</v>
      </c>
      <c r="B102" s="58" t="s">
        <v>228</v>
      </c>
      <c r="C102" s="24">
        <f>+'7 Önk'!D84+'8 PH'!D84+'9 VGIG'!D84+'10 Járób'!D84+'11 Szoci'!D84+'12 Ovi'!D84+'13 Művház'!D84+'14 Könyvt'!D84</f>
        <v>75244</v>
      </c>
      <c r="D102" s="24">
        <f>+'7 Önk'!E84+'8 PH'!E84+'9 VGIG'!E84+'10 Járób'!E84+'11 Szoci'!E84+'12 Ovi'!E84+'13 Művház'!E84+'14 Könyvt'!E84</f>
        <v>154418</v>
      </c>
      <c r="E102" s="25">
        <f>+D102+C102</f>
        <v>229662</v>
      </c>
      <c r="F102" s="24">
        <f>+'7 Önk'!G84+'8 PH'!G84+'9 VGIG'!G84+'10 Járób'!G84+'11 Szoci'!G84+'12 Ovi'!G84+'13 Művház'!G84+'14 Könyvt'!G84</f>
        <v>75372</v>
      </c>
      <c r="G102" s="24">
        <f>+'7 Önk'!H84+'8 PH'!H84+'9 VGIG'!H84+'10 Járób'!H84+'11 Szoci'!H84+'12 Ovi'!H84+'13 Művház'!H84+'14 Könyvt'!H84</f>
        <v>154258</v>
      </c>
      <c r="H102" s="25">
        <f>+G102+F102</f>
        <v>229630</v>
      </c>
      <c r="I102" s="30">
        <v>229630</v>
      </c>
      <c r="J102" s="30">
        <f>+I102-H102</f>
        <v>0</v>
      </c>
      <c r="K102" s="65"/>
      <c r="L102" s="65"/>
      <c r="M102" s="65"/>
      <c r="N102" s="65"/>
      <c r="O102" s="65"/>
      <c r="P102" s="65"/>
      <c r="Q102" s="65"/>
      <c r="R102" s="65"/>
    </row>
    <row r="103" spans="1:18" ht="12.75">
      <c r="A103" s="60" t="s">
        <v>229</v>
      </c>
      <c r="B103" s="58" t="s">
        <v>230</v>
      </c>
      <c r="C103" s="24">
        <f>+'7 Önk'!D85+'8 PH'!D85+'9 VGIG'!D85+'10 Járób'!D85+'11 Szoci'!D85+'12 Ovi'!D85+'13 Művház'!D85+'14 Könyvt'!D85</f>
        <v>270</v>
      </c>
      <c r="D103" s="24">
        <f>+'7 Önk'!E85+'8 PH'!E85+'9 VGIG'!E85+'10 Járób'!E85+'11 Szoci'!E85+'12 Ovi'!E85+'13 Művház'!E85+'14 Könyvt'!E85</f>
        <v>1400</v>
      </c>
      <c r="E103" s="25">
        <f>+D103+C103</f>
        <v>1670</v>
      </c>
      <c r="F103" s="24">
        <f>+'7 Önk'!G85+'8 PH'!G85+'9 VGIG'!G85+'10 Járób'!G85+'11 Szoci'!G85+'12 Ovi'!G85+'13 Művház'!G85+'14 Könyvt'!G85</f>
        <v>327</v>
      </c>
      <c r="G103" s="24">
        <f>+'7 Önk'!H85+'8 PH'!H85+'9 VGIG'!H85+'10 Járób'!H85+'11 Szoci'!H85+'12 Ovi'!H85+'13 Művház'!H85+'14 Könyvt'!H85</f>
        <v>1400</v>
      </c>
      <c r="H103" s="25">
        <f>+G103+F103</f>
        <v>1727</v>
      </c>
      <c r="I103" s="30">
        <v>1727</v>
      </c>
      <c r="J103" s="30">
        <f>+I103-H103</f>
        <v>0</v>
      </c>
      <c r="K103" s="65"/>
      <c r="L103" s="65"/>
      <c r="M103" s="65"/>
      <c r="N103" s="65"/>
      <c r="O103" s="65"/>
      <c r="P103" s="65"/>
      <c r="Q103" s="65"/>
      <c r="R103" s="65"/>
    </row>
    <row r="104" spans="1:18" ht="12.75">
      <c r="A104" s="60" t="s">
        <v>231</v>
      </c>
      <c r="B104" s="58" t="s">
        <v>232</v>
      </c>
      <c r="C104" s="24">
        <f>+'7 Önk'!D86+'8 PH'!D86+'9 VGIG'!D86+'10 Járób'!D86+'11 Szoci'!D86+'12 Ovi'!D86+'13 Művház'!D86+'14 Könyvt'!D86</f>
        <v>4173</v>
      </c>
      <c r="D104" s="24">
        <f>+'7 Önk'!E86+'8 PH'!E86+'9 VGIG'!E86+'10 Járób'!E86+'11 Szoci'!E86+'12 Ovi'!E86+'13 Művház'!E86+'14 Könyvt'!E86</f>
        <v>1000</v>
      </c>
      <c r="E104" s="25">
        <f>+D104+C104</f>
        <v>5173</v>
      </c>
      <c r="F104" s="24">
        <f>+'7 Önk'!G86+'8 PH'!G86+'9 VGIG'!G86+'10 Járób'!G86+'11 Szoci'!G86+'12 Ovi'!G86+'13 Művház'!G86+'14 Könyvt'!G86</f>
        <v>4173</v>
      </c>
      <c r="G104" s="24">
        <f>+'7 Önk'!H86+'8 PH'!H86+'9 VGIG'!H86+'10 Járób'!H86+'11 Szoci'!H86+'12 Ovi'!H86+'13 Művház'!H86+'14 Könyvt'!H86</f>
        <v>1000</v>
      </c>
      <c r="H104" s="25">
        <f>+G104+F104</f>
        <v>5173</v>
      </c>
      <c r="I104" s="30">
        <v>5173</v>
      </c>
      <c r="J104" s="30">
        <f>+I104-H104</f>
        <v>0</v>
      </c>
      <c r="K104" s="65"/>
      <c r="L104" s="65"/>
      <c r="M104" s="65"/>
      <c r="N104" s="65"/>
      <c r="O104" s="65"/>
      <c r="P104" s="65"/>
      <c r="Q104" s="65"/>
      <c r="R104" s="65"/>
    </row>
    <row r="105" spans="1:18" ht="12.75">
      <c r="A105" s="60" t="s">
        <v>233</v>
      </c>
      <c r="B105" s="58" t="s">
        <v>234</v>
      </c>
      <c r="C105" s="24">
        <f>+'7 Önk'!D87+'8 PH'!D87+'9 VGIG'!D87+'10 Járób'!D87+'11 Szoci'!D87+'12 Ovi'!D87+'13 Művház'!D87+'14 Könyvt'!D87</f>
        <v>168655</v>
      </c>
      <c r="D105" s="24">
        <f>+'7 Önk'!E87+'8 PH'!E87+'9 VGIG'!E87+'10 Járób'!E87+'11 Szoci'!E87+'12 Ovi'!E87+'13 Művház'!E87+'14 Könyvt'!E87</f>
        <v>0</v>
      </c>
      <c r="E105" s="25">
        <f>+D105+C105</f>
        <v>168655</v>
      </c>
      <c r="F105" s="24">
        <f>+'7 Önk'!G87+'8 PH'!G87+'9 VGIG'!G87+'10 Járób'!G87+'11 Szoci'!G87+'12 Ovi'!G87+'13 Művház'!G87+'14 Könyvt'!G87</f>
        <v>168655</v>
      </c>
      <c r="G105" s="24">
        <f>+'7 Önk'!H87+'8 PH'!H87+'9 VGIG'!H87+'10 Járób'!H87+'11 Szoci'!H87+'12 Ovi'!H87+'13 Művház'!H87+'14 Könyvt'!H87</f>
        <v>0</v>
      </c>
      <c r="H105" s="25">
        <f>+G105+F105</f>
        <v>168655</v>
      </c>
      <c r="I105" s="30">
        <v>168655</v>
      </c>
      <c r="J105" s="30">
        <f>+I105-H105</f>
        <v>0</v>
      </c>
      <c r="K105" s="65"/>
      <c r="L105" s="65"/>
      <c r="M105" s="65"/>
      <c r="N105" s="65"/>
      <c r="O105" s="65"/>
      <c r="P105" s="65"/>
      <c r="Q105" s="65"/>
      <c r="R105" s="65"/>
    </row>
    <row r="106" spans="1:18" ht="12.75">
      <c r="A106" s="60" t="s">
        <v>235</v>
      </c>
      <c r="B106" s="58" t="s">
        <v>236</v>
      </c>
      <c r="C106" s="24">
        <f>+'7 Önk'!D88+'8 PH'!D88+'9 VGIG'!D88+'10 Járób'!D88+'11 Szoci'!D88+'12 Ovi'!D88+'13 Művház'!D88+'14 Könyvt'!D88</f>
        <v>30187</v>
      </c>
      <c r="D106" s="24">
        <f>+'7 Önk'!E88+'8 PH'!E88+'9 VGIG'!E88+'10 Járób'!E88+'11 Szoci'!E88+'12 Ovi'!E88+'13 Művház'!E88+'14 Könyvt'!E88</f>
        <v>440</v>
      </c>
      <c r="E106" s="25">
        <f>+D106+C106</f>
        <v>30627</v>
      </c>
      <c r="F106" s="24">
        <f>+'7 Önk'!G88+'8 PH'!G88+'9 VGIG'!G88+'10 Járób'!G88+'11 Szoci'!G88+'12 Ovi'!G88+'13 Művház'!G88+'14 Könyvt'!G88</f>
        <v>30187</v>
      </c>
      <c r="G106" s="24">
        <f>+'7 Önk'!H88+'8 PH'!H88+'9 VGIG'!H88+'10 Járób'!H88+'11 Szoci'!H88+'12 Ovi'!H88+'13 Művház'!H88+'14 Könyvt'!H88</f>
        <v>440</v>
      </c>
      <c r="H106" s="25">
        <f>+G106+F106</f>
        <v>30627</v>
      </c>
      <c r="I106" s="30">
        <v>30627</v>
      </c>
      <c r="J106" s="30">
        <f>+I106-H106</f>
        <v>0</v>
      </c>
      <c r="K106" s="65"/>
      <c r="L106" s="65"/>
      <c r="M106" s="65"/>
      <c r="N106" s="65"/>
      <c r="O106" s="65"/>
      <c r="P106" s="65"/>
      <c r="Q106" s="65"/>
      <c r="R106" s="65"/>
    </row>
    <row r="107" spans="1:18" ht="12.75">
      <c r="A107" s="60" t="s">
        <v>237</v>
      </c>
      <c r="B107" s="58" t="s">
        <v>238</v>
      </c>
      <c r="C107" s="24">
        <f>+'7 Önk'!D89+'8 PH'!D89+'9 VGIG'!D89+'10 Járób'!D89+'11 Szoci'!D89+'12 Ovi'!D89+'13 Művház'!D89+'14 Könyvt'!D89</f>
        <v>0</v>
      </c>
      <c r="D107" s="24">
        <f>+'7 Önk'!E89+'8 PH'!E89+'9 VGIG'!E89+'10 Járób'!E89+'11 Szoci'!E89+'12 Ovi'!E89+'13 Művház'!E89+'14 Könyvt'!E89</f>
        <v>0</v>
      </c>
      <c r="E107" s="25">
        <f>+D107+C107</f>
        <v>0</v>
      </c>
      <c r="F107" s="24">
        <f>+'7 Önk'!G89+'8 PH'!G89+'9 VGIG'!G89+'10 Járób'!G89+'11 Szoci'!G89+'12 Ovi'!G89+'13 Művház'!G89+'14 Könyvt'!G89</f>
        <v>0</v>
      </c>
      <c r="G107" s="24">
        <f>+'7 Önk'!H89+'8 PH'!H89+'9 VGIG'!H89+'10 Járób'!H89+'11 Szoci'!H89+'12 Ovi'!H89+'13 Művház'!H89+'14 Könyvt'!H89</f>
        <v>0</v>
      </c>
      <c r="H107" s="25">
        <f>+G107+F107</f>
        <v>0</v>
      </c>
      <c r="J107" s="30">
        <f>+I107-H107</f>
        <v>0</v>
      </c>
      <c r="K107" s="65"/>
      <c r="L107" s="65"/>
      <c r="M107" s="65"/>
      <c r="N107" s="65"/>
      <c r="O107" s="65"/>
      <c r="P107" s="65"/>
      <c r="Q107" s="65"/>
      <c r="R107" s="65"/>
    </row>
    <row r="108" spans="1:18" ht="12.75">
      <c r="A108" s="60" t="s">
        <v>239</v>
      </c>
      <c r="B108" s="58" t="s">
        <v>240</v>
      </c>
      <c r="C108" s="24">
        <f>+'7 Önk'!D90+'8 PH'!D90+'9 VGIG'!D90+'10 Járób'!D90+'11 Szoci'!D90+'12 Ovi'!D90+'13 Művház'!D90+'14 Könyvt'!D90</f>
        <v>2000</v>
      </c>
      <c r="D108" s="24">
        <f>+'7 Önk'!E90+'8 PH'!E90+'9 VGIG'!E90+'10 Járób'!E90+'11 Szoci'!E90+'12 Ovi'!E90+'13 Művház'!E90+'14 Könyvt'!E90</f>
        <v>50</v>
      </c>
      <c r="E108" s="25">
        <f>+D108+C108</f>
        <v>2050</v>
      </c>
      <c r="F108" s="24">
        <f>+'7 Önk'!G90+'8 PH'!G90+'9 VGIG'!G90+'10 Járób'!G90+'11 Szoci'!G90+'12 Ovi'!G90+'13 Művház'!G90+'14 Könyvt'!G90</f>
        <v>2000</v>
      </c>
      <c r="G108" s="24">
        <f>+'7 Önk'!H90+'8 PH'!H90+'9 VGIG'!H90+'10 Járób'!H90+'11 Szoci'!H90+'12 Ovi'!H90+'13 Művház'!H90+'14 Könyvt'!H90</f>
        <v>50</v>
      </c>
      <c r="H108" s="25">
        <f>+G108+F108</f>
        <v>2050</v>
      </c>
      <c r="I108" s="30">
        <v>2050</v>
      </c>
      <c r="J108" s="30">
        <f>+I108-H108</f>
        <v>0</v>
      </c>
      <c r="K108" s="65"/>
      <c r="L108" s="65"/>
      <c r="M108" s="65"/>
      <c r="N108" s="65"/>
      <c r="O108" s="65"/>
      <c r="P108" s="65"/>
      <c r="Q108" s="65"/>
      <c r="R108" s="65"/>
    </row>
    <row r="109" spans="1:18" ht="12.75">
      <c r="A109" s="60" t="s">
        <v>241</v>
      </c>
      <c r="B109" s="58" t="s">
        <v>242</v>
      </c>
      <c r="C109" s="24">
        <f>+'7 Önk'!D91+'8 PH'!D91+'9 VGIG'!D91+'10 Járób'!D91+'11 Szoci'!D91+'12 Ovi'!D91+'13 Művház'!D91+'14 Könyvt'!D91</f>
        <v>0</v>
      </c>
      <c r="D109" s="24">
        <f>+'7 Önk'!E91+'8 PH'!E91+'9 VGIG'!E91+'10 Járób'!E91+'11 Szoci'!E91+'12 Ovi'!E91+'13 Művház'!E91+'14 Könyvt'!E91</f>
        <v>0</v>
      </c>
      <c r="E109" s="25">
        <f>+D109+C109</f>
        <v>0</v>
      </c>
      <c r="F109" s="24">
        <f>+'7 Önk'!G91+'8 PH'!G91+'9 VGIG'!G91+'10 Járób'!G91+'11 Szoci'!G91+'12 Ovi'!G91+'13 Művház'!G91+'14 Könyvt'!G91</f>
        <v>0</v>
      </c>
      <c r="G109" s="24">
        <f>+'7 Önk'!H91+'8 PH'!H91+'9 VGIG'!H91+'10 Járób'!H91+'11 Szoci'!H91+'12 Ovi'!H91+'13 Művház'!H91+'14 Könyvt'!H91</f>
        <v>0</v>
      </c>
      <c r="H109" s="25">
        <f>+G109+F109</f>
        <v>0</v>
      </c>
      <c r="J109" s="30">
        <f>+I109-H109</f>
        <v>0</v>
      </c>
      <c r="K109" s="65"/>
      <c r="L109" s="65"/>
      <c r="M109" s="65"/>
      <c r="N109" s="65"/>
      <c r="O109" s="65"/>
      <c r="P109" s="65"/>
      <c r="Q109" s="65"/>
      <c r="R109" s="65"/>
    </row>
    <row r="110" spans="1:18" ht="12.75">
      <c r="A110" s="60" t="s">
        <v>243</v>
      </c>
      <c r="B110" s="58" t="s">
        <v>244</v>
      </c>
      <c r="C110" s="24">
        <f>+'7 Önk'!D92+'8 PH'!D92+'9 VGIG'!D92+'10 Járób'!D92+'11 Szoci'!D92+'12 Ovi'!D92+'13 Művház'!D92+'14 Könyvt'!D92</f>
        <v>0</v>
      </c>
      <c r="D110" s="24">
        <f>+'7 Önk'!E92+'8 PH'!E92+'9 VGIG'!E92+'10 Járób'!E92+'11 Szoci'!E92+'12 Ovi'!E92+'13 Művház'!E92+'14 Könyvt'!E92</f>
        <v>0</v>
      </c>
      <c r="E110" s="25">
        <f>+D110+C110</f>
        <v>0</v>
      </c>
      <c r="F110" s="24">
        <f>+'7 Önk'!G92+'8 PH'!G92+'9 VGIG'!G92+'10 Járób'!G92+'11 Szoci'!G92+'12 Ovi'!G92+'13 Művház'!G92+'14 Könyvt'!G92</f>
        <v>0</v>
      </c>
      <c r="G110" s="24">
        <f>+'7 Önk'!H92+'8 PH'!H92+'9 VGIG'!H92+'10 Járób'!H92+'11 Szoci'!H92+'12 Ovi'!H92+'13 Művház'!H92+'14 Könyvt'!H92</f>
        <v>0</v>
      </c>
      <c r="H110" s="25">
        <f>+G110+F110</f>
        <v>0</v>
      </c>
      <c r="J110" s="30">
        <f>+I110-H110</f>
        <v>0</v>
      </c>
      <c r="K110" s="65"/>
      <c r="L110" s="65"/>
      <c r="M110" s="65"/>
      <c r="N110" s="65"/>
      <c r="O110" s="65"/>
      <c r="P110" s="65"/>
      <c r="Q110" s="65"/>
      <c r="R110" s="65"/>
    </row>
    <row r="111" spans="1:18" ht="12.75">
      <c r="A111" s="60" t="s">
        <v>245</v>
      </c>
      <c r="B111" s="58" t="s">
        <v>246</v>
      </c>
      <c r="C111" s="24">
        <f>+'7 Önk'!D93+'8 PH'!D93+'9 VGIG'!D93+'10 Járób'!D93+'11 Szoci'!D93+'12 Ovi'!D93+'13 Művház'!D93+'14 Könyvt'!D93</f>
        <v>340</v>
      </c>
      <c r="D111" s="24">
        <f>+'7 Önk'!E93+'8 PH'!E93+'9 VGIG'!E93+'10 Járób'!E93+'11 Szoci'!E93+'12 Ovi'!E93+'13 Művház'!E93+'14 Könyvt'!E93</f>
        <v>0</v>
      </c>
      <c r="E111" s="25">
        <f>+D111+C111</f>
        <v>340</v>
      </c>
      <c r="F111" s="24">
        <f>+'7 Önk'!G93+'8 PH'!G93+'9 VGIG'!G93+'10 Járób'!G93+'11 Szoci'!G93+'12 Ovi'!G93+'13 Művház'!G93+'14 Könyvt'!G93</f>
        <v>155</v>
      </c>
      <c r="G111" s="24">
        <f>+'7 Önk'!H93+'8 PH'!H93+'9 VGIG'!H93+'10 Járób'!H93+'11 Szoci'!H93+'12 Ovi'!H93+'13 Művház'!H93+'14 Könyvt'!H93</f>
        <v>0</v>
      </c>
      <c r="H111" s="25">
        <f>+G111+F111</f>
        <v>155</v>
      </c>
      <c r="I111" s="30">
        <v>155</v>
      </c>
      <c r="J111" s="30">
        <f>+I111-H111</f>
        <v>0</v>
      </c>
      <c r="K111" s="65"/>
      <c r="L111" s="65"/>
      <c r="M111" s="65"/>
      <c r="N111" s="65"/>
      <c r="O111" s="65"/>
      <c r="P111" s="65"/>
      <c r="Q111" s="65"/>
      <c r="R111" s="65"/>
    </row>
    <row r="112" spans="1:18" ht="12.75">
      <c r="A112" s="51" t="s">
        <v>247</v>
      </c>
      <c r="B112" s="59" t="s">
        <v>248</v>
      </c>
      <c r="C112" s="25">
        <f>SUM(C101:C111)</f>
        <v>281519</v>
      </c>
      <c r="D112" s="25">
        <f>SUM(D101:D111)</f>
        <v>157508</v>
      </c>
      <c r="E112" s="25">
        <f>SUM(E101:E111)</f>
        <v>439027</v>
      </c>
      <c r="F112" s="25">
        <f>SUM(F101:F111)</f>
        <v>281519</v>
      </c>
      <c r="G112" s="25">
        <f>SUM(G101:G111)</f>
        <v>157348</v>
      </c>
      <c r="H112" s="25">
        <f>SUM(H101:H111)</f>
        <v>438867</v>
      </c>
      <c r="I112" s="30">
        <v>438867</v>
      </c>
      <c r="J112" s="30">
        <f>+I112-H112</f>
        <v>0</v>
      </c>
      <c r="K112" s="65"/>
      <c r="L112" s="65"/>
      <c r="M112" s="65"/>
      <c r="N112" s="65"/>
      <c r="O112" s="65"/>
      <c r="P112" s="65"/>
      <c r="Q112" s="65"/>
      <c r="R112" s="65"/>
    </row>
    <row r="113" spans="1:18" ht="12.75">
      <c r="A113" s="60" t="s">
        <v>249</v>
      </c>
      <c r="B113" s="58" t="s">
        <v>250</v>
      </c>
      <c r="C113" s="24">
        <f>+'7 Önk'!D95+'8 PH'!D95+'9 VGIG'!D95+'10 Járób'!D95+'11 Szoci'!D95+'12 Ovi'!D95+'13 Művház'!D95+'14 Könyvt'!D95+'4 Átvett és Felh bev'!E81</f>
        <v>0</v>
      </c>
      <c r="D113" s="24">
        <f>+'7 Önk'!E95+'8 PH'!E95+'9 VGIG'!E95+'10 Járób'!E95+'11 Szoci'!E95+'12 Ovi'!E95+'13 Művház'!E95+'14 Könyvt'!E95+'4 Átvett és Felh bev'!F81</f>
        <v>0</v>
      </c>
      <c r="E113" s="25">
        <f>+D113+C113</f>
        <v>0</v>
      </c>
      <c r="F113" s="24">
        <f>+'7 Önk'!G95+'8 PH'!G95+'9 VGIG'!G95+'10 Járób'!G95+'11 Szoci'!G95+'12 Ovi'!G95+'13 Művház'!G95+'14 Könyvt'!G95+'4 Átvett és Felh bev'!F81</f>
        <v>0</v>
      </c>
      <c r="G113" s="24">
        <f>+'7 Önk'!H95+'8 PH'!H95+'9 VGIG'!H95+'10 Járób'!H95+'11 Szoci'!H95+'12 Ovi'!H95+'13 Művház'!H95+'14 Könyvt'!H95+'4 Átvett és Felh bev'!G81</f>
        <v>0</v>
      </c>
      <c r="H113" s="25">
        <f>+G113+F113</f>
        <v>0</v>
      </c>
      <c r="J113" s="30">
        <f>+I113-H113</f>
        <v>0</v>
      </c>
      <c r="K113" s="65"/>
      <c r="L113" s="65"/>
      <c r="M113" s="65"/>
      <c r="N113" s="65"/>
      <c r="O113" s="65"/>
      <c r="P113" s="65"/>
      <c r="Q113" s="65"/>
      <c r="R113" s="65"/>
    </row>
    <row r="114" spans="1:18" ht="12.75">
      <c r="A114" s="60" t="s">
        <v>251</v>
      </c>
      <c r="B114" s="58" t="s">
        <v>252</v>
      </c>
      <c r="C114" s="24">
        <f>+'7 Önk'!D96+'8 PH'!D96+'9 VGIG'!D96+'10 Járób'!D96+'11 Szoci'!D96+'12 Ovi'!D96+'13 Művház'!D96+'14 Könyvt'!D96+'4 Átvett és Felh bev'!D87</f>
        <v>24632</v>
      </c>
      <c r="D114" s="24">
        <f>+'7 Önk'!E96+'8 PH'!E96+'9 VGIG'!E96+'10 Járób'!E96+'11 Szoci'!E96+'12 Ovi'!E96+'13 Művház'!E96+'14 Könyvt'!E96+'4 Átvett és Felh bev'!E87</f>
        <v>32976</v>
      </c>
      <c r="E114" s="25">
        <f>+D114+C114</f>
        <v>57608</v>
      </c>
      <c r="F114" s="24">
        <f>+'7 Önk'!G96+'8 PH'!G96+'9 VGIG'!G96+'10 Járób'!G96+'11 Szoci'!G96+'12 Ovi'!G96+'13 Művház'!G96+'14 Könyvt'!G96+'4 Átvett és Felh bev'!F87</f>
        <v>24632</v>
      </c>
      <c r="G114" s="24">
        <f>+'7 Önk'!H96+'8 PH'!H96+'9 VGIG'!H96+'10 Járób'!H96+'11 Szoci'!H96+'12 Ovi'!H96+'13 Művház'!H96+'14 Könyvt'!H96+'4 Átvett és Felh bev'!G87</f>
        <v>32976</v>
      </c>
      <c r="H114" s="25">
        <f>+G114+F114</f>
        <v>57608</v>
      </c>
      <c r="I114" s="30">
        <v>57608</v>
      </c>
      <c r="J114" s="30">
        <f>+I114-H114</f>
        <v>0</v>
      </c>
      <c r="K114" s="65"/>
      <c r="L114" s="65"/>
      <c r="M114" s="65"/>
      <c r="N114" s="65"/>
      <c r="O114" s="65"/>
      <c r="P114" s="65"/>
      <c r="Q114" s="65"/>
      <c r="R114" s="65"/>
    </row>
    <row r="115" spans="1:18" ht="12.75">
      <c r="A115" s="60" t="s">
        <v>253</v>
      </c>
      <c r="B115" s="58" t="s">
        <v>254</v>
      </c>
      <c r="C115" s="24">
        <f>+'7 Önk'!D97+'8 PH'!D97+'9 VGIG'!D97+'10 Járób'!D97+'11 Szoci'!D97+'12 Ovi'!D97+'13 Művház'!D97+'14 Könyvt'!D97+'4 Átvett és Felh bev'!D90</f>
        <v>0</v>
      </c>
      <c r="D115" s="24">
        <f>+'7 Önk'!E97+'8 PH'!E97+'9 VGIG'!E97+'10 Járób'!E97+'11 Szoci'!E97+'12 Ovi'!E97+'13 Művház'!E97+'14 Könyvt'!E97+'4 Átvett és Felh bev'!E90</f>
        <v>0</v>
      </c>
      <c r="E115" s="25">
        <f>+D115+C115</f>
        <v>0</v>
      </c>
      <c r="F115" s="24">
        <f>+'7 Önk'!G97+'8 PH'!G97+'9 VGIG'!G97+'10 Járób'!G97+'11 Szoci'!G97+'12 Ovi'!G97+'13 Művház'!G97+'14 Könyvt'!G97+'4 Átvett és Felh bev'!F90</f>
        <v>0</v>
      </c>
      <c r="G115" s="24">
        <f>+'7 Önk'!H97+'8 PH'!H97+'9 VGIG'!H97+'10 Járób'!H97+'11 Szoci'!H97+'12 Ovi'!H97+'13 Művház'!H97+'14 Könyvt'!H97+'4 Átvett és Felh bev'!F90</f>
        <v>160</v>
      </c>
      <c r="H115" s="25">
        <f>+G115+F115</f>
        <v>160</v>
      </c>
      <c r="I115" s="30">
        <v>160</v>
      </c>
      <c r="J115" s="30">
        <f>+I115-H115</f>
        <v>0</v>
      </c>
      <c r="K115" s="65"/>
      <c r="L115" s="65"/>
      <c r="M115" s="65"/>
      <c r="N115" s="65"/>
      <c r="O115" s="65"/>
      <c r="P115" s="65"/>
      <c r="Q115" s="65"/>
      <c r="R115" s="65"/>
    </row>
    <row r="116" spans="1:18" ht="12.75">
      <c r="A116" s="60" t="s">
        <v>255</v>
      </c>
      <c r="B116" s="58" t="s">
        <v>256</v>
      </c>
      <c r="C116" s="24">
        <f>+'7 Önk'!D98+'8 PH'!D98+'9 VGIG'!D98+'10 Járób'!D98+'11 Szoci'!D98+'12 Ovi'!D98+'13 Művház'!D98+'14 Könyvt'!D98+'4 Átvett és Felh bev'!D93</f>
        <v>0</v>
      </c>
      <c r="D116" s="24">
        <f>+'7 Önk'!E98+'8 PH'!E98+'9 VGIG'!E98+'10 Járób'!E98+'11 Szoci'!E98+'12 Ovi'!E98+'13 Művház'!E98+'14 Könyvt'!E98+'4 Átvett és Felh bev'!E93</f>
        <v>0</v>
      </c>
      <c r="E116" s="25">
        <f>+D116+C116</f>
        <v>0</v>
      </c>
      <c r="F116" s="24">
        <f>+'7 Önk'!G98+'8 PH'!G98+'9 VGIG'!G98+'10 Járób'!G98+'11 Szoci'!G98+'12 Ovi'!G98+'13 Művház'!G98+'14 Könyvt'!G98+'4 Átvett és Felh bev'!F93</f>
        <v>0</v>
      </c>
      <c r="G116" s="24">
        <f>+'7 Önk'!H98+'8 PH'!H98+'9 VGIG'!H98+'10 Járób'!H98+'11 Szoci'!H98+'12 Ovi'!H98+'13 Művház'!H98+'14 Könyvt'!H98+'4 Átvett és Felh bev'!F93</f>
        <v>0</v>
      </c>
      <c r="H116" s="25">
        <f>+G116+F116</f>
        <v>0</v>
      </c>
      <c r="J116" s="30">
        <f>+I116-H116</f>
        <v>0</v>
      </c>
      <c r="K116" s="65"/>
      <c r="L116" s="65"/>
      <c r="M116" s="65"/>
      <c r="N116" s="65"/>
      <c r="O116" s="65"/>
      <c r="P116" s="65"/>
      <c r="Q116" s="65"/>
      <c r="R116" s="65"/>
    </row>
    <row r="117" spans="1:18" ht="12.75">
      <c r="A117" s="60" t="s">
        <v>257</v>
      </c>
      <c r="B117" s="58" t="s">
        <v>258</v>
      </c>
      <c r="C117" s="24">
        <f>+'7 Önk'!D99+'8 PH'!D99+'9 VGIG'!D99+'10 Járób'!D99+'11 Szoci'!D99+'12 Ovi'!D99+'13 Művház'!D99+'14 Könyvt'!D99+'4 Átvett és Felh bev'!D96</f>
        <v>0</v>
      </c>
      <c r="D117" s="24">
        <f>+'7 Önk'!E99+'8 PH'!E99+'9 VGIG'!E99+'10 Járób'!E99+'11 Szoci'!E99+'12 Ovi'!E99+'13 Művház'!E99+'14 Könyvt'!E99+'4 Átvett és Felh bev'!E96</f>
        <v>0</v>
      </c>
      <c r="E117" s="25">
        <f>+D117+C117</f>
        <v>0</v>
      </c>
      <c r="F117" s="24">
        <f>+'7 Önk'!G99+'8 PH'!G99+'9 VGIG'!G99+'10 Járób'!G99+'11 Szoci'!G99+'12 Ovi'!G99+'13 Művház'!G99+'14 Könyvt'!G99+'4 Átvett és Felh bev'!F96</f>
        <v>0</v>
      </c>
      <c r="G117" s="24">
        <f>+'7 Önk'!H99+'8 PH'!H99+'9 VGIG'!H99+'10 Járób'!H99+'11 Szoci'!H99+'12 Ovi'!H99+'13 Művház'!H99+'14 Könyvt'!H99+'4 Átvett és Felh bev'!F96</f>
        <v>0</v>
      </c>
      <c r="H117" s="25">
        <f>+G117+F117</f>
        <v>0</v>
      </c>
      <c r="J117" s="30">
        <f>+I117-H117</f>
        <v>0</v>
      </c>
      <c r="K117" s="65"/>
      <c r="L117" s="65"/>
      <c r="M117" s="65"/>
      <c r="N117" s="65"/>
      <c r="O117" s="65"/>
      <c r="P117" s="65"/>
      <c r="Q117" s="65"/>
      <c r="R117" s="65"/>
    </row>
    <row r="118" spans="1:18" ht="12.75">
      <c r="A118" s="50" t="s">
        <v>259</v>
      </c>
      <c r="B118" s="59" t="s">
        <v>260</v>
      </c>
      <c r="C118" s="25">
        <f>SUM(C113:C117)</f>
        <v>24632</v>
      </c>
      <c r="D118" s="25">
        <f>SUM(D113:D117)</f>
        <v>32976</v>
      </c>
      <c r="E118" s="25">
        <f>SUM(E113:E117)</f>
        <v>57608</v>
      </c>
      <c r="F118" s="25">
        <f>SUM(F113:F117)</f>
        <v>24632</v>
      </c>
      <c r="G118" s="25">
        <f>SUM(G113:G117)</f>
        <v>33136</v>
      </c>
      <c r="H118" s="25">
        <f>SUM(H113:H117)</f>
        <v>57768</v>
      </c>
      <c r="I118" s="30">
        <v>57768</v>
      </c>
      <c r="J118" s="30">
        <f>+I118-H118</f>
        <v>0</v>
      </c>
      <c r="K118" s="65"/>
      <c r="L118" s="65"/>
      <c r="M118" s="65"/>
      <c r="N118" s="65"/>
      <c r="O118" s="65"/>
      <c r="P118" s="65"/>
      <c r="Q118" s="65"/>
      <c r="R118" s="65"/>
    </row>
    <row r="119" spans="1:18" ht="12.75">
      <c r="A119" s="50" t="s">
        <v>261</v>
      </c>
      <c r="B119" s="59" t="s">
        <v>262</v>
      </c>
      <c r="C119" s="24">
        <f>+'7 Önk'!D101+'8 PH'!D101+'9 VGIG'!D101+'10 Járób'!D101+'11 Szoci'!D101+'12 Ovi'!D101+'13 Művház'!D101+'14 Könyvt'!D101</f>
        <v>8301</v>
      </c>
      <c r="D119" s="24">
        <f>+'7 Önk'!E101+'8 PH'!E101+'9 VGIG'!E101+'10 Járób'!E101+'11 Szoci'!E101+'12 Ovi'!E101+'13 Művház'!E101+'14 Könyvt'!E101</f>
        <v>8582</v>
      </c>
      <c r="E119" s="25">
        <f>+D119+C119</f>
        <v>16883</v>
      </c>
      <c r="F119" s="24">
        <f>+'7 Önk'!G101+'8 PH'!G101+'9 VGIG'!G101+'10 Járób'!G101+'11 Szoci'!G101+'12 Ovi'!G101+'13 Művház'!G101+'14 Könyvt'!G101</f>
        <v>2000</v>
      </c>
      <c r="G119" s="24">
        <f>+'7 Önk'!H101+'8 PH'!H101+'9 VGIG'!H101+'10 Járób'!H101+'11 Szoci'!H101+'12 Ovi'!H101+'13 Művház'!H101+'14 Könyvt'!H101</f>
        <v>0</v>
      </c>
      <c r="H119" s="25">
        <f>+G119+F119</f>
        <v>2000</v>
      </c>
      <c r="I119" s="30">
        <v>2000</v>
      </c>
      <c r="J119" s="30">
        <f>+I119-H119</f>
        <v>0</v>
      </c>
      <c r="K119" s="65"/>
      <c r="L119" s="65"/>
      <c r="M119" s="65"/>
      <c r="N119" s="65"/>
      <c r="O119" s="65"/>
      <c r="P119" s="65"/>
      <c r="Q119" s="65"/>
      <c r="R119" s="65"/>
    </row>
    <row r="120" spans="1:18" ht="12.75">
      <c r="A120" s="60" t="s">
        <v>263</v>
      </c>
      <c r="B120" s="58" t="s">
        <v>264</v>
      </c>
      <c r="C120" s="24">
        <f>+'7 Önk'!D102+'8 PH'!D102+'9 VGIG'!D102+'10 Járób'!D102+'11 Szoci'!D102+'12 Ovi'!D102+'13 Művház'!D102+'14 Könyvt'!D102</f>
        <v>0</v>
      </c>
      <c r="D120" s="24">
        <f>+'7 Önk'!E102+'8 PH'!E102+'9 VGIG'!E102+'10 Járób'!E102+'11 Szoci'!E102+'12 Ovi'!E102+'13 Művház'!E102+'14 Könyvt'!E102</f>
        <v>0</v>
      </c>
      <c r="E120" s="25">
        <f>+D120+C120</f>
        <v>0</v>
      </c>
      <c r="F120" s="24">
        <f>+'7 Önk'!G102+'8 PH'!G102+'9 VGIG'!G102+'10 Járób'!G102+'11 Szoci'!G102+'12 Ovi'!G102+'13 Művház'!G102+'14 Könyvt'!G102</f>
        <v>0</v>
      </c>
      <c r="G120" s="24">
        <f>+'7 Önk'!H102+'8 PH'!H102+'9 VGIG'!H102+'10 Járób'!H102+'11 Szoci'!H102+'12 Ovi'!H102+'13 Művház'!H102+'14 Könyvt'!H102</f>
        <v>0</v>
      </c>
      <c r="H120" s="25">
        <f>+G120+F120</f>
        <v>0</v>
      </c>
      <c r="J120" s="30">
        <f>+I120-H120</f>
        <v>0</v>
      </c>
      <c r="K120" s="65"/>
      <c r="L120" s="65"/>
      <c r="M120" s="65"/>
      <c r="N120" s="65"/>
      <c r="O120" s="65"/>
      <c r="P120" s="65"/>
      <c r="Q120" s="65"/>
      <c r="R120" s="65"/>
    </row>
    <row r="121" spans="1:18" ht="12.75">
      <c r="A121" s="47" t="s">
        <v>265</v>
      </c>
      <c r="B121" s="58" t="s">
        <v>266</v>
      </c>
      <c r="C121" s="24">
        <f>+'7 Önk'!D103+'8 PH'!D103+'9 VGIG'!D103+'10 Járób'!D103+'11 Szoci'!D103+'12 Ovi'!D103+'13 Művház'!D103+'14 Könyvt'!D103</f>
        <v>0</v>
      </c>
      <c r="D121" s="24">
        <f>+'7 Önk'!E103+'8 PH'!E103+'9 VGIG'!E103+'10 Járób'!E103+'11 Szoci'!E103+'12 Ovi'!E103+'13 Művház'!E103+'14 Könyvt'!E103</f>
        <v>0</v>
      </c>
      <c r="E121" s="25">
        <f>+D121+C121</f>
        <v>0</v>
      </c>
      <c r="F121" s="24">
        <f>+'7 Önk'!G103+'8 PH'!G103+'9 VGIG'!G103+'10 Járób'!G103+'11 Szoci'!G103+'12 Ovi'!G103+'13 Művház'!G103+'14 Könyvt'!G103</f>
        <v>0</v>
      </c>
      <c r="G121" s="24">
        <f>+'7 Önk'!H103+'8 PH'!H103+'9 VGIG'!H103+'10 Járób'!H103+'11 Szoci'!H103+'12 Ovi'!H103+'13 Művház'!H103+'14 Könyvt'!H103</f>
        <v>0</v>
      </c>
      <c r="H121" s="25">
        <f>+G121+F121</f>
        <v>0</v>
      </c>
      <c r="J121" s="30">
        <f>+I121-H121</f>
        <v>0</v>
      </c>
      <c r="K121" s="65"/>
      <c r="L121" s="65"/>
      <c r="M121" s="65"/>
      <c r="N121" s="65"/>
      <c r="O121" s="65"/>
      <c r="P121" s="65"/>
      <c r="Q121" s="65"/>
      <c r="R121" s="65"/>
    </row>
    <row r="122" spans="1:18" ht="12.75">
      <c r="A122" s="60" t="s">
        <v>267</v>
      </c>
      <c r="B122" s="58" t="s">
        <v>268</v>
      </c>
      <c r="C122" s="24">
        <f>+'7 Önk'!D104+'8 PH'!D104+'9 VGIG'!D104+'10 Járób'!D104+'11 Szoci'!D104+'12 Ovi'!D104+'13 Művház'!D104+'14 Könyvt'!D104</f>
        <v>0</v>
      </c>
      <c r="D122" s="24">
        <f>+'7 Önk'!E104+'8 PH'!E104+'9 VGIG'!E104+'10 Járób'!E104+'11 Szoci'!E104+'12 Ovi'!E104+'13 Művház'!E104+'14 Könyvt'!E104</f>
        <v>0</v>
      </c>
      <c r="E122" s="25">
        <f>+D122+C122</f>
        <v>0</v>
      </c>
      <c r="F122" s="24">
        <f>+'7 Önk'!G104+'8 PH'!G104+'9 VGIG'!G104+'10 Járób'!G104+'11 Szoci'!G104+'12 Ovi'!G104+'13 Művház'!G104+'14 Könyvt'!G104</f>
        <v>0</v>
      </c>
      <c r="G122" s="24">
        <f>+'7 Önk'!H104+'8 PH'!H104+'9 VGIG'!H104+'10 Járób'!H104+'11 Szoci'!H104+'12 Ovi'!H104+'13 Művház'!H104+'14 Könyvt'!H104</f>
        <v>0</v>
      </c>
      <c r="H122" s="25">
        <f>+G122+F122</f>
        <v>0</v>
      </c>
      <c r="J122" s="30">
        <f>+I122-H122</f>
        <v>0</v>
      </c>
      <c r="K122" s="65"/>
      <c r="L122" s="65"/>
      <c r="M122" s="65"/>
      <c r="N122" s="65"/>
      <c r="O122" s="65"/>
      <c r="P122" s="65"/>
      <c r="Q122" s="65"/>
      <c r="R122" s="65"/>
    </row>
    <row r="123" spans="1:18" ht="12.75">
      <c r="A123" s="60" t="s">
        <v>269</v>
      </c>
      <c r="B123" s="58" t="s">
        <v>270</v>
      </c>
      <c r="C123" s="24">
        <f>+'7 Önk'!D105+'8 PH'!D105+'9 VGIG'!D105+'10 Járób'!D105+'11 Szoci'!D105+'12 Ovi'!D105+'13 Művház'!D105+'14 Könyvt'!D105</f>
        <v>0</v>
      </c>
      <c r="D123" s="24">
        <f>+'7 Önk'!E105+'8 PH'!E105+'9 VGIG'!E105+'10 Járób'!E105+'11 Szoci'!E105+'12 Ovi'!E105+'13 Művház'!E105+'14 Könyvt'!E105</f>
        <v>0</v>
      </c>
      <c r="E123" s="25">
        <f>+D123+C123</f>
        <v>0</v>
      </c>
      <c r="F123" s="24">
        <f>+'7 Önk'!G105+'8 PH'!G105+'9 VGIG'!G105+'10 Járób'!G105+'11 Szoci'!G105+'12 Ovi'!G105+'13 Művház'!G105+'14 Könyvt'!G105</f>
        <v>3862</v>
      </c>
      <c r="G123" s="24">
        <f>+'7 Önk'!H105+'8 PH'!H105+'9 VGIG'!H105+'10 Járób'!H105+'11 Szoci'!H105+'12 Ovi'!H105+'13 Művház'!H105+'14 Könyvt'!H105</f>
        <v>0</v>
      </c>
      <c r="H123" s="25">
        <f>+G123+F123</f>
        <v>3862</v>
      </c>
      <c r="I123" s="30">
        <v>3862</v>
      </c>
      <c r="J123" s="30">
        <f>+I123-H123</f>
        <v>0</v>
      </c>
      <c r="K123" s="65"/>
      <c r="L123" s="65"/>
      <c r="M123" s="65"/>
      <c r="N123" s="65"/>
      <c r="O123" s="65"/>
      <c r="P123" s="65"/>
      <c r="Q123" s="65"/>
      <c r="R123" s="65"/>
    </row>
    <row r="124" spans="1:18" ht="12.75">
      <c r="A124" s="60" t="s">
        <v>271</v>
      </c>
      <c r="B124" s="58" t="s">
        <v>272</v>
      </c>
      <c r="C124" s="24">
        <f>+'7 Önk'!D106+'8 PH'!D106+'9 VGIG'!D106+'10 Járób'!D106+'11 Szoci'!D106+'12 Ovi'!D106+'13 Művház'!D106+'14 Könyvt'!D106+'4 Átvett és Felh bev'!E75</f>
        <v>32262</v>
      </c>
      <c r="D124" s="24">
        <f>+'7 Önk'!E106+'8 PH'!E106+'9 VGIG'!E106+'10 Járób'!E106+'11 Szoci'!E106+'12 Ovi'!E106+'13 Művház'!E106+'14 Könyvt'!E106+'4 Átvett és Felh bev'!F75</f>
        <v>0</v>
      </c>
      <c r="E124" s="25">
        <f>+D124+C124</f>
        <v>32262</v>
      </c>
      <c r="F124" s="24">
        <f>+'7 Önk'!G106+'8 PH'!G106+'9 VGIG'!G106+'10 Járób'!G106+'11 Szoci'!G106+'12 Ovi'!G106+'13 Művház'!G106+'14 Könyvt'!G106+'4 Átvett és Felh bev'!H75</f>
        <v>28400</v>
      </c>
      <c r="G124" s="24">
        <f>+'7 Önk'!H106+'8 PH'!H106+'9 VGIG'!H106+'10 Járób'!H106+'11 Szoci'!H106+'12 Ovi'!H106+'13 Művház'!H106+'14 Könyvt'!H106+'4 Átvett és Felh bev'!I75</f>
        <v>0</v>
      </c>
      <c r="H124" s="25">
        <f>+G124+F124</f>
        <v>28400</v>
      </c>
      <c r="I124" s="30">
        <v>28400</v>
      </c>
      <c r="J124" s="30">
        <f>+I124-H124</f>
        <v>0</v>
      </c>
      <c r="K124" s="65"/>
      <c r="L124" s="65"/>
      <c r="M124" s="65"/>
      <c r="N124" s="65"/>
      <c r="O124" s="65"/>
      <c r="P124" s="65"/>
      <c r="Q124" s="65"/>
      <c r="R124" s="65"/>
    </row>
    <row r="125" spans="1:18" ht="12.75">
      <c r="A125" s="50" t="s">
        <v>273</v>
      </c>
      <c r="B125" s="59" t="s">
        <v>274</v>
      </c>
      <c r="C125" s="25">
        <f>SUM(C120:C124)</f>
        <v>32262</v>
      </c>
      <c r="D125" s="25">
        <f>SUM(D120:D124)</f>
        <v>0</v>
      </c>
      <c r="E125" s="25">
        <f>SUM(E120:E124)</f>
        <v>32262</v>
      </c>
      <c r="F125" s="25">
        <f>SUM(F120:F124)</f>
        <v>32262</v>
      </c>
      <c r="G125" s="25">
        <f>SUM(G120:G124)</f>
        <v>0</v>
      </c>
      <c r="H125" s="25">
        <f>SUM(H120:H124)</f>
        <v>32262</v>
      </c>
      <c r="I125" s="30">
        <v>32262</v>
      </c>
      <c r="J125" s="30">
        <f>+I125-H125</f>
        <v>0</v>
      </c>
      <c r="K125" s="65"/>
      <c r="L125" s="65"/>
      <c r="M125" s="65"/>
      <c r="N125" s="65"/>
      <c r="O125" s="65"/>
      <c r="P125" s="65"/>
      <c r="Q125" s="65"/>
      <c r="R125" s="65"/>
    </row>
    <row r="126" spans="1:18" ht="12.75">
      <c r="A126" s="81" t="s">
        <v>275</v>
      </c>
      <c r="B126" s="61" t="s">
        <v>276</v>
      </c>
      <c r="C126" s="63">
        <f>+C125+C119+C118+C112+C100+C93+C92</f>
        <v>2807561</v>
      </c>
      <c r="D126" s="63">
        <f>+D125+D119+D118+D112+D100+D93+D92</f>
        <v>1423762</v>
      </c>
      <c r="E126" s="63">
        <f>+E125+E119+E118+E112+E100+E93+E92</f>
        <v>4231323</v>
      </c>
      <c r="F126" s="63">
        <f>+F125+F119+F118+F112+F100+F93+F92</f>
        <v>2962529</v>
      </c>
      <c r="G126" s="63">
        <f>+G125+G119+G118+G112+G100+G93+G92</f>
        <v>1426387</v>
      </c>
      <c r="H126" s="63">
        <f>+H125+H119+H118+H112+H100+H93+H92</f>
        <v>4388916</v>
      </c>
      <c r="I126" s="30">
        <v>4291347</v>
      </c>
      <c r="J126" s="30">
        <f>+I126-H126</f>
        <v>-97569</v>
      </c>
      <c r="K126" s="65"/>
      <c r="L126" s="65"/>
      <c r="M126" s="65"/>
      <c r="N126" s="65"/>
      <c r="O126" s="65"/>
      <c r="P126" s="65"/>
      <c r="Q126" s="65"/>
      <c r="R126" s="65"/>
    </row>
    <row r="127" spans="1:18" ht="12.75">
      <c r="A127" s="82" t="s">
        <v>277</v>
      </c>
      <c r="B127" s="83"/>
      <c r="C127" s="84">
        <f>+C119+C112+C100+C92-C33</f>
        <v>-165453</v>
      </c>
      <c r="D127" s="84">
        <f>+D119+D112+D100+D92-D33</f>
        <v>-2980</v>
      </c>
      <c r="E127" s="84">
        <f>+D127+C127</f>
        <v>-168433</v>
      </c>
      <c r="F127" s="84">
        <f>+F119+F112+F100+F92-F33</f>
        <v>-169738</v>
      </c>
      <c r="G127" s="84">
        <f>+G119+G112+G100+G92-G33</f>
        <v>-3140</v>
      </c>
      <c r="H127" s="84">
        <f>+G127+F127</f>
        <v>-172878</v>
      </c>
      <c r="J127" s="30">
        <f>+I127-H127</f>
        <v>172878</v>
      </c>
      <c r="K127" s="65"/>
      <c r="L127" s="65"/>
      <c r="M127" s="65"/>
      <c r="N127" s="65"/>
      <c r="O127" s="65"/>
      <c r="P127" s="65"/>
      <c r="Q127" s="65"/>
      <c r="R127" s="65"/>
    </row>
    <row r="128" spans="1:18" ht="12.75">
      <c r="A128" s="82" t="s">
        <v>278</v>
      </c>
      <c r="B128" s="83"/>
      <c r="C128" s="84">
        <f>+C125+C118+C93-C57</f>
        <v>0</v>
      </c>
      <c r="D128" s="84">
        <f>+D125+D118+D93-D57</f>
        <v>0</v>
      </c>
      <c r="E128" s="84">
        <f>+D128+C128</f>
        <v>0</v>
      </c>
      <c r="F128" s="84">
        <f>+F125+F118+F93-F57</f>
        <v>-35083</v>
      </c>
      <c r="G128" s="84">
        <f>+G125+G118+G93-G57</f>
        <v>-8445</v>
      </c>
      <c r="H128" s="84">
        <f>+G128+F128</f>
        <v>-43528</v>
      </c>
      <c r="J128" s="30">
        <f>+I128-H128</f>
        <v>43528</v>
      </c>
      <c r="K128" s="65"/>
      <c r="L128" s="65"/>
      <c r="M128" s="65"/>
      <c r="N128" s="65"/>
      <c r="O128" s="65"/>
      <c r="P128" s="65"/>
      <c r="Q128" s="65"/>
      <c r="R128" s="65"/>
    </row>
    <row r="129" spans="1:18" ht="12.75">
      <c r="A129" s="68" t="s">
        <v>279</v>
      </c>
      <c r="B129" s="47" t="s">
        <v>280</v>
      </c>
      <c r="C129" s="24">
        <f>+'17 hitelek'!D55</f>
        <v>0</v>
      </c>
      <c r="D129" s="24">
        <f>+'17 hitelek'!E55</f>
        <v>0</v>
      </c>
      <c r="E129" s="25">
        <f>+D129+C129</f>
        <v>0</v>
      </c>
      <c r="F129" s="24">
        <f>+'17 hitelek'!F55</f>
        <v>0</v>
      </c>
      <c r="G129" s="24">
        <f>+'17 hitelek'!G55</f>
        <v>0</v>
      </c>
      <c r="H129" s="25">
        <f>+G129+F129</f>
        <v>0</v>
      </c>
      <c r="J129" s="30">
        <f>+I129-H129</f>
        <v>0</v>
      </c>
      <c r="K129" s="65"/>
      <c r="L129" s="65"/>
      <c r="M129" s="65"/>
      <c r="N129" s="65"/>
      <c r="O129" s="65"/>
      <c r="P129" s="65"/>
      <c r="Q129" s="65"/>
      <c r="R129" s="65"/>
    </row>
    <row r="130" spans="1:18" ht="12.75">
      <c r="A130" s="60" t="s">
        <v>281</v>
      </c>
      <c r="B130" s="47" t="s">
        <v>282</v>
      </c>
      <c r="C130" s="24">
        <f>+'17 hitelek'!D58</f>
        <v>0</v>
      </c>
      <c r="D130" s="24">
        <f>+'17 hitelek'!E58</f>
        <v>0</v>
      </c>
      <c r="E130" s="25">
        <f>+D130+C130</f>
        <v>0</v>
      </c>
      <c r="F130" s="24">
        <f>+'17 hitelek'!F58</f>
        <v>0</v>
      </c>
      <c r="G130" s="24">
        <f>+'17 hitelek'!G58</f>
        <v>0</v>
      </c>
      <c r="H130" s="25">
        <f>+G130+F130</f>
        <v>0</v>
      </c>
      <c r="J130" s="30">
        <f>+I130-H130</f>
        <v>0</v>
      </c>
      <c r="K130" s="65"/>
      <c r="L130" s="65"/>
      <c r="M130" s="65"/>
      <c r="N130" s="65"/>
      <c r="O130" s="65"/>
      <c r="P130" s="65"/>
      <c r="Q130" s="65"/>
      <c r="R130" s="65"/>
    </row>
    <row r="131" spans="1:18" ht="12.75">
      <c r="A131" s="68" t="s">
        <v>283</v>
      </c>
      <c r="B131" s="47" t="s">
        <v>284</v>
      </c>
      <c r="C131" s="24">
        <f>+'17 hitelek'!D60</f>
        <v>88500</v>
      </c>
      <c r="D131" s="24">
        <f>+'17 hitelek'!E60</f>
        <v>0</v>
      </c>
      <c r="E131" s="25">
        <f>+D131+C131</f>
        <v>88500</v>
      </c>
      <c r="F131" s="24">
        <f>+'17 hitelek'!F60</f>
        <v>88500</v>
      </c>
      <c r="G131" s="24">
        <f>+'17 hitelek'!G60</f>
        <v>0</v>
      </c>
      <c r="H131" s="25">
        <f>+G131+F131</f>
        <v>88500</v>
      </c>
      <c r="I131" s="30">
        <v>88500</v>
      </c>
      <c r="J131" s="30">
        <f>+I131-H131</f>
        <v>0</v>
      </c>
      <c r="K131" s="65"/>
      <c r="L131" s="65"/>
      <c r="M131" s="65"/>
      <c r="N131" s="65"/>
      <c r="O131" s="65"/>
      <c r="P131" s="65"/>
      <c r="Q131" s="65"/>
      <c r="R131" s="65"/>
    </row>
    <row r="132" spans="1:10" ht="12.75">
      <c r="A132" s="51" t="s">
        <v>285</v>
      </c>
      <c r="B132" s="50" t="s">
        <v>286</v>
      </c>
      <c r="C132" s="25">
        <f>SUM(C129:C131)</f>
        <v>88500</v>
      </c>
      <c r="D132" s="25">
        <f>SUM(D129:D131)</f>
        <v>0</v>
      </c>
      <c r="E132" s="25">
        <f>SUM(E129:E131)</f>
        <v>88500</v>
      </c>
      <c r="F132" s="25">
        <f>SUM(F129:F131)</f>
        <v>88500</v>
      </c>
      <c r="G132" s="25">
        <f>SUM(G129:G131)</f>
        <v>0</v>
      </c>
      <c r="H132" s="25">
        <f>SUM(H129:H131)</f>
        <v>88500</v>
      </c>
      <c r="I132" s="30">
        <v>88500</v>
      </c>
      <c r="J132" s="30">
        <f>+I132-H132</f>
        <v>0</v>
      </c>
    </row>
    <row r="133" spans="1:10" ht="12.75">
      <c r="A133" s="60" t="s">
        <v>287</v>
      </c>
      <c r="B133" s="47" t="s">
        <v>288</v>
      </c>
      <c r="C133" s="24"/>
      <c r="D133" s="24"/>
      <c r="E133" s="25">
        <f>+D133+C133</f>
        <v>0</v>
      </c>
      <c r="F133" s="24"/>
      <c r="G133" s="24"/>
      <c r="H133" s="25">
        <f>+G133+F133</f>
        <v>0</v>
      </c>
      <c r="J133" s="30">
        <f>+I133-H133</f>
        <v>0</v>
      </c>
    </row>
    <row r="134" spans="1:10" ht="12.75">
      <c r="A134" s="68" t="s">
        <v>289</v>
      </c>
      <c r="B134" s="47" t="s">
        <v>290</v>
      </c>
      <c r="C134" s="24"/>
      <c r="D134" s="24"/>
      <c r="E134" s="25">
        <f>+D134+C134</f>
        <v>0</v>
      </c>
      <c r="F134" s="24"/>
      <c r="G134" s="24"/>
      <c r="H134" s="25">
        <f>+G134+F134</f>
        <v>0</v>
      </c>
      <c r="J134" s="30">
        <f>+I134-H134</f>
        <v>0</v>
      </c>
    </row>
    <row r="135" spans="1:10" ht="12.75">
      <c r="A135" s="60" t="s">
        <v>291</v>
      </c>
      <c r="B135" s="47" t="s">
        <v>292</v>
      </c>
      <c r="C135" s="24"/>
      <c r="D135" s="24"/>
      <c r="E135" s="25">
        <f>+D135+C135</f>
        <v>0</v>
      </c>
      <c r="F135" s="24"/>
      <c r="G135" s="24"/>
      <c r="H135" s="25">
        <f>+G135+F135</f>
        <v>0</v>
      </c>
      <c r="J135" s="30">
        <f>+I135-H135</f>
        <v>0</v>
      </c>
    </row>
    <row r="136" spans="1:10" ht="12.75">
      <c r="A136" s="68" t="s">
        <v>293</v>
      </c>
      <c r="B136" s="47" t="s">
        <v>294</v>
      </c>
      <c r="C136" s="24"/>
      <c r="D136" s="24"/>
      <c r="E136" s="25">
        <f>+D136+C136</f>
        <v>0</v>
      </c>
      <c r="F136" s="24"/>
      <c r="G136" s="24"/>
      <c r="H136" s="25">
        <f>+G136+F136</f>
        <v>0</v>
      </c>
      <c r="J136" s="30">
        <f>+I136-H136</f>
        <v>0</v>
      </c>
    </row>
    <row r="137" spans="1:10" ht="12.75">
      <c r="A137" s="72" t="s">
        <v>295</v>
      </c>
      <c r="B137" s="50" t="s">
        <v>296</v>
      </c>
      <c r="C137" s="25">
        <f>SUM(C133:C136)</f>
        <v>0</v>
      </c>
      <c r="D137" s="25">
        <f>SUM(D133:D136)</f>
        <v>0</v>
      </c>
      <c r="E137" s="25">
        <f>SUM(E133:E136)</f>
        <v>0</v>
      </c>
      <c r="F137" s="25">
        <f>SUM(F133:F136)</f>
        <v>0</v>
      </c>
      <c r="G137" s="25">
        <f>SUM(G133:G136)</f>
        <v>0</v>
      </c>
      <c r="H137" s="25">
        <f>SUM(H133:H136)</f>
        <v>0</v>
      </c>
      <c r="J137" s="30">
        <f>+I137-H137</f>
        <v>0</v>
      </c>
    </row>
    <row r="138" spans="1:10" ht="12.75">
      <c r="A138" s="47" t="s">
        <v>297</v>
      </c>
      <c r="B138" s="47" t="s">
        <v>298</v>
      </c>
      <c r="C138" s="24">
        <f>+'7 Önk'!D113+'8 PH'!D113+'9 VGIG'!D113+'10 Járób'!D113+'11 Szoci'!D113+'12 Ovi'!D113+'13 Művház'!D113+'14 Könyvt'!D113</f>
        <v>165453</v>
      </c>
      <c r="D138" s="24">
        <f>+'7 Önk'!E113+'8 PH'!E113+'9 VGIG'!E113+'10 Járób'!E113+'11 Szoci'!E113+'12 Ovi'!E113+'13 Művház'!E113+'14 Könyvt'!D113</f>
        <v>2980</v>
      </c>
      <c r="E138" s="25">
        <f>+D138+C138</f>
        <v>168433</v>
      </c>
      <c r="F138" s="24">
        <f>+'7 Önk'!G113+'8 PH'!G113+'9 VGIG'!G113+'10 Járób'!G113+'11 Szoci'!G113+'12 Ovi'!G113+'13 Művház'!G113+'14 Könyvt'!G113</f>
        <v>230817</v>
      </c>
      <c r="G138" s="24">
        <f>+'7 Önk'!H113+'8 PH'!H113+'9 VGIG'!H113+'10 Járób'!H113+'11 Szoci'!H113+'12 Ovi'!H113+'13 Művház'!H113+'14 Könyvt'!H113</f>
        <v>11585</v>
      </c>
      <c r="H138" s="25">
        <f>+G138+F138</f>
        <v>242402</v>
      </c>
      <c r="I138" s="30">
        <v>203083</v>
      </c>
      <c r="J138" s="30">
        <f>+I138-H138</f>
        <v>-39319</v>
      </c>
    </row>
    <row r="139" spans="1:10" ht="12.75">
      <c r="A139" s="47" t="s">
        <v>299</v>
      </c>
      <c r="B139" s="47" t="s">
        <v>298</v>
      </c>
      <c r="C139" s="24">
        <f>+'7 Önk'!D114+'8 PH'!D114+'9 VGIG'!D114+'10 Járób'!D114+'11 Szoci'!D114+'12 Ovi'!D114+'13 Művház'!D114+'14 Könyvt'!D114+'4 Átvett és Felh bev'!D78</f>
        <v>0</v>
      </c>
      <c r="D139" s="24">
        <f>+'7 Önk'!E114+'8 PH'!E114+'9 VGIG'!E114+'10 Járób'!E114+'11 Szoci'!E114+'12 Ovi'!E114+'13 Művház'!E114+'14 Könyvt'!E114+'4 Átvett és Felh bev'!E78</f>
        <v>0</v>
      </c>
      <c r="E139" s="25">
        <f>+D139+C139</f>
        <v>0</v>
      </c>
      <c r="F139" s="24">
        <f>+'7 Önk'!G114+'8 PH'!G114+'9 VGIG'!G114+'10 Járób'!G114+'11 Szoci'!G114+'12 Ovi'!G114+'13 Művház'!G114+'14 Könyvt'!G114+'4 Átvett és Felh bev'!G78</f>
        <v>0</v>
      </c>
      <c r="G139" s="24">
        <f>+'7 Önk'!H114+'8 PH'!H114+'9 VGIG'!H114+'10 Járób'!H114+'11 Szoci'!H114+'12 Ovi'!H114+'13 Művház'!H114+'14 Könyvt'!H114+'4 Átvett és Felh bev'!H78</f>
        <v>0</v>
      </c>
      <c r="H139" s="25">
        <f>+G139+F139</f>
        <v>0</v>
      </c>
      <c r="J139" s="30">
        <f>+I139-H139</f>
        <v>0</v>
      </c>
    </row>
    <row r="140" spans="1:10" ht="12.75">
      <c r="A140" s="47" t="s">
        <v>300</v>
      </c>
      <c r="B140" s="47" t="s">
        <v>301</v>
      </c>
      <c r="C140" s="24">
        <f>+'7 Önk'!D115+'8 PH'!D115+'9 VGIG'!D115+'10 Járób'!D115+'11 Szoci'!D115+'12 Ovi'!D115+'13 Művház'!D115+'14 Könyvt'!D115</f>
        <v>0</v>
      </c>
      <c r="D140" s="24">
        <f>+'7 Önk'!E115+'8 PH'!E115+'9 VGIG'!E115+'10 Járób'!E115+'11 Szoci'!E115+'12 Ovi'!E115+'13 Művház'!E115+'14 Könyvt'!E115</f>
        <v>0</v>
      </c>
      <c r="E140" s="25">
        <f>+D140+C140</f>
        <v>0</v>
      </c>
      <c r="F140" s="24">
        <f>+'7 Önk'!G115+'8 PH'!G115+'9 VGIG'!G115+'10 Járób'!G115+'11 Szoci'!G115+'12 Ovi'!G115+'13 Művház'!G115+'14 Könyvt'!G115</f>
        <v>0</v>
      </c>
      <c r="G140" s="24">
        <f>+'7 Önk'!H115+'8 PH'!H115+'9 VGIG'!H115+'10 Járób'!H115+'11 Szoci'!H115+'12 Ovi'!H115+'13 Művház'!H115+'14 Könyvt'!H115</f>
        <v>0</v>
      </c>
      <c r="H140" s="25">
        <f>+G140+F140</f>
        <v>0</v>
      </c>
      <c r="J140" s="30">
        <f>+I140-H140</f>
        <v>0</v>
      </c>
    </row>
    <row r="141" spans="1:10" ht="12.75">
      <c r="A141" s="47" t="s">
        <v>302</v>
      </c>
      <c r="B141" s="47" t="s">
        <v>301</v>
      </c>
      <c r="C141" s="24">
        <f>+'7 Önk'!D116+'8 PH'!D116+'9 VGIG'!D116+'10 Járób'!D116+'11 Szoci'!D116+'12 Ovi'!D116+'13 Művház'!D116+'14 Könyvt'!D116+'4 Átvett és Felh bev'!D78</f>
        <v>0</v>
      </c>
      <c r="D141" s="24">
        <f>+'7 Önk'!E116+'8 PH'!E116+'9 VGIG'!E116+'10 Járób'!E116+'11 Szoci'!E116+'12 Ovi'!E116+'13 Művház'!E116+'14 Könyvt'!E116+'4 Átvett és Felh bev'!E78</f>
        <v>0</v>
      </c>
      <c r="E141" s="25">
        <f>+D141+C141</f>
        <v>0</v>
      </c>
      <c r="F141" s="24">
        <f>+'7 Önk'!G116+'8 PH'!G116+'9 VGIG'!G116+'10 Járób'!G116+'11 Szoci'!G116+'12 Ovi'!G116+'13 Művház'!G116+'14 Könyvt'!G116+'4 Átvett és Felh bev'!G78</f>
        <v>0</v>
      </c>
      <c r="G141" s="24">
        <f>+'7 Önk'!H116+'8 PH'!H116+'9 VGIG'!H116+'10 Járób'!H116+'11 Szoci'!H116+'12 Ovi'!H116+'13 Művház'!H116+'14 Könyvt'!H116+'4 Átvett és Felh bev'!H78</f>
        <v>0</v>
      </c>
      <c r="H141" s="25">
        <f>+G141+F141</f>
        <v>0</v>
      </c>
      <c r="J141" s="30">
        <f>+I141-H141</f>
        <v>0</v>
      </c>
    </row>
    <row r="142" spans="1:10" ht="12.75">
      <c r="A142" s="50" t="s">
        <v>303</v>
      </c>
      <c r="B142" s="50" t="s">
        <v>304</v>
      </c>
      <c r="C142" s="25">
        <f>SUM(C138:C141)</f>
        <v>165453</v>
      </c>
      <c r="D142" s="25">
        <f>SUM(D138:D141)</f>
        <v>2980</v>
      </c>
      <c r="E142" s="25">
        <f>SUM(E138:E141)</f>
        <v>168433</v>
      </c>
      <c r="F142" s="25">
        <f>SUM(F138:F141)</f>
        <v>230817</v>
      </c>
      <c r="G142" s="25">
        <f>SUM(G138:G141)</f>
        <v>11585</v>
      </c>
      <c r="H142" s="25">
        <f>SUM(H138:H141)</f>
        <v>242402</v>
      </c>
      <c r="I142" s="30">
        <v>203083</v>
      </c>
      <c r="J142" s="30">
        <f>+I142-H142</f>
        <v>-39319</v>
      </c>
    </row>
    <row r="143" spans="1:10" ht="12.75">
      <c r="A143" s="68" t="s">
        <v>305</v>
      </c>
      <c r="B143" s="47" t="s">
        <v>306</v>
      </c>
      <c r="C143" s="24">
        <f>+'7 Önk'!D118+'8 PH'!D118+'9 VGIG'!D118+'10 Járób'!D118+'11 Szoci'!D118+'12 Ovi'!D118+'13 Művház'!D118+'14 Könyvt'!D118</f>
        <v>0</v>
      </c>
      <c r="D143" s="24">
        <f>+'7 Önk'!E118+'8 PH'!E118+'9 VGIG'!E118+'10 Járób'!E118+'11 Szoci'!E118+'12 Ovi'!E118+'13 Művház'!E118+'14 Könyvt'!E118</f>
        <v>0</v>
      </c>
      <c r="E143" s="25">
        <f>+D143+C143</f>
        <v>0</v>
      </c>
      <c r="F143" s="24">
        <f>+'7 Önk'!G118+'8 PH'!G118+'9 VGIG'!G118+'10 Járób'!G118+'11 Szoci'!G118+'12 Ovi'!G118+'13 Művház'!G118+'14 Könyvt'!G118</f>
        <v>0</v>
      </c>
      <c r="G143" s="24">
        <f>+'7 Önk'!H118+'8 PH'!H118+'9 VGIG'!H118+'10 Járób'!H118+'11 Szoci'!H118+'12 Ovi'!H118+'13 Művház'!H118+'14 Könyvt'!H118</f>
        <v>0</v>
      </c>
      <c r="H143" s="25">
        <f>+G143+F143</f>
        <v>0</v>
      </c>
      <c r="J143" s="30">
        <f>+I143-H143</f>
        <v>0</v>
      </c>
    </row>
    <row r="144" spans="1:10" ht="12.75">
      <c r="A144" s="68" t="s">
        <v>307</v>
      </c>
      <c r="B144" s="47" t="s">
        <v>308</v>
      </c>
      <c r="C144" s="24">
        <f>+'7 Önk'!D119+'8 PH'!D119+'9 VGIG'!D119+'10 Járób'!D119+'11 Szoci'!D119+'12 Ovi'!D119+'13 Művház'!D119+'14 Könyvt'!D119</f>
        <v>0</v>
      </c>
      <c r="D144" s="24">
        <f>+'7 Önk'!E119+'8 PH'!E119+'9 VGIG'!E119+'10 Járób'!E119+'11 Szoci'!E119+'12 Ovi'!E119+'13 Művház'!E119+'14 Könyvt'!E119</f>
        <v>0</v>
      </c>
      <c r="E144" s="25">
        <f>+D144+C144</f>
        <v>0</v>
      </c>
      <c r="F144" s="24">
        <f>+'7 Önk'!G119+'8 PH'!G119+'9 VGIG'!G119+'10 Járób'!G119+'11 Szoci'!G119+'12 Ovi'!G119+'13 Művház'!G119+'14 Könyvt'!G119</f>
        <v>0</v>
      </c>
      <c r="G144" s="24">
        <f>+'7 Önk'!H119+'8 PH'!H119+'9 VGIG'!H119+'10 Járób'!H119+'11 Szoci'!H119+'12 Ovi'!H119+'13 Művház'!H119+'14 Könyvt'!H119</f>
        <v>0</v>
      </c>
      <c r="H144" s="25">
        <f>+G144+F144</f>
        <v>0</v>
      </c>
      <c r="J144" s="30">
        <f>+I144-H144</f>
        <v>0</v>
      </c>
    </row>
    <row r="145" spans="1:10" ht="12.75">
      <c r="A145" s="68" t="s">
        <v>309</v>
      </c>
      <c r="B145" s="47" t="s">
        <v>310</v>
      </c>
      <c r="C145" s="24"/>
      <c r="D145" s="24"/>
      <c r="E145" s="25"/>
      <c r="F145" s="24"/>
      <c r="G145" s="24"/>
      <c r="H145" s="25"/>
      <c r="J145" s="30">
        <f>+I145-H145</f>
        <v>0</v>
      </c>
    </row>
    <row r="146" spans="1:10" ht="12.75">
      <c r="A146" s="68" t="s">
        <v>311</v>
      </c>
      <c r="B146" s="47" t="s">
        <v>312</v>
      </c>
      <c r="C146" s="24">
        <f>+'7 Önk'!D123+'8 PH'!D123+'9 VGIG'!D123+'10 Járób'!D123+'11 Szoci'!D123+'12 Ovi'!D123+'13 Művház'!D123+'14 Könyvt'!D123</f>
        <v>0</v>
      </c>
      <c r="D146" s="24">
        <f>+'7 Önk'!E123+'8 PH'!E123+'9 VGIG'!E123+'10 Járób'!E123+'11 Szoci'!E123+'12 Ovi'!E123+'13 Művház'!E123+'14 Könyvt'!E123</f>
        <v>0</v>
      </c>
      <c r="E146" s="25">
        <f>+D146+C146</f>
        <v>0</v>
      </c>
      <c r="F146" s="24">
        <f>+'7 Önk'!G123+'8 PH'!G123+'9 VGIG'!G123+'10 Járób'!G123+'11 Szoci'!G123+'12 Ovi'!G123+'13 Művház'!G123+'14 Könyvt'!G123</f>
        <v>0</v>
      </c>
      <c r="G146" s="24">
        <f>+'7 Önk'!H123+'8 PH'!H123+'9 VGIG'!H123+'10 Járób'!H123+'11 Szoci'!H123+'12 Ovi'!H123+'13 Művház'!H123+'14 Könyvt'!H123</f>
        <v>0</v>
      </c>
      <c r="H146" s="25">
        <f>+G146+F146</f>
        <v>0</v>
      </c>
      <c r="J146" s="30">
        <f>+I146-H146</f>
        <v>0</v>
      </c>
    </row>
    <row r="147" spans="1:10" ht="12.75">
      <c r="A147" s="60" t="s">
        <v>313</v>
      </c>
      <c r="B147" s="47" t="s">
        <v>314</v>
      </c>
      <c r="C147" s="24">
        <f>+'7 Önk'!D124+'8 PH'!D124+'9 VGIG'!D124+'10 Járób'!D124+'11 Szoci'!D124+'12 Ovi'!D124+'13 Művház'!D124+'14 Könyvt'!D124</f>
        <v>0</v>
      </c>
      <c r="D147" s="24">
        <f>+'7 Önk'!E124+'8 PH'!E124+'9 VGIG'!E124+'10 Járób'!E124+'11 Szoci'!E124+'12 Ovi'!E124+'13 Művház'!E124+'14 Könyvt'!E124</f>
        <v>0</v>
      </c>
      <c r="E147" s="25">
        <f>+D147+C147</f>
        <v>0</v>
      </c>
      <c r="F147" s="24">
        <f>+'7 Önk'!G124+'8 PH'!G124+'9 VGIG'!G124+'10 Járób'!G124+'11 Szoci'!G124+'12 Ovi'!G124+'13 Művház'!G124+'14 Könyvt'!G124</f>
        <v>0</v>
      </c>
      <c r="G147" s="24">
        <f>+'7 Önk'!H124+'8 PH'!H124+'9 VGIG'!H124+'10 Járób'!H124+'11 Szoci'!H124+'12 Ovi'!H124+'13 Művház'!H124+'14 Könyvt'!H124</f>
        <v>0</v>
      </c>
      <c r="H147" s="25">
        <f>+G147+F147</f>
        <v>0</v>
      </c>
      <c r="J147" s="30">
        <f>+I147-H147</f>
        <v>0</v>
      </c>
    </row>
    <row r="148" spans="1:10" ht="12.75">
      <c r="A148" s="60" t="s">
        <v>315</v>
      </c>
      <c r="B148" s="47" t="s">
        <v>316</v>
      </c>
      <c r="C148" s="24">
        <f>+'7 Önk'!D125+'8 PH'!D125+'9 VGIG'!D125+'10 Járób'!D125+'11 Szoci'!D125+'12 Ovi'!D125+'13 Művház'!D125+'14 Könyvt'!D125</f>
        <v>0</v>
      </c>
      <c r="D148" s="24">
        <f>+'7 Önk'!E125+'8 PH'!E125+'9 VGIG'!E125+'10 Járób'!E125+'11 Szoci'!E125+'12 Ovi'!E125+'13 Művház'!E125+'14 Könyvt'!E125</f>
        <v>0</v>
      </c>
      <c r="E148" s="25">
        <f>+D148+C148</f>
        <v>0</v>
      </c>
      <c r="F148" s="24">
        <f>+'7 Önk'!G125+'8 PH'!G125+'9 VGIG'!G125+'10 Járób'!G125+'11 Szoci'!G125+'12 Ovi'!G125+'13 Művház'!G125+'14 Könyvt'!G125</f>
        <v>0</v>
      </c>
      <c r="G148" s="24">
        <f>+'7 Önk'!H125+'8 PH'!H125+'9 VGIG'!H125+'10 Járób'!H125+'11 Szoci'!H125+'12 Ovi'!H125+'13 Művház'!H125+'14 Könyvt'!H125</f>
        <v>0</v>
      </c>
      <c r="H148" s="25">
        <f>+G148+F148</f>
        <v>0</v>
      </c>
      <c r="J148" s="30">
        <f>+I148-H148</f>
        <v>0</v>
      </c>
    </row>
    <row r="149" spans="1:10" ht="12.75">
      <c r="A149" s="51" t="s">
        <v>317</v>
      </c>
      <c r="B149" s="50" t="s">
        <v>318</v>
      </c>
      <c r="C149" s="25">
        <f>SUM(C143:C147)+C142+C137+C132</f>
        <v>253953</v>
      </c>
      <c r="D149" s="25">
        <f>SUM(D143:D147)+D142+D137+D132</f>
        <v>2980</v>
      </c>
      <c r="E149" s="25">
        <f>SUM(E143:E147)+E142+E137+E132</f>
        <v>256933</v>
      </c>
      <c r="F149" s="25">
        <f>SUM(F143:F147)+F142+F137+F132</f>
        <v>319317</v>
      </c>
      <c r="G149" s="25">
        <f>SUM(G143:G147)+G142+G137+G132</f>
        <v>11585</v>
      </c>
      <c r="H149" s="25">
        <f>SUM(H143:H147)+H142+H137+H132</f>
        <v>330902</v>
      </c>
      <c r="J149" s="30">
        <f>+I149-H149</f>
        <v>-330902</v>
      </c>
    </row>
    <row r="150" spans="1:10" ht="12.75">
      <c r="A150" s="68" t="s">
        <v>319</v>
      </c>
      <c r="B150" s="47" t="s">
        <v>320</v>
      </c>
      <c r="C150" s="24">
        <f>+'7 Önk'!D127+'8 PH'!D127+'9 VGIG'!D127+'10 Járób'!D127+'11 Szoci'!D127+'12 Ovi'!D127+'13 Művház'!D127+'14 Könyvt'!D127</f>
        <v>0</v>
      </c>
      <c r="D150" s="24">
        <f>+'7 Önk'!E127+'8 PH'!E127+'9 VGIG'!E127+'10 Járób'!E127+'11 Szoci'!E127+'12 Ovi'!E127+'13 Művház'!E127+'14 Könyvt'!E127</f>
        <v>0</v>
      </c>
      <c r="E150" s="25">
        <f>+D150+C150</f>
        <v>0</v>
      </c>
      <c r="F150" s="24">
        <f>+'7 Önk'!G127+'8 PH'!G127+'9 VGIG'!G127+'10 Járób'!G127+'11 Szoci'!G127+'12 Ovi'!G127+'13 Művház'!G127+'14 Könyvt'!G127</f>
        <v>0</v>
      </c>
      <c r="G150" s="24">
        <f>+'7 Önk'!H127+'8 PH'!H127+'9 VGIG'!H127+'10 Járób'!H127+'11 Szoci'!H127+'12 Ovi'!H127+'13 Művház'!H127+'14 Könyvt'!H127</f>
        <v>0</v>
      </c>
      <c r="H150" s="25">
        <f>+G150+F150</f>
        <v>0</v>
      </c>
      <c r="J150" s="30">
        <f>+I150-H150</f>
        <v>0</v>
      </c>
    </row>
    <row r="151" spans="1:10" ht="12.75">
      <c r="A151" s="60" t="s">
        <v>321</v>
      </c>
      <c r="B151" s="47" t="s">
        <v>322</v>
      </c>
      <c r="C151" s="24">
        <f>+'7 Önk'!D128+'8 PH'!D128+'9 VGIG'!D128+'10 Járób'!D128+'11 Szoci'!D128+'12 Ovi'!D128+'13 Művház'!D128+'14 Könyvt'!D128</f>
        <v>0</v>
      </c>
      <c r="D151" s="24">
        <f>+'7 Önk'!E128+'8 PH'!E128+'9 VGIG'!E128+'10 Járób'!E128+'11 Szoci'!E128+'12 Ovi'!E128+'13 Művház'!E128+'14 Könyvt'!E128</f>
        <v>0</v>
      </c>
      <c r="E151" s="25">
        <f>+D151+C151</f>
        <v>0</v>
      </c>
      <c r="F151" s="24">
        <f>+'7 Önk'!G128+'8 PH'!G128+'9 VGIG'!G128+'10 Járób'!G128+'11 Szoci'!G128+'12 Ovi'!G128+'13 Művház'!G128+'14 Könyvt'!G128</f>
        <v>0</v>
      </c>
      <c r="G151" s="24">
        <f>+'7 Önk'!H128+'8 PH'!H128+'9 VGIG'!H128+'10 Járób'!H128+'11 Szoci'!H128+'12 Ovi'!H128+'13 Művház'!H128+'14 Könyvt'!H128</f>
        <v>0</v>
      </c>
      <c r="H151" s="25">
        <f>+G151+F151</f>
        <v>0</v>
      </c>
      <c r="J151" s="30">
        <f>+I151-H151</f>
        <v>0</v>
      </c>
    </row>
    <row r="152" spans="1:10" ht="12.75">
      <c r="A152" s="60" t="s">
        <v>323</v>
      </c>
      <c r="B152" s="47" t="s">
        <v>324</v>
      </c>
      <c r="C152" s="24">
        <f>+'7 Önk'!D129+'8 PH'!D129+'9 VGIG'!D129+'10 Járób'!D129+'11 Szoci'!D129+'12 Ovi'!D129+'13 Művház'!D129+'14 Könyvt'!D129</f>
        <v>0</v>
      </c>
      <c r="D152" s="24">
        <f>+'7 Önk'!E129+'8 PH'!E129+'9 VGIG'!E129+'10 Járób'!E129+'11 Szoci'!E129+'12 Ovi'!E129+'13 Művház'!E129+'14 Könyvt'!E129</f>
        <v>0</v>
      </c>
      <c r="E152" s="25">
        <f>+D152+C152</f>
        <v>0</v>
      </c>
      <c r="F152" s="24">
        <f>+'7 Önk'!G129+'8 PH'!G129+'9 VGIG'!G129+'10 Járób'!G129+'11 Szoci'!G129+'12 Ovi'!G129+'13 Művház'!G129+'14 Könyvt'!G129</f>
        <v>0</v>
      </c>
      <c r="G152" s="24">
        <f>+'7 Önk'!H129+'8 PH'!H129+'9 VGIG'!H129+'10 Járób'!H129+'11 Szoci'!H129+'12 Ovi'!H129+'13 Művház'!H129+'14 Könyvt'!H129</f>
        <v>0</v>
      </c>
      <c r="H152" s="25">
        <f>+G152+F152</f>
        <v>0</v>
      </c>
      <c r="J152" s="30">
        <f>+I152-H152</f>
        <v>0</v>
      </c>
    </row>
    <row r="153" spans="1:10" ht="12.75">
      <c r="A153" s="73" t="s">
        <v>325</v>
      </c>
      <c r="B153" s="74" t="s">
        <v>326</v>
      </c>
      <c r="C153" s="63">
        <f>+C151+C150+C149+C152</f>
        <v>253953</v>
      </c>
      <c r="D153" s="63">
        <f>+D151+D150+D149+D152</f>
        <v>2980</v>
      </c>
      <c r="E153" s="63">
        <f>+E151+E150+E149+E152</f>
        <v>256933</v>
      </c>
      <c r="F153" s="63">
        <f>+F151+F150+F149+F152</f>
        <v>319317</v>
      </c>
      <c r="G153" s="63">
        <f>+G151+G150+G149+G152</f>
        <v>11585</v>
      </c>
      <c r="H153" s="63">
        <f>+H151+H150+H149+H152</f>
        <v>330902</v>
      </c>
      <c r="J153" s="30">
        <f>+I153-H153</f>
        <v>-330902</v>
      </c>
    </row>
    <row r="154" spans="1:10" ht="12.75">
      <c r="A154" s="28" t="s">
        <v>327</v>
      </c>
      <c r="B154" s="28" t="s">
        <v>328</v>
      </c>
      <c r="C154" s="29">
        <f>+C126+C153</f>
        <v>3061514</v>
      </c>
      <c r="D154" s="29">
        <f>+D126+D153</f>
        <v>1426742</v>
      </c>
      <c r="E154" s="29">
        <f>+E126+E153</f>
        <v>4488256</v>
      </c>
      <c r="F154" s="29">
        <f>+F126+F153</f>
        <v>3281846</v>
      </c>
      <c r="G154" s="29">
        <f>+G126+G153</f>
        <v>1437972</v>
      </c>
      <c r="H154" s="29">
        <f>+H126+H153</f>
        <v>4719818</v>
      </c>
      <c r="J154" s="30">
        <f>+I154-H154</f>
        <v>-4719818</v>
      </c>
    </row>
    <row r="155" spans="1:10" ht="12.75">
      <c r="A155" s="13"/>
      <c r="B155" s="13"/>
      <c r="C155" s="14"/>
      <c r="D155" s="14"/>
      <c r="E155" s="85"/>
      <c r="F155" s="14"/>
      <c r="G155" s="14"/>
      <c r="H155" s="85"/>
      <c r="J155" s="30">
        <f>+I155-H155</f>
        <v>0</v>
      </c>
    </row>
    <row r="156" spans="1:10" ht="12.75">
      <c r="A156" s="26" t="s">
        <v>329</v>
      </c>
      <c r="B156" s="26"/>
      <c r="C156" s="25">
        <f>+C126-C58</f>
        <v>-165453</v>
      </c>
      <c r="D156" s="25">
        <f>+D126-D58</f>
        <v>-2980</v>
      </c>
      <c r="E156" s="25">
        <f>+E126-E58</f>
        <v>-168433</v>
      </c>
      <c r="F156" s="25">
        <f>+F126-F58</f>
        <v>-204821</v>
      </c>
      <c r="G156" s="25">
        <f>+G126-G58</f>
        <v>-11585</v>
      </c>
      <c r="H156" s="25">
        <f>+H126-H58</f>
        <v>-216406</v>
      </c>
      <c r="J156" s="30">
        <f>+I156-H156</f>
        <v>216406</v>
      </c>
    </row>
    <row r="157" spans="1:10" ht="12.75">
      <c r="A157" s="26" t="s">
        <v>330</v>
      </c>
      <c r="B157" s="26"/>
      <c r="C157" s="25">
        <f>+C153-C75</f>
        <v>165453</v>
      </c>
      <c r="D157" s="25">
        <f>+D153-D75</f>
        <v>2980</v>
      </c>
      <c r="E157" s="25">
        <f>+E153-E75</f>
        <v>168433</v>
      </c>
      <c r="F157" s="25">
        <f>+F153-F75</f>
        <v>204821</v>
      </c>
      <c r="G157" s="25">
        <f>+G153-G75</f>
        <v>11585</v>
      </c>
      <c r="H157" s="25">
        <f>+H153-H75</f>
        <v>216406</v>
      </c>
      <c r="J157" s="30">
        <f>+I157-H157</f>
        <v>-216406</v>
      </c>
    </row>
    <row r="158" spans="1:10" ht="12.75">
      <c r="A158" s="86"/>
      <c r="B158" s="86"/>
      <c r="C158" s="78"/>
      <c r="D158" s="78"/>
      <c r="E158" s="78"/>
      <c r="F158" s="78"/>
      <c r="G158" s="78"/>
      <c r="H158" s="78"/>
      <c r="J158" s="30">
        <f>+I158-H158</f>
        <v>0</v>
      </c>
    </row>
    <row r="159" spans="1:10" ht="12.75">
      <c r="A159" s="26" t="s">
        <v>331</v>
      </c>
      <c r="B159" s="26"/>
      <c r="C159" s="25">
        <f>+C127+C131+C138-C61</f>
        <v>0</v>
      </c>
      <c r="D159" s="25">
        <f>+D127+D132+D138-D61</f>
        <v>0</v>
      </c>
      <c r="E159" s="25">
        <f>+C159+D159</f>
        <v>0</v>
      </c>
      <c r="F159" s="25">
        <f>+F127+F131+F138-F61</f>
        <v>61079</v>
      </c>
      <c r="G159" s="25">
        <f>+G127+G132+G138-G61</f>
        <v>8445</v>
      </c>
      <c r="H159" s="25">
        <f>+F159+G159</f>
        <v>69524</v>
      </c>
      <c r="J159" s="30">
        <f>+I159-H159</f>
        <v>-69524</v>
      </c>
    </row>
    <row r="160" spans="1:10" ht="12.75">
      <c r="A160" s="26" t="s">
        <v>332</v>
      </c>
      <c r="B160" s="26"/>
      <c r="C160" s="25">
        <f>+C128+C139-C59+C129+C130</f>
        <v>0</v>
      </c>
      <c r="D160" s="25">
        <f>+D128+D139-D59+D129+D130</f>
        <v>0</v>
      </c>
      <c r="E160" s="25">
        <f>+C160+D160</f>
        <v>0</v>
      </c>
      <c r="F160" s="25">
        <f>+F128+F139-F59+F129+F130</f>
        <v>-35083</v>
      </c>
      <c r="G160" s="25">
        <f>+G128+G139-G59+G129+G130</f>
        <v>-8445</v>
      </c>
      <c r="H160" s="25">
        <f>+F160+G160</f>
        <v>-43528</v>
      </c>
      <c r="J160" s="30">
        <f>+I160-H160</f>
        <v>43528</v>
      </c>
    </row>
    <row r="161" spans="1:10" ht="12.75">
      <c r="A161" s="13"/>
      <c r="B161" s="13"/>
      <c r="C161" s="14"/>
      <c r="D161" s="14"/>
      <c r="E161" s="85"/>
      <c r="F161" s="14"/>
      <c r="G161" s="14"/>
      <c r="H161" s="85"/>
      <c r="J161" s="30">
        <f>+I161-H161</f>
        <v>0</v>
      </c>
    </row>
    <row r="162" spans="1:10" ht="12.75">
      <c r="A162" s="87" t="s">
        <v>333</v>
      </c>
      <c r="B162" s="13"/>
      <c r="C162" s="14">
        <f>+C154-C76</f>
        <v>0</v>
      </c>
      <c r="D162" s="14">
        <f>+D154-D76</f>
        <v>0</v>
      </c>
      <c r="E162" s="14">
        <f>+E154-E76</f>
        <v>0</v>
      </c>
      <c r="F162" s="14">
        <f>+F154-F76</f>
        <v>0</v>
      </c>
      <c r="G162" s="14">
        <f>+G154-G76</f>
        <v>0</v>
      </c>
      <c r="H162" s="14">
        <f>+H154-H76</f>
        <v>0</v>
      </c>
      <c r="J162" s="30">
        <f>+I162-H162</f>
        <v>0</v>
      </c>
    </row>
    <row r="163" spans="1:8" ht="12.75">
      <c r="A163" s="13"/>
      <c r="B163" s="13"/>
      <c r="C163" s="14"/>
      <c r="D163" s="14"/>
      <c r="E163" s="85"/>
      <c r="F163" s="14"/>
      <c r="G163" s="14"/>
      <c r="H163" s="85"/>
    </row>
    <row r="164" spans="1:8" ht="12.75">
      <c r="A164" s="13"/>
      <c r="B164" s="13"/>
      <c r="C164" s="14"/>
      <c r="D164" s="14"/>
      <c r="E164" s="85"/>
      <c r="F164" s="14"/>
      <c r="G164" s="14"/>
      <c r="H164" s="85"/>
    </row>
    <row r="165" spans="1:8" ht="12.75">
      <c r="A165" s="13"/>
      <c r="B165" s="13"/>
      <c r="C165" s="14"/>
      <c r="D165" s="14"/>
      <c r="E165" s="85"/>
      <c r="F165" s="14"/>
      <c r="G165" s="14"/>
      <c r="H165" s="85"/>
    </row>
    <row r="166" spans="1:8" ht="12.75">
      <c r="A166" s="13"/>
      <c r="B166" s="13"/>
      <c r="C166" s="14"/>
      <c r="D166" s="14"/>
      <c r="E166" s="85"/>
      <c r="F166" s="14"/>
      <c r="G166" s="14"/>
      <c r="H166" s="85"/>
    </row>
    <row r="167" spans="1:8" ht="12.75">
      <c r="A167" s="13"/>
      <c r="B167" s="13"/>
      <c r="C167" s="14"/>
      <c r="D167" s="14"/>
      <c r="E167" s="85"/>
      <c r="F167" s="14"/>
      <c r="G167" s="14"/>
      <c r="H167" s="85"/>
    </row>
    <row r="168" spans="1:8" ht="12.75">
      <c r="A168" s="13"/>
      <c r="B168" s="13"/>
      <c r="C168" s="14"/>
      <c r="D168" s="14"/>
      <c r="E168" s="85"/>
      <c r="F168" s="14"/>
      <c r="G168" s="14"/>
      <c r="H168" s="85"/>
    </row>
    <row r="169" spans="1:8" ht="12.75">
      <c r="A169" s="13"/>
      <c r="B169" s="13"/>
      <c r="C169" s="14"/>
      <c r="D169" s="14"/>
      <c r="E169" s="85"/>
      <c r="F169" s="14"/>
      <c r="G169" s="14"/>
      <c r="H169" s="85"/>
    </row>
    <row r="170" spans="1:8" ht="12.75">
      <c r="A170" s="13"/>
      <c r="B170" s="13"/>
      <c r="C170" s="14"/>
      <c r="D170" s="14"/>
      <c r="E170" s="85"/>
      <c r="F170" s="14"/>
      <c r="G170" s="14"/>
      <c r="H170" s="85"/>
    </row>
    <row r="171" spans="1:8" ht="12.75">
      <c r="A171" s="13"/>
      <c r="B171" s="13"/>
      <c r="C171" s="14"/>
      <c r="D171" s="14"/>
      <c r="E171" s="85"/>
      <c r="F171" s="14"/>
      <c r="G171" s="14"/>
      <c r="H171" s="85"/>
    </row>
    <row r="172" spans="1:8" ht="12.75">
      <c r="A172" s="13"/>
      <c r="B172" s="13"/>
      <c r="C172" s="14"/>
      <c r="D172" s="14"/>
      <c r="E172" s="85"/>
      <c r="F172" s="14"/>
      <c r="G172" s="14"/>
      <c r="H172" s="85"/>
    </row>
    <row r="173" spans="1:8" ht="12.75">
      <c r="A173" s="13"/>
      <c r="B173" s="13"/>
      <c r="C173" s="14"/>
      <c r="D173" s="14"/>
      <c r="E173" s="85"/>
      <c r="F173" s="14"/>
      <c r="G173" s="14"/>
      <c r="H173" s="85"/>
    </row>
    <row r="174" spans="1:8" ht="12.75">
      <c r="A174" s="13"/>
      <c r="B174" s="13"/>
      <c r="C174" s="14"/>
      <c r="D174" s="14"/>
      <c r="E174" s="85"/>
      <c r="F174" s="14"/>
      <c r="G174" s="14"/>
      <c r="H174" s="85"/>
    </row>
    <row r="175" spans="1:8" ht="12.75">
      <c r="A175" s="13"/>
      <c r="B175" s="13"/>
      <c r="C175" s="14"/>
      <c r="D175" s="14"/>
      <c r="E175" s="85"/>
      <c r="F175" s="14"/>
      <c r="G175" s="14"/>
      <c r="H175" s="85"/>
    </row>
    <row r="176" spans="1:8" ht="12.75">
      <c r="A176" s="13"/>
      <c r="B176" s="13"/>
      <c r="C176" s="14"/>
      <c r="D176" s="14"/>
      <c r="E176" s="85"/>
      <c r="F176" s="14"/>
      <c r="G176" s="14"/>
      <c r="H176" s="85"/>
    </row>
    <row r="177" spans="1:8" ht="12.75">
      <c r="A177" s="13"/>
      <c r="B177" s="13"/>
      <c r="C177" s="14"/>
      <c r="D177" s="14"/>
      <c r="E177" s="85"/>
      <c r="F177" s="14"/>
      <c r="G177" s="14"/>
      <c r="H177" s="85"/>
    </row>
    <row r="178" spans="1:8" ht="12.75">
      <c r="A178" s="13"/>
      <c r="B178" s="13"/>
      <c r="C178" s="14"/>
      <c r="D178" s="14"/>
      <c r="E178" s="85"/>
      <c r="F178" s="14"/>
      <c r="G178" s="14"/>
      <c r="H178" s="85"/>
    </row>
    <row r="179" spans="1:8" ht="12.75">
      <c r="A179" s="13"/>
      <c r="B179" s="13"/>
      <c r="C179" s="14"/>
      <c r="D179" s="14"/>
      <c r="E179" s="85"/>
      <c r="F179" s="14"/>
      <c r="G179" s="14"/>
      <c r="H179" s="85"/>
    </row>
    <row r="180" spans="1:8" ht="12.75">
      <c r="A180" s="13"/>
      <c r="B180" s="13"/>
      <c r="C180" s="14"/>
      <c r="D180" s="14"/>
      <c r="E180" s="85"/>
      <c r="F180" s="14"/>
      <c r="G180" s="14"/>
      <c r="H180" s="85"/>
    </row>
    <row r="181" spans="1:8" ht="12.75">
      <c r="A181" s="13"/>
      <c r="B181" s="13"/>
      <c r="C181" s="14"/>
      <c r="D181" s="14"/>
      <c r="E181" s="85"/>
      <c r="F181" s="14"/>
      <c r="G181" s="14"/>
      <c r="H181" s="85"/>
    </row>
    <row r="182" spans="1:8" ht="12.75">
      <c r="A182" s="13"/>
      <c r="B182" s="13"/>
      <c r="C182" s="14"/>
      <c r="D182" s="14"/>
      <c r="E182" s="85"/>
      <c r="F182" s="14"/>
      <c r="G182" s="14"/>
      <c r="H182" s="85"/>
    </row>
    <row r="183" spans="1:8" ht="12.75">
      <c r="A183" s="13"/>
      <c r="B183" s="13"/>
      <c r="C183" s="14"/>
      <c r="D183" s="14"/>
      <c r="E183" s="85"/>
      <c r="F183" s="14"/>
      <c r="G183" s="14"/>
      <c r="H183" s="85"/>
    </row>
    <row r="184" spans="1:8" ht="12.75">
      <c r="A184" s="13"/>
      <c r="B184" s="13"/>
      <c r="C184" s="14"/>
      <c r="D184" s="14"/>
      <c r="E184" s="85"/>
      <c r="F184" s="14"/>
      <c r="G184" s="14"/>
      <c r="H184" s="85"/>
    </row>
    <row r="185" spans="1:8" ht="12.75">
      <c r="A185" s="13"/>
      <c r="B185" s="13"/>
      <c r="C185" s="14"/>
      <c r="D185" s="14"/>
      <c r="E185" s="85"/>
      <c r="F185" s="14"/>
      <c r="G185" s="14"/>
      <c r="H185" s="85"/>
    </row>
    <row r="186" spans="1:8" ht="12.75">
      <c r="A186" s="13"/>
      <c r="B186" s="13"/>
      <c r="C186" s="14"/>
      <c r="D186" s="14"/>
      <c r="E186" s="85"/>
      <c r="F186" s="14"/>
      <c r="G186" s="14"/>
      <c r="H186" s="85"/>
    </row>
    <row r="187" spans="1:8" ht="12.75">
      <c r="A187" s="13"/>
      <c r="B187" s="13"/>
      <c r="C187" s="14"/>
      <c r="D187" s="14"/>
      <c r="E187" s="85"/>
      <c r="F187" s="14"/>
      <c r="G187" s="14"/>
      <c r="H187" s="85"/>
    </row>
    <row r="188" spans="1:8" ht="12.75">
      <c r="A188" s="13"/>
      <c r="B188" s="13"/>
      <c r="C188" s="14"/>
      <c r="D188" s="14"/>
      <c r="E188" s="85"/>
      <c r="F188" s="14"/>
      <c r="G188" s="14"/>
      <c r="H188" s="85"/>
    </row>
    <row r="189" spans="1:8" ht="12.75">
      <c r="A189" s="13"/>
      <c r="B189" s="13"/>
      <c r="C189" s="14"/>
      <c r="D189" s="14"/>
      <c r="E189" s="85"/>
      <c r="F189" s="14"/>
      <c r="G189" s="14"/>
      <c r="H189" s="85"/>
    </row>
    <row r="190" spans="1:8" ht="12.75">
      <c r="A190" s="13"/>
      <c r="B190" s="13"/>
      <c r="C190" s="14"/>
      <c r="D190" s="14"/>
      <c r="E190" s="85"/>
      <c r="F190" s="14"/>
      <c r="G190" s="14"/>
      <c r="H190" s="85"/>
    </row>
    <row r="191" spans="1:8" ht="12.75">
      <c r="A191" s="13"/>
      <c r="B191" s="13"/>
      <c r="C191" s="14"/>
      <c r="D191" s="14"/>
      <c r="E191" s="85"/>
      <c r="F191" s="14"/>
      <c r="G191" s="14"/>
      <c r="H191" s="85"/>
    </row>
    <row r="192" spans="1:8" ht="12.75">
      <c r="A192" s="13"/>
      <c r="B192" s="13"/>
      <c r="C192" s="14"/>
      <c r="D192" s="14"/>
      <c r="E192" s="85"/>
      <c r="F192" s="14"/>
      <c r="G192" s="14"/>
      <c r="H192" s="85"/>
    </row>
    <row r="193" spans="1:8" ht="12.75">
      <c r="A193" s="13"/>
      <c r="B193" s="13"/>
      <c r="C193" s="14"/>
      <c r="D193" s="14"/>
      <c r="E193" s="85"/>
      <c r="F193" s="14"/>
      <c r="G193" s="14"/>
      <c r="H193" s="85"/>
    </row>
    <row r="194" spans="1:8" ht="12.75">
      <c r="A194" s="13"/>
      <c r="B194" s="13"/>
      <c r="C194" s="14"/>
      <c r="D194" s="14"/>
      <c r="E194" s="85"/>
      <c r="F194" s="14"/>
      <c r="G194" s="14"/>
      <c r="H194" s="85"/>
    </row>
    <row r="195" spans="1:8" ht="12.75">
      <c r="A195" s="13"/>
      <c r="B195" s="13"/>
      <c r="C195" s="14"/>
      <c r="D195" s="14"/>
      <c r="E195" s="85"/>
      <c r="F195" s="14"/>
      <c r="G195" s="14"/>
      <c r="H195" s="85"/>
    </row>
    <row r="196" spans="1:8" ht="12.75">
      <c r="A196" s="13"/>
      <c r="B196" s="13"/>
      <c r="C196" s="14"/>
      <c r="D196" s="14"/>
      <c r="E196" s="85"/>
      <c r="F196" s="14"/>
      <c r="G196" s="14"/>
      <c r="H196" s="85"/>
    </row>
    <row r="197" spans="1:8" ht="12.75">
      <c r="A197" s="13"/>
      <c r="B197" s="13"/>
      <c r="C197" s="14"/>
      <c r="D197" s="14"/>
      <c r="E197" s="85"/>
      <c r="F197" s="14"/>
      <c r="G197" s="14"/>
      <c r="H197" s="85"/>
    </row>
    <row r="198" spans="1:8" ht="12.75">
      <c r="A198" s="13"/>
      <c r="B198" s="13"/>
      <c r="C198" s="14"/>
      <c r="D198" s="14"/>
      <c r="E198" s="85"/>
      <c r="F198" s="14"/>
      <c r="G198" s="14"/>
      <c r="H198" s="85"/>
    </row>
    <row r="199" spans="1:8" ht="12.75">
      <c r="A199" s="13"/>
      <c r="B199" s="13"/>
      <c r="C199" s="14"/>
      <c r="D199" s="14"/>
      <c r="E199" s="85"/>
      <c r="F199" s="14"/>
      <c r="G199" s="14"/>
      <c r="H199" s="85"/>
    </row>
    <row r="200" spans="1:8" ht="12.75">
      <c r="A200" s="13"/>
      <c r="B200" s="13"/>
      <c r="C200" s="14"/>
      <c r="D200" s="14"/>
      <c r="E200" s="85"/>
      <c r="F200" s="14"/>
      <c r="G200" s="14"/>
      <c r="H200" s="85"/>
    </row>
    <row r="201" spans="1:8" ht="12.75">
      <c r="A201" s="13"/>
      <c r="B201" s="13"/>
      <c r="C201" s="14"/>
      <c r="D201" s="14"/>
      <c r="E201" s="85"/>
      <c r="F201" s="14"/>
      <c r="G201" s="14"/>
      <c r="H201" s="85"/>
    </row>
    <row r="202" spans="1:8" ht="12.75">
      <c r="A202" s="13"/>
      <c r="B202" s="13"/>
      <c r="C202" s="14"/>
      <c r="D202" s="14"/>
      <c r="E202" s="85"/>
      <c r="F202" s="14"/>
      <c r="G202" s="14"/>
      <c r="H202" s="85"/>
    </row>
    <row r="203" spans="1:8" ht="12.75">
      <c r="A203" s="13"/>
      <c r="B203" s="13"/>
      <c r="C203" s="14"/>
      <c r="D203" s="14"/>
      <c r="E203" s="85"/>
      <c r="F203" s="14"/>
      <c r="G203" s="14"/>
      <c r="H203" s="85"/>
    </row>
    <row r="204" spans="1:8" ht="12.75">
      <c r="A204" s="13"/>
      <c r="B204" s="13"/>
      <c r="C204" s="14"/>
      <c r="D204" s="14"/>
      <c r="E204" s="85"/>
      <c r="F204" s="14"/>
      <c r="G204" s="14"/>
      <c r="H204" s="85"/>
    </row>
    <row r="205" spans="1:8" ht="12.75">
      <c r="A205" s="13"/>
      <c r="B205" s="13"/>
      <c r="C205" s="14"/>
      <c r="D205" s="14"/>
      <c r="E205" s="85"/>
      <c r="F205" s="14"/>
      <c r="G205" s="14"/>
      <c r="H205" s="85"/>
    </row>
    <row r="206" spans="1:8" ht="12.75">
      <c r="A206" s="13"/>
      <c r="B206" s="13"/>
      <c r="C206" s="14"/>
      <c r="D206" s="14"/>
      <c r="E206" s="85"/>
      <c r="F206" s="14"/>
      <c r="G206" s="14"/>
      <c r="H206" s="85"/>
    </row>
    <row r="207" spans="1:8" ht="12.75">
      <c r="A207" s="13"/>
      <c r="B207" s="13"/>
      <c r="C207" s="14"/>
      <c r="D207" s="14"/>
      <c r="E207" s="85"/>
      <c r="F207" s="14"/>
      <c r="G207" s="14"/>
      <c r="H207" s="85"/>
    </row>
    <row r="208" spans="1:8" ht="12.75">
      <c r="A208" s="13"/>
      <c r="B208" s="13"/>
      <c r="C208" s="14"/>
      <c r="D208" s="14"/>
      <c r="E208" s="85"/>
      <c r="F208" s="14"/>
      <c r="G208" s="14"/>
      <c r="H208" s="85"/>
    </row>
    <row r="209" spans="1:8" ht="12.75">
      <c r="A209" s="13"/>
      <c r="B209" s="13"/>
      <c r="C209" s="14"/>
      <c r="D209" s="14"/>
      <c r="E209" s="85"/>
      <c r="F209" s="14"/>
      <c r="G209" s="14"/>
      <c r="H209" s="85"/>
    </row>
    <row r="210" spans="1:8" ht="12.75">
      <c r="A210" s="13"/>
      <c r="B210" s="13"/>
      <c r="C210" s="14"/>
      <c r="D210" s="14"/>
      <c r="E210" s="85"/>
      <c r="F210" s="14"/>
      <c r="G210" s="14"/>
      <c r="H210" s="85"/>
    </row>
    <row r="211" spans="1:8" ht="12.75">
      <c r="A211" s="13"/>
      <c r="B211" s="13"/>
      <c r="C211" s="14"/>
      <c r="D211" s="14"/>
      <c r="E211" s="85"/>
      <c r="F211" s="14"/>
      <c r="G211" s="14"/>
      <c r="H211" s="85"/>
    </row>
    <row r="212" spans="1:8" ht="12.75">
      <c r="A212" s="13"/>
      <c r="B212" s="13"/>
      <c r="C212" s="14"/>
      <c r="D212" s="14"/>
      <c r="E212" s="85"/>
      <c r="F212" s="14"/>
      <c r="G212" s="14"/>
      <c r="H212" s="85"/>
    </row>
    <row r="213" spans="1:8" ht="12.75">
      <c r="A213" s="13"/>
      <c r="B213" s="13"/>
      <c r="C213" s="14"/>
      <c r="D213" s="14"/>
      <c r="E213" s="85"/>
      <c r="F213" s="14"/>
      <c r="G213" s="14"/>
      <c r="H213" s="85"/>
    </row>
    <row r="214" spans="1:8" ht="12.75">
      <c r="A214" s="13"/>
      <c r="B214" s="13"/>
      <c r="C214" s="14"/>
      <c r="D214" s="14"/>
      <c r="E214" s="85"/>
      <c r="F214" s="14"/>
      <c r="G214" s="14"/>
      <c r="H214" s="85"/>
    </row>
    <row r="215" spans="1:8" ht="12.75">
      <c r="A215" s="13"/>
      <c r="B215" s="13"/>
      <c r="C215" s="14"/>
      <c r="D215" s="14"/>
      <c r="E215" s="85"/>
      <c r="F215" s="14"/>
      <c r="G215" s="14"/>
      <c r="H215" s="85"/>
    </row>
    <row r="216" spans="1:8" ht="12.75">
      <c r="A216" s="13"/>
      <c r="B216" s="13"/>
      <c r="C216" s="13"/>
      <c r="D216" s="13"/>
      <c r="E216" s="27"/>
      <c r="F216" s="13"/>
      <c r="G216" s="13"/>
      <c r="H216" s="27"/>
    </row>
    <row r="217" spans="1:8" ht="12.75">
      <c r="A217" s="13"/>
      <c r="B217" s="13"/>
      <c r="C217" s="13"/>
      <c r="D217" s="13"/>
      <c r="E217" s="27"/>
      <c r="F217" s="13"/>
      <c r="G217" s="13"/>
      <c r="H217" s="27"/>
    </row>
    <row r="218" spans="1:8" ht="12.75">
      <c r="A218" s="13"/>
      <c r="B218" s="13"/>
      <c r="C218" s="13"/>
      <c r="D218" s="13"/>
      <c r="E218" s="27"/>
      <c r="F218" s="13"/>
      <c r="G218" s="13"/>
      <c r="H218" s="27"/>
    </row>
    <row r="219" spans="1:8" ht="12.75">
      <c r="A219" s="13"/>
      <c r="B219" s="13"/>
      <c r="C219" s="13"/>
      <c r="D219" s="13"/>
      <c r="E219" s="27"/>
      <c r="F219" s="13"/>
      <c r="G219" s="13"/>
      <c r="H219" s="27"/>
    </row>
    <row r="220" spans="1:8" ht="12.75">
      <c r="A220" s="13"/>
      <c r="B220" s="13"/>
      <c r="C220" s="13"/>
      <c r="D220" s="13"/>
      <c r="E220" s="27"/>
      <c r="F220" s="13"/>
      <c r="G220" s="13"/>
      <c r="H220" s="27"/>
    </row>
    <row r="221" spans="1:8" ht="12.75">
      <c r="A221" s="13"/>
      <c r="B221" s="13"/>
      <c r="C221" s="13"/>
      <c r="D221" s="13"/>
      <c r="E221" s="27"/>
      <c r="F221" s="13"/>
      <c r="G221" s="13"/>
      <c r="H221" s="27"/>
    </row>
    <row r="222" spans="1:8" ht="12.75">
      <c r="A222" s="13"/>
      <c r="B222" s="13"/>
      <c r="C222" s="13"/>
      <c r="D222" s="13"/>
      <c r="E222" s="27"/>
      <c r="F222" s="13"/>
      <c r="G222" s="13"/>
      <c r="H222" s="27"/>
    </row>
    <row r="223" spans="1:8" ht="12.75">
      <c r="A223" s="13"/>
      <c r="B223" s="13"/>
      <c r="C223" s="13"/>
      <c r="D223" s="13"/>
      <c r="E223" s="27"/>
      <c r="F223" s="13"/>
      <c r="G223" s="13"/>
      <c r="H223" s="27"/>
    </row>
    <row r="224" spans="1:8" ht="12.75">
      <c r="A224" s="13"/>
      <c r="B224" s="13"/>
      <c r="C224" s="13"/>
      <c r="D224" s="13"/>
      <c r="E224" s="27"/>
      <c r="F224" s="13"/>
      <c r="G224" s="13"/>
      <c r="H224" s="27"/>
    </row>
    <row r="225" spans="1:8" ht="12.75">
      <c r="A225" s="13"/>
      <c r="B225" s="13"/>
      <c r="C225" s="13"/>
      <c r="D225" s="13"/>
      <c r="E225" s="27"/>
      <c r="F225" s="13"/>
      <c r="G225" s="13"/>
      <c r="H225" s="27"/>
    </row>
    <row r="226" spans="1:8" ht="12.75">
      <c r="A226" s="13"/>
      <c r="B226" s="13"/>
      <c r="C226" s="13"/>
      <c r="D226" s="13"/>
      <c r="E226" s="27"/>
      <c r="F226" s="13"/>
      <c r="G226" s="13"/>
      <c r="H226" s="27"/>
    </row>
    <row r="227" spans="1:8" ht="12.75">
      <c r="A227" s="13"/>
      <c r="B227" s="13"/>
      <c r="C227" s="13"/>
      <c r="D227" s="13"/>
      <c r="E227" s="27"/>
      <c r="F227" s="13"/>
      <c r="G227" s="13"/>
      <c r="H227" s="27"/>
    </row>
    <row r="228" spans="1:8" ht="12.75">
      <c r="A228" s="13"/>
      <c r="B228" s="13"/>
      <c r="C228" s="13"/>
      <c r="D228" s="13"/>
      <c r="E228" s="27"/>
      <c r="F228" s="13"/>
      <c r="G228" s="13"/>
      <c r="H228" s="27"/>
    </row>
    <row r="229" spans="1:8" ht="12.75">
      <c r="A229" s="13"/>
      <c r="B229" s="13"/>
      <c r="C229" s="13"/>
      <c r="D229" s="13"/>
      <c r="E229" s="27"/>
      <c r="F229" s="13"/>
      <c r="G229" s="13"/>
      <c r="H229" s="27"/>
    </row>
    <row r="230" spans="1:8" ht="12.75">
      <c r="A230" s="13"/>
      <c r="B230" s="13"/>
      <c r="C230" s="13"/>
      <c r="D230" s="13"/>
      <c r="E230" s="27"/>
      <c r="F230" s="13"/>
      <c r="G230" s="13"/>
      <c r="H230" s="27"/>
    </row>
    <row r="231" spans="1:8" ht="12.75">
      <c r="A231" s="13"/>
      <c r="B231" s="13"/>
      <c r="C231" s="13"/>
      <c r="D231" s="13"/>
      <c r="E231" s="27"/>
      <c r="F231" s="13"/>
      <c r="G231" s="13"/>
      <c r="H231" s="27"/>
    </row>
    <row r="232" spans="1:8" ht="12.75">
      <c r="A232" s="13"/>
      <c r="B232" s="13"/>
      <c r="C232" s="13"/>
      <c r="D232" s="13"/>
      <c r="E232" s="27"/>
      <c r="F232" s="13"/>
      <c r="G232" s="13"/>
      <c r="H232" s="27"/>
    </row>
    <row r="233" spans="1:8" ht="12.75">
      <c r="A233" s="13"/>
      <c r="B233" s="13"/>
      <c r="C233" s="13"/>
      <c r="D233" s="13"/>
      <c r="E233" s="27"/>
      <c r="F233" s="13"/>
      <c r="G233" s="13"/>
      <c r="H233" s="27"/>
    </row>
    <row r="234" spans="1:8" ht="12.75">
      <c r="A234" s="13"/>
      <c r="B234" s="13"/>
      <c r="C234" s="13"/>
      <c r="D234" s="13"/>
      <c r="E234" s="27"/>
      <c r="F234" s="13"/>
      <c r="G234" s="13"/>
      <c r="H234" s="27"/>
    </row>
    <row r="235" spans="1:8" ht="12.75">
      <c r="A235" s="13"/>
      <c r="B235" s="13"/>
      <c r="C235" s="13"/>
      <c r="D235" s="13"/>
      <c r="E235" s="27"/>
      <c r="F235" s="13"/>
      <c r="G235" s="13"/>
      <c r="H235" s="27"/>
    </row>
    <row r="236" spans="1:8" ht="12.75">
      <c r="A236" s="13"/>
      <c r="B236" s="13"/>
      <c r="C236" s="13"/>
      <c r="D236" s="13"/>
      <c r="E236" s="27"/>
      <c r="F236" s="13"/>
      <c r="G236" s="13"/>
      <c r="H236" s="27"/>
    </row>
    <row r="237" spans="1:8" ht="12.75">
      <c r="A237" s="13"/>
      <c r="B237" s="13"/>
      <c r="C237" s="13"/>
      <c r="D237" s="13"/>
      <c r="E237" s="27"/>
      <c r="F237" s="13"/>
      <c r="G237" s="13"/>
      <c r="H237" s="27"/>
    </row>
    <row r="238" spans="1:8" ht="12.75">
      <c r="A238" s="13"/>
      <c r="B238" s="13"/>
      <c r="C238" s="13"/>
      <c r="D238" s="13"/>
      <c r="E238" s="27"/>
      <c r="F238" s="13"/>
      <c r="G238" s="13"/>
      <c r="H238" s="27"/>
    </row>
    <row r="239" spans="1:8" ht="12.75">
      <c r="A239" s="13"/>
      <c r="B239" s="13"/>
      <c r="C239" s="13"/>
      <c r="D239" s="13"/>
      <c r="E239" s="27"/>
      <c r="F239" s="13"/>
      <c r="G239" s="13"/>
      <c r="H239" s="27"/>
    </row>
    <row r="240" spans="1:8" ht="12.75">
      <c r="A240" s="13"/>
      <c r="B240" s="13"/>
      <c r="C240" s="13"/>
      <c r="D240" s="13"/>
      <c r="E240" s="27"/>
      <c r="F240" s="13"/>
      <c r="G240" s="13"/>
      <c r="H240" s="27"/>
    </row>
    <row r="241" spans="1:8" ht="12.75">
      <c r="A241" s="13"/>
      <c r="B241" s="13"/>
      <c r="C241" s="13"/>
      <c r="D241" s="13"/>
      <c r="E241" s="27"/>
      <c r="F241" s="13"/>
      <c r="G241" s="13"/>
      <c r="H241" s="27"/>
    </row>
    <row r="242" spans="1:8" ht="12.75">
      <c r="A242" s="13"/>
      <c r="B242" s="13"/>
      <c r="C242" s="13"/>
      <c r="D242" s="13"/>
      <c r="E242" s="27"/>
      <c r="F242" s="13"/>
      <c r="G242" s="13"/>
      <c r="H242" s="27"/>
    </row>
    <row r="243" spans="1:8" ht="12.75">
      <c r="A243" s="13"/>
      <c r="B243" s="13"/>
      <c r="C243" s="13"/>
      <c r="D243" s="13"/>
      <c r="E243" s="27"/>
      <c r="F243" s="13"/>
      <c r="G243" s="13"/>
      <c r="H243" s="27"/>
    </row>
    <row r="244" spans="1:8" ht="12.75">
      <c r="A244" s="13"/>
      <c r="B244" s="13"/>
      <c r="C244" s="13"/>
      <c r="D244" s="13"/>
      <c r="E244" s="27"/>
      <c r="F244" s="13"/>
      <c r="G244" s="13"/>
      <c r="H244" s="27"/>
    </row>
    <row r="245" spans="1:8" ht="12.75">
      <c r="A245" s="13"/>
      <c r="B245" s="13"/>
      <c r="C245" s="13"/>
      <c r="D245" s="13"/>
      <c r="E245" s="27"/>
      <c r="F245" s="13"/>
      <c r="G245" s="13"/>
      <c r="H245" s="27"/>
    </row>
    <row r="246" spans="1:8" ht="12.75">
      <c r="A246" s="13"/>
      <c r="B246" s="13"/>
      <c r="C246" s="13"/>
      <c r="D246" s="13"/>
      <c r="E246" s="27"/>
      <c r="F246" s="13"/>
      <c r="G246" s="13"/>
      <c r="H246" s="27"/>
    </row>
    <row r="247" spans="1:8" ht="12.75">
      <c r="A247" s="13"/>
      <c r="B247" s="13"/>
      <c r="C247" s="13"/>
      <c r="D247" s="13"/>
      <c r="E247" s="27"/>
      <c r="F247" s="13"/>
      <c r="G247" s="13"/>
      <c r="H247" s="27"/>
    </row>
    <row r="248" spans="1:8" ht="12.75">
      <c r="A248" s="13"/>
      <c r="B248" s="13"/>
      <c r="C248" s="13"/>
      <c r="D248" s="13"/>
      <c r="E248" s="27"/>
      <c r="F248" s="13"/>
      <c r="G248" s="13"/>
      <c r="H248" s="27"/>
    </row>
    <row r="249" spans="1:8" ht="12.75">
      <c r="A249" s="13"/>
      <c r="B249" s="13"/>
      <c r="C249" s="13"/>
      <c r="D249" s="13"/>
      <c r="E249" s="27"/>
      <c r="F249" s="13"/>
      <c r="G249" s="13"/>
      <c r="H249" s="27"/>
    </row>
    <row r="250" spans="1:8" ht="12.75">
      <c r="A250" s="13"/>
      <c r="B250" s="13"/>
      <c r="C250" s="13"/>
      <c r="D250" s="13"/>
      <c r="E250" s="27"/>
      <c r="F250" s="13"/>
      <c r="G250" s="13"/>
      <c r="H250" s="27"/>
    </row>
    <row r="251" spans="1:8" ht="12.75">
      <c r="A251" s="13"/>
      <c r="B251" s="13"/>
      <c r="C251" s="13"/>
      <c r="D251" s="13"/>
      <c r="E251" s="27"/>
      <c r="F251" s="13"/>
      <c r="G251" s="13"/>
      <c r="H251" s="27"/>
    </row>
    <row r="252" spans="1:8" ht="12.75">
      <c r="A252" s="13"/>
      <c r="B252" s="13"/>
      <c r="C252" s="13"/>
      <c r="D252" s="13"/>
      <c r="E252" s="27"/>
      <c r="F252" s="13"/>
      <c r="G252" s="13"/>
      <c r="H252" s="27"/>
    </row>
    <row r="253" spans="1:8" ht="12.75">
      <c r="A253" s="13"/>
      <c r="B253" s="13"/>
      <c r="C253" s="13"/>
      <c r="D253" s="13"/>
      <c r="E253" s="27"/>
      <c r="F253" s="13"/>
      <c r="G253" s="13"/>
      <c r="H253" s="27"/>
    </row>
    <row r="254" spans="1:8" ht="12.75">
      <c r="A254" s="13"/>
      <c r="B254" s="13"/>
      <c r="C254" s="13"/>
      <c r="D254" s="13"/>
      <c r="E254" s="27"/>
      <c r="F254" s="13"/>
      <c r="G254" s="13"/>
      <c r="H254" s="27"/>
    </row>
    <row r="255" spans="1:8" ht="12.75">
      <c r="A255" s="13"/>
      <c r="B255" s="13"/>
      <c r="C255" s="13"/>
      <c r="D255" s="13"/>
      <c r="E255" s="27"/>
      <c r="F255" s="13"/>
      <c r="G255" s="13"/>
      <c r="H255" s="27"/>
    </row>
    <row r="256" spans="1:8" ht="12.75">
      <c r="A256" s="13"/>
      <c r="B256" s="13"/>
      <c r="C256" s="13"/>
      <c r="D256" s="13"/>
      <c r="E256" s="27"/>
      <c r="F256" s="13"/>
      <c r="G256" s="13"/>
      <c r="H256" s="27"/>
    </row>
    <row r="257" spans="1:8" ht="12.75">
      <c r="A257" s="13"/>
      <c r="B257" s="13"/>
      <c r="C257" s="13"/>
      <c r="D257" s="13"/>
      <c r="E257" s="27"/>
      <c r="F257" s="13"/>
      <c r="G257" s="13"/>
      <c r="H257" s="27"/>
    </row>
    <row r="258" spans="1:8" ht="12.75">
      <c r="A258" s="13"/>
      <c r="B258" s="13"/>
      <c r="C258" s="13"/>
      <c r="D258" s="13"/>
      <c r="E258" s="27"/>
      <c r="F258" s="13"/>
      <c r="G258" s="13"/>
      <c r="H258" s="27"/>
    </row>
    <row r="259" spans="1:8" ht="12.75">
      <c r="A259" s="13"/>
      <c r="B259" s="13"/>
      <c r="C259" s="13"/>
      <c r="D259" s="13"/>
      <c r="E259" s="27"/>
      <c r="F259" s="13"/>
      <c r="G259" s="13"/>
      <c r="H259" s="27"/>
    </row>
    <row r="260" spans="1:8" ht="12.75">
      <c r="A260" s="13"/>
      <c r="B260" s="13"/>
      <c r="C260" s="13"/>
      <c r="D260" s="13"/>
      <c r="E260" s="27"/>
      <c r="F260" s="13"/>
      <c r="G260" s="13"/>
      <c r="H260" s="27"/>
    </row>
    <row r="261" spans="1:8" ht="12.75">
      <c r="A261" s="13"/>
      <c r="B261" s="13"/>
      <c r="C261" s="13"/>
      <c r="D261" s="13"/>
      <c r="E261" s="27"/>
      <c r="F261" s="13"/>
      <c r="G261" s="13"/>
      <c r="H261" s="27"/>
    </row>
    <row r="262" spans="1:8" ht="12.75">
      <c r="A262" s="13"/>
      <c r="B262" s="13"/>
      <c r="C262" s="13"/>
      <c r="D262" s="13"/>
      <c r="E262" s="27"/>
      <c r="F262" s="13"/>
      <c r="G262" s="13"/>
      <c r="H262" s="27"/>
    </row>
    <row r="263" spans="1:8" ht="12.75">
      <c r="A263" s="13"/>
      <c r="B263" s="13"/>
      <c r="C263" s="13"/>
      <c r="D263" s="13"/>
      <c r="E263" s="27"/>
      <c r="F263" s="13"/>
      <c r="G263" s="13"/>
      <c r="H263" s="27"/>
    </row>
    <row r="264" spans="1:8" ht="12.75">
      <c r="A264" s="13"/>
      <c r="B264" s="13"/>
      <c r="C264" s="13"/>
      <c r="D264" s="13"/>
      <c r="E264" s="27"/>
      <c r="F264" s="13"/>
      <c r="G264" s="13"/>
      <c r="H264" s="27"/>
    </row>
    <row r="265" spans="1:8" ht="12.75">
      <c r="A265" s="13"/>
      <c r="B265" s="13"/>
      <c r="C265" s="13"/>
      <c r="D265" s="13"/>
      <c r="E265" s="27"/>
      <c r="F265" s="13"/>
      <c r="G265" s="13"/>
      <c r="H265" s="27"/>
    </row>
    <row r="266" spans="1:8" ht="12.75">
      <c r="A266" s="13"/>
      <c r="B266" s="13"/>
      <c r="C266" s="13"/>
      <c r="D266" s="13"/>
      <c r="E266" s="27"/>
      <c r="F266" s="13"/>
      <c r="G266" s="13"/>
      <c r="H266" s="27"/>
    </row>
    <row r="267" spans="1:8" ht="12.75">
      <c r="A267" s="13"/>
      <c r="B267" s="13"/>
      <c r="C267" s="13"/>
      <c r="D267" s="13"/>
      <c r="E267" s="27"/>
      <c r="F267" s="13"/>
      <c r="G267" s="13"/>
      <c r="H267" s="27"/>
    </row>
    <row r="268" spans="1:8" ht="12.75">
      <c r="A268" s="13"/>
      <c r="B268" s="13"/>
      <c r="C268" s="13"/>
      <c r="D268" s="13"/>
      <c r="E268" s="27"/>
      <c r="F268" s="13"/>
      <c r="G268" s="13"/>
      <c r="H268" s="27"/>
    </row>
    <row r="269" spans="1:8" ht="12.75">
      <c r="A269" s="13"/>
      <c r="B269" s="13"/>
      <c r="C269" s="13"/>
      <c r="D269" s="13"/>
      <c r="E269" s="27"/>
      <c r="F269" s="13"/>
      <c r="G269" s="13"/>
      <c r="H269" s="27"/>
    </row>
    <row r="270" spans="1:8" ht="12.75">
      <c r="A270" s="13"/>
      <c r="B270" s="13"/>
      <c r="C270" s="13"/>
      <c r="D270" s="13"/>
      <c r="E270" s="27"/>
      <c r="F270" s="13"/>
      <c r="G270" s="13"/>
      <c r="H270" s="27"/>
    </row>
    <row r="271" spans="1:8" ht="12.75">
      <c r="A271" s="13"/>
      <c r="B271" s="13"/>
      <c r="C271" s="13"/>
      <c r="D271" s="13"/>
      <c r="E271" s="27"/>
      <c r="F271" s="13"/>
      <c r="G271" s="13"/>
      <c r="H271" s="27"/>
    </row>
    <row r="272" spans="1:8" ht="12.75">
      <c r="A272" s="13"/>
      <c r="B272" s="13"/>
      <c r="C272" s="13"/>
      <c r="D272" s="13"/>
      <c r="E272" s="27"/>
      <c r="F272" s="13"/>
      <c r="G272" s="13"/>
      <c r="H272" s="27"/>
    </row>
    <row r="273" spans="1:8" ht="12.75">
      <c r="A273" s="13"/>
      <c r="B273" s="13"/>
      <c r="C273" s="13"/>
      <c r="D273" s="13"/>
      <c r="E273" s="27"/>
      <c r="F273" s="13"/>
      <c r="G273" s="13"/>
      <c r="H273" s="27"/>
    </row>
    <row r="274" spans="1:8" ht="12.75">
      <c r="A274" s="13"/>
      <c r="B274" s="13"/>
      <c r="C274" s="13"/>
      <c r="D274" s="13"/>
      <c r="E274" s="27"/>
      <c r="F274" s="13"/>
      <c r="G274" s="13"/>
      <c r="H274" s="27"/>
    </row>
    <row r="275" spans="1:8" ht="12.75">
      <c r="A275" s="13"/>
      <c r="B275" s="13"/>
      <c r="C275" s="13"/>
      <c r="D275" s="13"/>
      <c r="E275" s="27"/>
      <c r="F275" s="13"/>
      <c r="G275" s="13"/>
      <c r="H275" s="27"/>
    </row>
    <row r="276" spans="1:8" ht="12.75">
      <c r="A276" s="13"/>
      <c r="B276" s="13"/>
      <c r="C276" s="13"/>
      <c r="D276" s="13"/>
      <c r="E276" s="27"/>
      <c r="F276" s="13"/>
      <c r="G276" s="13"/>
      <c r="H276" s="27"/>
    </row>
    <row r="277" spans="1:8" ht="12.75">
      <c r="A277" s="13"/>
      <c r="B277" s="13"/>
      <c r="C277" s="13"/>
      <c r="D277" s="13"/>
      <c r="E277" s="27"/>
      <c r="F277" s="13"/>
      <c r="G277" s="13"/>
      <c r="H277" s="27"/>
    </row>
    <row r="278" spans="1:8" ht="12.75">
      <c r="A278" s="13"/>
      <c r="B278" s="13"/>
      <c r="C278" s="13"/>
      <c r="D278" s="13"/>
      <c r="E278" s="27"/>
      <c r="F278" s="13"/>
      <c r="G278" s="13"/>
      <c r="H278" s="27"/>
    </row>
    <row r="279" spans="1:8" ht="12.75">
      <c r="A279" s="13"/>
      <c r="B279" s="13"/>
      <c r="C279" s="13"/>
      <c r="D279" s="13"/>
      <c r="E279" s="27"/>
      <c r="F279" s="13"/>
      <c r="G279" s="13"/>
      <c r="H279" s="27"/>
    </row>
    <row r="280" spans="1:8" ht="12.75">
      <c r="A280" s="13"/>
      <c r="B280" s="13"/>
      <c r="C280" s="13"/>
      <c r="D280" s="13"/>
      <c r="E280" s="27"/>
      <c r="F280" s="13"/>
      <c r="G280" s="13"/>
      <c r="H280" s="27"/>
    </row>
    <row r="281" spans="1:8" ht="12.75">
      <c r="A281" s="13"/>
      <c r="B281" s="13"/>
      <c r="C281" s="13"/>
      <c r="D281" s="13"/>
      <c r="E281" s="27"/>
      <c r="F281" s="13"/>
      <c r="G281" s="13"/>
      <c r="H281" s="27"/>
    </row>
  </sheetData>
  <sheetProtection selectLockedCells="1" selectUnlockedCells="1"/>
  <mergeCells count="4">
    <mergeCell ref="C5:E5"/>
    <mergeCell ref="F5:H5"/>
    <mergeCell ref="C78:E78"/>
    <mergeCell ref="F78:H78"/>
  </mergeCells>
  <printOptions horizontalCentered="1"/>
  <pageMargins left="0.5201388888888889" right="0.39375" top="0.5" bottom="0.5118055555555555" header="0.5118055555555555" footer="0.31527777777777777"/>
  <pageSetup horizontalDpi="300" verticalDpi="300" orientation="portrait" paperSize="9" scale="55"/>
  <headerFooter alignWithMargins="0">
    <oddFooter>&amp;R&amp;P</oddFooter>
  </headerFooter>
  <rowBreaks count="1" manualBreakCount="1">
    <brk id="7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workbookViewId="0" topLeftCell="A1">
      <selection activeCell="E1" sqref="E1"/>
    </sheetView>
  </sheetViews>
  <sheetFormatPr defaultColWidth="9.140625" defaultRowHeight="15"/>
  <cols>
    <col min="1" max="1" width="10.421875" style="88" customWidth="1"/>
    <col min="2" max="2" width="67.57421875" style="13" customWidth="1"/>
    <col min="3" max="3" width="7.8515625" style="13" customWidth="1"/>
    <col min="4" max="5" width="15.140625" style="13" customWidth="1"/>
    <col min="6" max="16384" width="9.140625" style="13" customWidth="1"/>
  </cols>
  <sheetData>
    <row r="1" spans="4:5" ht="12.75">
      <c r="D1" s="32"/>
      <c r="E1" s="32" t="s">
        <v>334</v>
      </c>
    </row>
    <row r="2" spans="4:5" ht="12.75">
      <c r="D2" s="15"/>
      <c r="E2" s="15" t="s">
        <v>10</v>
      </c>
    </row>
    <row r="3" spans="4:5" ht="12.75">
      <c r="D3" s="32"/>
      <c r="E3" s="32"/>
    </row>
    <row r="4" spans="2:5" ht="24" customHeight="1">
      <c r="B4" s="34" t="s">
        <v>11</v>
      </c>
      <c r="C4" s="89"/>
      <c r="D4" s="89"/>
      <c r="E4" s="89"/>
    </row>
    <row r="5" spans="2:5" ht="12.75">
      <c r="B5" s="34"/>
      <c r="C5" s="90"/>
      <c r="D5" s="90"/>
      <c r="E5" s="90"/>
    </row>
    <row r="6" spans="2:5" ht="12.75">
      <c r="B6" s="38" t="s">
        <v>335</v>
      </c>
      <c r="C6" s="91"/>
      <c r="D6" s="91"/>
      <c r="E6" s="91"/>
    </row>
    <row r="8" spans="2:5" ht="12.75">
      <c r="B8" s="19" t="s">
        <v>15</v>
      </c>
      <c r="C8" s="42" t="s">
        <v>42</v>
      </c>
      <c r="D8" s="92" t="s">
        <v>13</v>
      </c>
      <c r="E8" s="92" t="s">
        <v>14</v>
      </c>
    </row>
    <row r="9" spans="2:5" ht="12.75">
      <c r="B9" s="93" t="s">
        <v>336</v>
      </c>
      <c r="C9" s="47" t="s">
        <v>218</v>
      </c>
      <c r="D9" s="24">
        <v>45400</v>
      </c>
      <c r="E9" s="24">
        <v>45400</v>
      </c>
    </row>
    <row r="10" spans="2:5" ht="12.75">
      <c r="B10" s="93" t="s">
        <v>337</v>
      </c>
      <c r="C10" s="47" t="s">
        <v>218</v>
      </c>
      <c r="D10" s="24"/>
      <c r="E10" s="24"/>
    </row>
    <row r="11" spans="2:5" ht="12.75">
      <c r="B11" s="93" t="s">
        <v>338</v>
      </c>
      <c r="C11" s="47" t="s">
        <v>218</v>
      </c>
      <c r="D11" s="24">
        <v>49400</v>
      </c>
      <c r="E11" s="24">
        <v>49400</v>
      </c>
    </row>
    <row r="12" spans="2:5" ht="12.75">
      <c r="B12" s="93" t="s">
        <v>339</v>
      </c>
      <c r="C12" s="47" t="s">
        <v>218</v>
      </c>
      <c r="D12" s="24">
        <v>1950</v>
      </c>
      <c r="E12" s="24">
        <v>1950</v>
      </c>
    </row>
    <row r="13" spans="1:5" s="97" customFormat="1" ht="12.75">
      <c r="A13" s="88"/>
      <c r="B13" s="94" t="s">
        <v>340</v>
      </c>
      <c r="C13" s="95" t="s">
        <v>218</v>
      </c>
      <c r="D13" s="96">
        <f>SUM(D9:D12)</f>
        <v>96750</v>
      </c>
      <c r="E13" s="96">
        <f>SUM(E9:E12)</f>
        <v>96750</v>
      </c>
    </row>
    <row r="14" spans="2:5" ht="12.75">
      <c r="B14" s="93" t="s">
        <v>341</v>
      </c>
      <c r="C14" s="58" t="s">
        <v>342</v>
      </c>
      <c r="D14" s="24">
        <f>SUM(D15:D16)</f>
        <v>231400</v>
      </c>
      <c r="E14" s="24">
        <f>SUM(E15:E16)</f>
        <v>231400</v>
      </c>
    </row>
    <row r="15" spans="2:6" ht="12.75">
      <c r="B15" s="98" t="s">
        <v>343</v>
      </c>
      <c r="C15" s="99" t="s">
        <v>342</v>
      </c>
      <c r="D15" s="100">
        <v>231400</v>
      </c>
      <c r="E15" s="100">
        <v>231400</v>
      </c>
      <c r="F15" s="14"/>
    </row>
    <row r="16" spans="2:5" ht="12.75">
      <c r="B16" s="98" t="s">
        <v>344</v>
      </c>
      <c r="C16" s="99" t="s">
        <v>342</v>
      </c>
      <c r="D16" s="100"/>
      <c r="E16" s="100"/>
    </row>
    <row r="17" spans="2:5" ht="12.75">
      <c r="B17" s="101" t="s">
        <v>345</v>
      </c>
      <c r="C17" s="68" t="s">
        <v>346</v>
      </c>
      <c r="D17" s="24">
        <f>SUM(D18:D21)</f>
        <v>25600</v>
      </c>
      <c r="E17" s="24">
        <f>SUM(E18:E21)</f>
        <v>25600</v>
      </c>
    </row>
    <row r="18" spans="2:5" ht="12.75">
      <c r="B18" s="98" t="s">
        <v>347</v>
      </c>
      <c r="C18" s="99" t="s">
        <v>346</v>
      </c>
      <c r="D18" s="100"/>
      <c r="E18" s="100"/>
    </row>
    <row r="19" spans="2:5" ht="12.75">
      <c r="B19" s="98" t="s">
        <v>348</v>
      </c>
      <c r="C19" s="99" t="s">
        <v>346</v>
      </c>
      <c r="D19" s="100">
        <f>64000*0.4</f>
        <v>25600</v>
      </c>
      <c r="E19" s="100">
        <f>64000*0.4</f>
        <v>25600</v>
      </c>
    </row>
    <row r="20" spans="2:5" ht="12.75">
      <c r="B20" s="98" t="s">
        <v>349</v>
      </c>
      <c r="C20" s="99" t="s">
        <v>346</v>
      </c>
      <c r="D20" s="24"/>
      <c r="E20" s="24"/>
    </row>
    <row r="21" spans="2:5" ht="12.75">
      <c r="B21" s="98" t="s">
        <v>350</v>
      </c>
      <c r="C21" s="99" t="s">
        <v>346</v>
      </c>
      <c r="D21" s="24"/>
      <c r="E21" s="24"/>
    </row>
    <row r="22" spans="2:5" ht="12.75">
      <c r="B22" s="101" t="s">
        <v>351</v>
      </c>
      <c r="C22" s="68" t="s">
        <v>352</v>
      </c>
      <c r="D22" s="24">
        <f>SUM(D23:D24)</f>
        <v>450</v>
      </c>
      <c r="E22" s="24">
        <f>SUM(E23:E24)</f>
        <v>450</v>
      </c>
    </row>
    <row r="23" spans="2:5" ht="12.75">
      <c r="B23" s="98" t="s">
        <v>353</v>
      </c>
      <c r="C23" s="99" t="s">
        <v>352</v>
      </c>
      <c r="D23" s="100">
        <v>450</v>
      </c>
      <c r="E23" s="100">
        <v>450</v>
      </c>
    </row>
    <row r="24" spans="2:5" ht="12.75">
      <c r="B24" s="98" t="s">
        <v>354</v>
      </c>
      <c r="C24" s="99" t="s">
        <v>352</v>
      </c>
      <c r="D24" s="100"/>
      <c r="E24" s="100"/>
    </row>
    <row r="25" spans="1:5" s="97" customFormat="1" ht="12.75">
      <c r="A25" s="88"/>
      <c r="B25" s="94" t="s">
        <v>355</v>
      </c>
      <c r="C25" s="95" t="s">
        <v>220</v>
      </c>
      <c r="D25" s="96">
        <f>+D22+D17+D14</f>
        <v>257450</v>
      </c>
      <c r="E25" s="96">
        <f>+E22+E17+E14</f>
        <v>257450</v>
      </c>
    </row>
    <row r="26" spans="2:5" ht="12.75" hidden="1">
      <c r="B26" s="93" t="s">
        <v>356</v>
      </c>
      <c r="C26" s="47" t="s">
        <v>222</v>
      </c>
      <c r="D26" s="24"/>
      <c r="E26" s="24"/>
    </row>
    <row r="27" spans="2:5" ht="12.75" hidden="1">
      <c r="B27" s="93" t="s">
        <v>357</v>
      </c>
      <c r="C27" s="47" t="s">
        <v>222</v>
      </c>
      <c r="D27" s="24"/>
      <c r="E27" s="24"/>
    </row>
    <row r="28" spans="2:5" ht="12.75" hidden="1">
      <c r="B28" s="93" t="s">
        <v>358</v>
      </c>
      <c r="C28" s="47" t="s">
        <v>222</v>
      </c>
      <c r="D28" s="24"/>
      <c r="E28" s="24"/>
    </row>
    <row r="29" spans="2:5" ht="12.75" hidden="1">
      <c r="B29" s="93" t="s">
        <v>359</v>
      </c>
      <c r="C29" s="47" t="s">
        <v>222</v>
      </c>
      <c r="D29" s="24"/>
      <c r="E29" s="24"/>
    </row>
    <row r="30" spans="2:5" ht="12.75" hidden="1">
      <c r="B30" s="93" t="s">
        <v>360</v>
      </c>
      <c r="C30" s="47" t="s">
        <v>222</v>
      </c>
      <c r="D30" s="24"/>
      <c r="E30" s="24"/>
    </row>
    <row r="31" spans="2:5" ht="12.75" hidden="1">
      <c r="B31" s="93" t="s">
        <v>361</v>
      </c>
      <c r="C31" s="47" t="s">
        <v>222</v>
      </c>
      <c r="D31" s="24"/>
      <c r="E31" s="24"/>
    </row>
    <row r="32" spans="2:5" ht="12.75" hidden="1">
      <c r="B32" s="93" t="s">
        <v>362</v>
      </c>
      <c r="C32" s="47" t="s">
        <v>222</v>
      </c>
      <c r="D32" s="24"/>
      <c r="E32" s="24"/>
    </row>
    <row r="33" spans="2:5" ht="12.75" hidden="1">
      <c r="B33" s="93" t="s">
        <v>363</v>
      </c>
      <c r="C33" s="47" t="s">
        <v>222</v>
      </c>
      <c r="D33" s="24"/>
      <c r="E33" s="24"/>
    </row>
    <row r="34" spans="2:5" ht="39" customHeight="1">
      <c r="B34" s="93" t="s">
        <v>364</v>
      </c>
      <c r="C34" s="47" t="s">
        <v>222</v>
      </c>
      <c r="D34" s="24">
        <v>500</v>
      </c>
      <c r="E34" s="24">
        <v>500</v>
      </c>
    </row>
    <row r="35" spans="2:5" ht="12.75">
      <c r="B35" s="93" t="s">
        <v>365</v>
      </c>
      <c r="C35" s="47" t="s">
        <v>222</v>
      </c>
      <c r="D35" s="24">
        <v>3000</v>
      </c>
      <c r="E35" s="24">
        <v>3000</v>
      </c>
    </row>
    <row r="36" spans="1:5" s="97" customFormat="1" ht="12.75">
      <c r="A36" s="88"/>
      <c r="B36" s="94" t="s">
        <v>366</v>
      </c>
      <c r="C36" s="95" t="s">
        <v>222</v>
      </c>
      <c r="D36" s="96">
        <f>SUM(D26:D35)</f>
        <v>3500</v>
      </c>
      <c r="E36" s="96">
        <f>SUM(E26:E35)</f>
        <v>3500</v>
      </c>
    </row>
    <row r="38" spans="4:5" ht="12.75">
      <c r="D38" s="14"/>
      <c r="E38" s="14"/>
    </row>
    <row r="39" spans="2:5" ht="12.75">
      <c r="B39" s="19" t="s">
        <v>15</v>
      </c>
      <c r="C39" s="42" t="s">
        <v>182</v>
      </c>
      <c r="D39" s="92" t="s">
        <v>13</v>
      </c>
      <c r="E39" s="92" t="s">
        <v>14</v>
      </c>
    </row>
    <row r="40" spans="2:5" ht="12.75">
      <c r="B40" s="102" t="s">
        <v>367</v>
      </c>
      <c r="C40" s="58" t="s">
        <v>184</v>
      </c>
      <c r="D40" s="103">
        <v>137308</v>
      </c>
      <c r="E40" s="103">
        <v>137308</v>
      </c>
    </row>
    <row r="41" spans="2:5" ht="12.75">
      <c r="B41" s="102" t="s">
        <v>368</v>
      </c>
      <c r="C41" s="58" t="s">
        <v>184</v>
      </c>
      <c r="D41" s="103">
        <f>SUM(D42:D45)</f>
        <v>55756</v>
      </c>
      <c r="E41" s="103">
        <f>SUM(E42:E45)</f>
        <v>55756</v>
      </c>
    </row>
    <row r="42" spans="2:5" ht="12.75">
      <c r="B42" s="104" t="s">
        <v>369</v>
      </c>
      <c r="C42" s="58" t="s">
        <v>184</v>
      </c>
      <c r="D42" s="103">
        <v>10622</v>
      </c>
      <c r="E42" s="103">
        <v>10622</v>
      </c>
    </row>
    <row r="43" spans="2:5" ht="12.75">
      <c r="B43" s="104" t="s">
        <v>370</v>
      </c>
      <c r="C43" s="58" t="s">
        <v>184</v>
      </c>
      <c r="D43" s="103">
        <v>27520</v>
      </c>
      <c r="E43" s="103">
        <v>27520</v>
      </c>
    </row>
    <row r="44" spans="2:5" ht="12.75">
      <c r="B44" s="104" t="s">
        <v>371</v>
      </c>
      <c r="C44" s="58" t="s">
        <v>184</v>
      </c>
      <c r="D44" s="103">
        <v>100</v>
      </c>
      <c r="E44" s="103">
        <v>100</v>
      </c>
    </row>
    <row r="45" spans="2:5" ht="12.75">
      <c r="B45" s="104" t="s">
        <v>372</v>
      </c>
      <c r="C45" s="58" t="s">
        <v>184</v>
      </c>
      <c r="D45" s="103">
        <v>17514</v>
      </c>
      <c r="E45" s="103">
        <v>17514</v>
      </c>
    </row>
    <row r="46" spans="2:5" ht="12.75">
      <c r="B46" s="102" t="s">
        <v>373</v>
      </c>
      <c r="C46" s="58" t="s">
        <v>184</v>
      </c>
      <c r="D46" s="103">
        <v>1029</v>
      </c>
      <c r="E46" s="103">
        <v>1029</v>
      </c>
    </row>
    <row r="47" spans="2:5" ht="12.75">
      <c r="B47" s="105" t="s">
        <v>374</v>
      </c>
      <c r="C47" s="58" t="s">
        <v>184</v>
      </c>
      <c r="D47" s="103">
        <v>47995</v>
      </c>
      <c r="E47" s="103">
        <v>47995</v>
      </c>
    </row>
    <row r="48" spans="1:5" s="108" customFormat="1" ht="12.75">
      <c r="A48" s="88"/>
      <c r="B48" s="106" t="s">
        <v>375</v>
      </c>
      <c r="C48" s="95" t="s">
        <v>184</v>
      </c>
      <c r="D48" s="107">
        <f>SUM(D40:D47)-D41</f>
        <v>242088</v>
      </c>
      <c r="E48" s="107">
        <f>SUM(E40:E47)-E41</f>
        <v>242088</v>
      </c>
    </row>
    <row r="49" spans="1:5" s="27" customFormat="1" ht="12.75">
      <c r="A49" s="88"/>
      <c r="B49" s="109" t="s">
        <v>376</v>
      </c>
      <c r="C49" s="58" t="s">
        <v>186</v>
      </c>
      <c r="D49" s="103">
        <f>73629+34185+864</f>
        <v>108678</v>
      </c>
      <c r="E49" s="103">
        <f>73629+34185+864</f>
        <v>108678</v>
      </c>
    </row>
    <row r="50" spans="1:5" s="27" customFormat="1" ht="12.75">
      <c r="A50" s="88"/>
      <c r="B50" s="109" t="s">
        <v>377</v>
      </c>
      <c r="C50" s="58" t="s">
        <v>186</v>
      </c>
      <c r="D50" s="103">
        <f>21600+9600</f>
        <v>31200</v>
      </c>
      <c r="E50" s="103">
        <f>21600+9600</f>
        <v>31200</v>
      </c>
    </row>
    <row r="51" spans="1:5" s="27" customFormat="1" ht="12.75">
      <c r="A51" s="88"/>
      <c r="B51" s="109" t="s">
        <v>378</v>
      </c>
      <c r="C51" s="58" t="s">
        <v>186</v>
      </c>
      <c r="D51" s="103">
        <f>14140+6533</f>
        <v>20673</v>
      </c>
      <c r="E51" s="103">
        <f>14140+6533</f>
        <v>20673</v>
      </c>
    </row>
    <row r="52" spans="1:5" s="27" customFormat="1" ht="12.75">
      <c r="A52" s="88"/>
      <c r="B52" s="109" t="s">
        <v>379</v>
      </c>
      <c r="C52" s="58" t="s">
        <v>186</v>
      </c>
      <c r="D52" s="103">
        <f>352+1286</f>
        <v>1638</v>
      </c>
      <c r="E52" s="103">
        <f>352+1286</f>
        <v>1638</v>
      </c>
    </row>
    <row r="53" spans="1:5" s="27" customFormat="1" ht="12.75">
      <c r="A53" s="88"/>
      <c r="B53" s="102" t="s">
        <v>380</v>
      </c>
      <c r="C53" s="58" t="s">
        <v>186</v>
      </c>
      <c r="D53" s="103">
        <v>108481</v>
      </c>
      <c r="E53" s="103">
        <v>108481</v>
      </c>
    </row>
    <row r="54" spans="1:5" s="108" customFormat="1" ht="12.75">
      <c r="A54" s="88"/>
      <c r="B54" s="94" t="s">
        <v>381</v>
      </c>
      <c r="C54" s="95" t="s">
        <v>186</v>
      </c>
      <c r="D54" s="107">
        <f>SUM(D49:D53)</f>
        <v>270670</v>
      </c>
      <c r="E54" s="107">
        <f>SUM(E49:E53)</f>
        <v>270670</v>
      </c>
    </row>
    <row r="55" spans="1:5" s="27" customFormat="1" ht="12.75">
      <c r="A55" s="88"/>
      <c r="B55" s="102" t="s">
        <v>382</v>
      </c>
      <c r="C55" s="58" t="s">
        <v>188</v>
      </c>
      <c r="D55" s="103">
        <v>4509</v>
      </c>
      <c r="E55" s="103">
        <v>4509</v>
      </c>
    </row>
    <row r="56" spans="1:5" s="27" customFormat="1" ht="12.75">
      <c r="A56" s="88"/>
      <c r="B56" s="102" t="s">
        <v>383</v>
      </c>
      <c r="C56" s="58" t="s">
        <v>188</v>
      </c>
      <c r="D56" s="103">
        <v>4509</v>
      </c>
      <c r="E56" s="103">
        <v>4509</v>
      </c>
    </row>
    <row r="57" spans="1:5" s="27" customFormat="1" ht="12.75">
      <c r="A57" s="88"/>
      <c r="B57" s="102" t="s">
        <v>384</v>
      </c>
      <c r="C57" s="58" t="s">
        <v>188</v>
      </c>
      <c r="D57" s="103">
        <v>11072</v>
      </c>
      <c r="E57" s="103">
        <v>11072</v>
      </c>
    </row>
    <row r="58" spans="1:5" s="27" customFormat="1" ht="12.75">
      <c r="A58" s="88"/>
      <c r="B58" s="102" t="s">
        <v>385</v>
      </c>
      <c r="C58" s="58" t="s">
        <v>188</v>
      </c>
      <c r="D58" s="103">
        <v>7250</v>
      </c>
      <c r="E58" s="103">
        <v>7250</v>
      </c>
    </row>
    <row r="59" spans="1:5" s="27" customFormat="1" ht="12.75">
      <c r="A59" s="88"/>
      <c r="B59" s="102" t="s">
        <v>386</v>
      </c>
      <c r="C59" s="58" t="s">
        <v>188</v>
      </c>
      <c r="D59" s="103">
        <v>3815</v>
      </c>
      <c r="E59" s="103">
        <v>3815</v>
      </c>
    </row>
    <row r="60" spans="1:5" s="27" customFormat="1" ht="12.75">
      <c r="A60" s="88"/>
      <c r="B60" s="102" t="s">
        <v>387</v>
      </c>
      <c r="C60" s="58" t="s">
        <v>188</v>
      </c>
      <c r="D60" s="103">
        <f>15317+2075</f>
        <v>17392</v>
      </c>
      <c r="E60" s="103">
        <f>15317+2075</f>
        <v>17392</v>
      </c>
    </row>
    <row r="61" spans="1:5" s="27" customFormat="1" ht="12.75">
      <c r="A61" s="88"/>
      <c r="B61" s="102" t="s">
        <v>388</v>
      </c>
      <c r="C61" s="58" t="s">
        <v>188</v>
      </c>
      <c r="D61" s="103">
        <v>104242</v>
      </c>
      <c r="E61" s="103">
        <v>104242</v>
      </c>
    </row>
    <row r="62" spans="1:5" s="27" customFormat="1" ht="12.75">
      <c r="A62" s="88"/>
      <c r="B62" s="102" t="s">
        <v>389</v>
      </c>
      <c r="C62" s="58" t="s">
        <v>188</v>
      </c>
      <c r="D62" s="103">
        <v>65318</v>
      </c>
      <c r="E62" s="103">
        <v>65318</v>
      </c>
    </row>
    <row r="63" spans="1:5" s="27" customFormat="1" ht="12.75">
      <c r="A63" s="88"/>
      <c r="B63" s="102" t="s">
        <v>390</v>
      </c>
      <c r="C63" s="58" t="s">
        <v>188</v>
      </c>
      <c r="D63" s="103">
        <v>73195</v>
      </c>
      <c r="E63" s="103">
        <v>73195</v>
      </c>
    </row>
    <row r="64" spans="1:5" s="27" customFormat="1" ht="12.75">
      <c r="A64" s="88"/>
      <c r="B64" s="102" t="s">
        <v>391</v>
      </c>
      <c r="C64" s="58" t="s">
        <v>188</v>
      </c>
      <c r="D64" s="103">
        <v>65629</v>
      </c>
      <c r="E64" s="103">
        <v>65629</v>
      </c>
    </row>
    <row r="65" spans="1:5" s="27" customFormat="1" ht="12.75">
      <c r="A65" s="88"/>
      <c r="B65" s="105" t="s">
        <v>392</v>
      </c>
      <c r="C65" s="58" t="s">
        <v>188</v>
      </c>
      <c r="D65" s="103"/>
      <c r="E65" s="103">
        <f>+3336+3541</f>
        <v>6877</v>
      </c>
    </row>
    <row r="66" spans="1:7" s="97" customFormat="1" ht="12.75">
      <c r="A66" s="88"/>
      <c r="B66" s="94" t="s">
        <v>393</v>
      </c>
      <c r="C66" s="95" t="s">
        <v>188</v>
      </c>
      <c r="D66" s="107">
        <f>SUM(D55:D65)</f>
        <v>356931</v>
      </c>
      <c r="E66" s="107">
        <f>SUM(E55:E65)</f>
        <v>363808</v>
      </c>
      <c r="F66" s="97">
        <f>+550614-186806</f>
        <v>363808</v>
      </c>
      <c r="G66" s="97">
        <f>+F66-E66</f>
        <v>0</v>
      </c>
    </row>
    <row r="67" spans="2:5" ht="12.75">
      <c r="B67" s="102" t="s">
        <v>394</v>
      </c>
      <c r="C67" s="58" t="s">
        <v>190</v>
      </c>
      <c r="D67" s="103">
        <v>13012</v>
      </c>
      <c r="E67" s="103">
        <v>13012</v>
      </c>
    </row>
    <row r="68" spans="1:5" s="97" customFormat="1" ht="12.75">
      <c r="A68" s="88"/>
      <c r="B68" s="94" t="s">
        <v>395</v>
      </c>
      <c r="C68" s="95" t="s">
        <v>190</v>
      </c>
      <c r="D68" s="107">
        <f>SUM(D67:D67)</f>
        <v>13012</v>
      </c>
      <c r="E68" s="107">
        <f>SUM(E67:E67)</f>
        <v>13012</v>
      </c>
    </row>
    <row r="69" spans="2:5" ht="12.75">
      <c r="B69" s="102" t="s">
        <v>396</v>
      </c>
      <c r="C69" s="58" t="s">
        <v>192</v>
      </c>
      <c r="D69" s="103">
        <v>0</v>
      </c>
      <c r="E69" s="103">
        <v>0</v>
      </c>
    </row>
    <row r="70" spans="2:5" ht="12.75">
      <c r="B70" s="102" t="s">
        <v>397</v>
      </c>
      <c r="C70" s="58" t="s">
        <v>192</v>
      </c>
      <c r="D70" s="103"/>
      <c r="E70" s="103"/>
    </row>
    <row r="71" spans="2:5" ht="12.75">
      <c r="B71" s="102" t="s">
        <v>398</v>
      </c>
      <c r="C71" s="58" t="s">
        <v>192</v>
      </c>
      <c r="D71" s="103"/>
      <c r="E71" s="103">
        <v>25996</v>
      </c>
    </row>
    <row r="72" spans="2:5" ht="12.75" hidden="1">
      <c r="B72" s="102" t="s">
        <v>399</v>
      </c>
      <c r="C72" s="58" t="s">
        <v>192</v>
      </c>
      <c r="D72" s="103"/>
      <c r="E72" s="103"/>
    </row>
    <row r="73" spans="2:5" ht="12.75" hidden="1">
      <c r="B73" s="105" t="s">
        <v>400</v>
      </c>
      <c r="C73" s="58" t="s">
        <v>192</v>
      </c>
      <c r="D73" s="103"/>
      <c r="E73" s="103"/>
    </row>
    <row r="74" spans="2:5" ht="12.75" hidden="1">
      <c r="B74" s="110" t="s">
        <v>401</v>
      </c>
      <c r="C74" s="58" t="s">
        <v>192</v>
      </c>
      <c r="D74" s="103"/>
      <c r="E74" s="103"/>
    </row>
    <row r="75" spans="2:5" ht="12.75">
      <c r="B75" s="110" t="s">
        <v>402</v>
      </c>
      <c r="C75" s="58" t="s">
        <v>192</v>
      </c>
      <c r="D75" s="103"/>
      <c r="E75" s="103">
        <f>+6292+1753+1738-1</f>
        <v>9782</v>
      </c>
    </row>
    <row r="76" spans="1:5" s="115" customFormat="1" ht="17.25" customHeight="1">
      <c r="A76" s="111"/>
      <c r="B76" s="112" t="s">
        <v>403</v>
      </c>
      <c r="C76" s="113" t="s">
        <v>192</v>
      </c>
      <c r="D76" s="114">
        <v>180671</v>
      </c>
      <c r="E76" s="114">
        <v>275809</v>
      </c>
    </row>
    <row r="77" spans="1:7" s="108" customFormat="1" ht="12.75">
      <c r="A77" s="88"/>
      <c r="B77" s="94" t="s">
        <v>404</v>
      </c>
      <c r="C77" s="95" t="s">
        <v>192</v>
      </c>
      <c r="D77" s="107">
        <f>SUM(D69:D76)</f>
        <v>180671</v>
      </c>
      <c r="E77" s="107">
        <f>SUM(E69:E76)</f>
        <v>311587</v>
      </c>
      <c r="F77" s="108">
        <f>+180671+15368+35780</f>
        <v>231819</v>
      </c>
      <c r="G77" s="108">
        <f>+F77-E77</f>
        <v>-79768</v>
      </c>
    </row>
    <row r="78" spans="2:5" ht="12.75">
      <c r="B78" s="102"/>
      <c r="C78" s="58" t="s">
        <v>194</v>
      </c>
      <c r="D78" s="103"/>
      <c r="E78" s="103"/>
    </row>
    <row r="79" spans="1:5" s="108" customFormat="1" ht="12.75">
      <c r="A79" s="88"/>
      <c r="B79" s="94" t="s">
        <v>405</v>
      </c>
      <c r="C79" s="95" t="s">
        <v>194</v>
      </c>
      <c r="D79" s="107">
        <f>SUM(D78:D78)</f>
        <v>0</v>
      </c>
      <c r="E79" s="107">
        <f>SUM(E78:E78)</f>
        <v>0</v>
      </c>
    </row>
    <row r="80" spans="1:5" s="97" customFormat="1" ht="12.75">
      <c r="A80" s="88"/>
      <c r="B80" s="116" t="s">
        <v>195</v>
      </c>
      <c r="C80" s="116" t="s">
        <v>196</v>
      </c>
      <c r="D80" s="96">
        <f>+D79+D77+D68+D66+D54+D48</f>
        <v>1063372</v>
      </c>
      <c r="E80" s="96">
        <f>+E79+E77+E68+E66+E54+E48</f>
        <v>1201165</v>
      </c>
    </row>
    <row r="81" spans="4:5" ht="12.75">
      <c r="D81" s="117"/>
      <c r="E81" s="117">
        <f>+E80-D80</f>
        <v>137793</v>
      </c>
    </row>
    <row r="82" spans="4:5" ht="12.75">
      <c r="D82" s="14"/>
      <c r="E82" s="14"/>
    </row>
    <row r="83" spans="4:5" ht="12.75">
      <c r="D83" s="118"/>
      <c r="E83" s="118"/>
    </row>
    <row r="84" spans="4:5" ht="12.75">
      <c r="D84" s="14"/>
      <c r="E84" s="14"/>
    </row>
    <row r="85" spans="4:5" ht="12.75">
      <c r="D85" s="14"/>
      <c r="E85" s="14"/>
    </row>
    <row r="86" spans="4:5" ht="12.75">
      <c r="D86" s="14"/>
      <c r="E86" s="14"/>
    </row>
    <row r="87" spans="4:5" ht="12.75">
      <c r="D87" s="14"/>
      <c r="E87" s="14"/>
    </row>
    <row r="88" spans="4:5" ht="12.75">
      <c r="D88" s="14"/>
      <c r="E88" s="14"/>
    </row>
    <row r="89" spans="4:5" ht="12.75">
      <c r="D89" s="14"/>
      <c r="E89" s="14"/>
    </row>
    <row r="90" spans="4:5" ht="12.75">
      <c r="D90" s="14"/>
      <c r="E90" s="14"/>
    </row>
    <row r="91" spans="4:5" ht="12.75">
      <c r="D91" s="14"/>
      <c r="E91" s="14"/>
    </row>
    <row r="92" spans="4:5" ht="12.75">
      <c r="D92" s="14"/>
      <c r="E92" s="14"/>
    </row>
  </sheetData>
  <sheetProtection selectLockedCells="1" selectUnlockedCells="1"/>
  <printOptions/>
  <pageMargins left="0.7083333333333334" right="0.43333333333333335" top="0.7479166666666667" bottom="0.7486111111111111" header="0.5118055555555555" footer="0.31527777777777777"/>
  <pageSetup horizontalDpi="300" verticalDpi="300" orientation="portrait" paperSize="9" scale="80"/>
  <headerFooter alignWithMargins="0">
    <oddFooter>&amp;R&amp;P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SheetLayoutView="100" workbookViewId="0" topLeftCell="A1">
      <selection activeCell="G2" sqref="G2"/>
    </sheetView>
  </sheetViews>
  <sheetFormatPr defaultColWidth="9.140625" defaultRowHeight="15"/>
  <cols>
    <col min="1" max="1" width="11.7109375" style="88" customWidth="1"/>
    <col min="2" max="2" width="87.57421875" style="13" customWidth="1"/>
    <col min="3" max="3" width="9.140625" style="13" customWidth="1"/>
    <col min="4" max="4" width="10.8515625" style="14" customWidth="1"/>
    <col min="5" max="5" width="12.57421875" style="14" customWidth="1"/>
    <col min="6" max="6" width="10.8515625" style="14" customWidth="1"/>
    <col min="7" max="7" width="12.57421875" style="14" customWidth="1"/>
    <col min="8" max="16384" width="9.140625" style="13" customWidth="1"/>
  </cols>
  <sheetData>
    <row r="1" spans="5:7" ht="12.75">
      <c r="E1" s="32"/>
      <c r="G1" s="32" t="s">
        <v>406</v>
      </c>
    </row>
    <row r="2" spans="5:7" ht="12.75">
      <c r="E2" s="15"/>
      <c r="G2" s="15" t="s">
        <v>10</v>
      </c>
    </row>
    <row r="3" spans="5:7" ht="12.75">
      <c r="E3" s="32"/>
      <c r="G3" s="32"/>
    </row>
    <row r="4" spans="2:6" ht="27" customHeight="1">
      <c r="B4" s="34" t="s">
        <v>11</v>
      </c>
      <c r="C4" s="36"/>
      <c r="D4" s="36"/>
      <c r="F4" s="36"/>
    </row>
    <row r="5" spans="2:6" ht="12.75">
      <c r="B5" s="40"/>
      <c r="C5" s="39"/>
      <c r="D5" s="39"/>
      <c r="F5" s="39"/>
    </row>
    <row r="6" spans="2:3" ht="12.75" customHeight="1">
      <c r="B6" s="119" t="s">
        <v>407</v>
      </c>
      <c r="C6" s="119"/>
    </row>
    <row r="7" spans="2:6" ht="15.75" customHeight="1">
      <c r="B7" s="38"/>
      <c r="C7" s="39"/>
      <c r="D7" s="120"/>
      <c r="F7" s="120"/>
    </row>
    <row r="8" spans="4:7" ht="21" customHeight="1">
      <c r="D8" s="92" t="s">
        <v>13</v>
      </c>
      <c r="E8" s="92"/>
      <c r="F8" s="92" t="s">
        <v>14</v>
      </c>
      <c r="G8" s="92"/>
    </row>
    <row r="9" spans="2:7" ht="12.75">
      <c r="B9" s="19" t="s">
        <v>15</v>
      </c>
      <c r="C9" s="42" t="s">
        <v>42</v>
      </c>
      <c r="D9" s="79" t="s">
        <v>408</v>
      </c>
      <c r="E9" s="79" t="s">
        <v>409</v>
      </c>
      <c r="F9" s="79" t="s">
        <v>408</v>
      </c>
      <c r="G9" s="79" t="s">
        <v>409</v>
      </c>
    </row>
    <row r="10" spans="2:7" ht="12.75">
      <c r="B10" s="60"/>
      <c r="C10" s="58"/>
      <c r="D10" s="24"/>
      <c r="E10" s="24"/>
      <c r="F10" s="24"/>
      <c r="G10" s="24"/>
    </row>
    <row r="11" spans="2:7" ht="12.75">
      <c r="B11" s="60"/>
      <c r="C11" s="58"/>
      <c r="D11" s="24"/>
      <c r="E11" s="24"/>
      <c r="F11" s="24"/>
      <c r="G11" s="24"/>
    </row>
    <row r="12" spans="1:7" s="97" customFormat="1" ht="12.75">
      <c r="A12" s="88"/>
      <c r="B12" s="94" t="s">
        <v>410</v>
      </c>
      <c r="C12" s="95" t="s">
        <v>202</v>
      </c>
      <c r="D12" s="96">
        <f>SUM(D10:D11)</f>
        <v>0</v>
      </c>
      <c r="E12" s="96">
        <f>SUM(E10:E11)</f>
        <v>0</v>
      </c>
      <c r="F12" s="96">
        <f>SUM(F10:F11)</f>
        <v>0</v>
      </c>
      <c r="G12" s="96">
        <f>SUM(G10:G11)</f>
        <v>0</v>
      </c>
    </row>
    <row r="13" spans="2:7" ht="12.75">
      <c r="B13" s="60"/>
      <c r="C13" s="58"/>
      <c r="D13" s="24"/>
      <c r="E13" s="24"/>
      <c r="F13" s="24"/>
      <c r="G13" s="24"/>
    </row>
    <row r="14" spans="2:7" ht="12.75">
      <c r="B14" s="60"/>
      <c r="C14" s="58"/>
      <c r="D14" s="24"/>
      <c r="E14" s="24"/>
      <c r="F14" s="24"/>
      <c r="G14" s="24"/>
    </row>
    <row r="15" spans="1:7" s="97" customFormat="1" ht="12.75">
      <c r="A15" s="88"/>
      <c r="B15" s="94" t="s">
        <v>411</v>
      </c>
      <c r="C15" s="95" t="s">
        <v>204</v>
      </c>
      <c r="D15" s="96">
        <f>SUM(D13:D14)</f>
        <v>0</v>
      </c>
      <c r="E15" s="96">
        <f>SUM(E13:E14)</f>
        <v>0</v>
      </c>
      <c r="F15" s="96">
        <f>SUM(F13:F14)</f>
        <v>0</v>
      </c>
      <c r="G15" s="96">
        <f>SUM(G13:G14)</f>
        <v>0</v>
      </c>
    </row>
    <row r="16" spans="2:7" ht="12.75">
      <c r="B16" s="50"/>
      <c r="C16" s="59"/>
      <c r="D16" s="25"/>
      <c r="E16" s="24"/>
      <c r="F16" s="25"/>
      <c r="G16" s="24"/>
    </row>
    <row r="17" spans="2:7" ht="12.75">
      <c r="B17" s="121" t="s">
        <v>412</v>
      </c>
      <c r="C17" s="113" t="s">
        <v>413</v>
      </c>
      <c r="D17" s="24"/>
      <c r="E17" s="24">
        <f>21680-5478-2544</f>
        <v>13658</v>
      </c>
      <c r="F17" s="24"/>
      <c r="G17" s="24">
        <f>21680-5478-2544</f>
        <v>13658</v>
      </c>
    </row>
    <row r="18" spans="1:7" s="97" customFormat="1" ht="12.75">
      <c r="A18" s="88"/>
      <c r="B18" s="122" t="s">
        <v>414</v>
      </c>
      <c r="C18" s="123" t="s">
        <v>413</v>
      </c>
      <c r="D18" s="124">
        <f>SUM(D16:D17)</f>
        <v>0</v>
      </c>
      <c r="E18" s="124">
        <f>SUM(E16:E17)</f>
        <v>13658</v>
      </c>
      <c r="F18" s="124">
        <f>SUM(F16:F17)</f>
        <v>0</v>
      </c>
      <c r="G18" s="124">
        <f>SUM(G16:G17)</f>
        <v>13658</v>
      </c>
    </row>
    <row r="19" spans="2:7" ht="12.75">
      <c r="B19" s="125"/>
      <c r="C19" s="59"/>
      <c r="D19" s="126"/>
      <c r="E19" s="126"/>
      <c r="F19" s="126"/>
      <c r="G19" s="126"/>
    </row>
    <row r="20" spans="2:7" ht="12.75">
      <c r="B20" s="127" t="s">
        <v>415</v>
      </c>
      <c r="C20" s="113" t="s">
        <v>416</v>
      </c>
      <c r="D20" s="24">
        <v>7000</v>
      </c>
      <c r="E20" s="24"/>
      <c r="F20" s="24">
        <v>7000</v>
      </c>
      <c r="G20" s="24"/>
    </row>
    <row r="21" spans="2:7" ht="12.75">
      <c r="B21" s="128" t="s">
        <v>417</v>
      </c>
      <c r="C21" s="113" t="s">
        <v>416</v>
      </c>
      <c r="D21" s="24">
        <v>3388</v>
      </c>
      <c r="E21" s="24"/>
      <c r="F21" s="24">
        <v>3388</v>
      </c>
      <c r="G21" s="24"/>
    </row>
    <row r="22" spans="2:7" ht="12.75">
      <c r="B22" s="127" t="s">
        <v>418</v>
      </c>
      <c r="C22" s="113" t="s">
        <v>416</v>
      </c>
      <c r="D22" s="24">
        <v>3000</v>
      </c>
      <c r="E22" s="24"/>
      <c r="F22" s="24">
        <v>3000</v>
      </c>
      <c r="G22" s="24"/>
    </row>
    <row r="23" spans="2:7" ht="12.75">
      <c r="B23" s="127" t="s">
        <v>419</v>
      </c>
      <c r="C23" s="113" t="s">
        <v>416</v>
      </c>
      <c r="D23" s="24"/>
      <c r="E23" s="24">
        <v>8300</v>
      </c>
      <c r="F23" s="24"/>
      <c r="G23" s="24">
        <v>8300</v>
      </c>
    </row>
    <row r="24" spans="1:7" s="97" customFormat="1" ht="12.75">
      <c r="A24" s="88"/>
      <c r="B24" s="122" t="s">
        <v>420</v>
      </c>
      <c r="C24" s="123" t="s">
        <v>416</v>
      </c>
      <c r="D24" s="124">
        <f>SUM(D20:D23)</f>
        <v>13388</v>
      </c>
      <c r="E24" s="124">
        <f>SUM(E20:E23)</f>
        <v>8300</v>
      </c>
      <c r="F24" s="124">
        <f>SUM(F20:F23)</f>
        <v>13388</v>
      </c>
      <c r="G24" s="124">
        <f>SUM(G20:G23)</f>
        <v>8300</v>
      </c>
    </row>
    <row r="25" spans="1:7" s="97" customFormat="1" ht="12.75">
      <c r="A25" s="88"/>
      <c r="B25" s="129" t="s">
        <v>421</v>
      </c>
      <c r="C25" s="130" t="s">
        <v>206</v>
      </c>
      <c r="D25" s="131">
        <f>+D24+D18</f>
        <v>13388</v>
      </c>
      <c r="E25" s="131">
        <f>+E24+E18</f>
        <v>21958</v>
      </c>
      <c r="F25" s="131">
        <f>+F24+F18</f>
        <v>13388</v>
      </c>
      <c r="G25" s="131">
        <f>+G24+G18</f>
        <v>21958</v>
      </c>
    </row>
    <row r="26" spans="2:7" ht="13.5" customHeight="1">
      <c r="B26" s="132"/>
      <c r="C26" s="133"/>
      <c r="D26" s="134"/>
      <c r="E26" s="134"/>
      <c r="F26" s="134"/>
      <c r="G26" s="134"/>
    </row>
    <row r="27" spans="2:7" ht="12.75">
      <c r="B27" s="102" t="s">
        <v>422</v>
      </c>
      <c r="C27" s="58" t="s">
        <v>423</v>
      </c>
      <c r="D27" s="24"/>
      <c r="E27" s="24"/>
      <c r="F27" s="24"/>
      <c r="G27" s="24"/>
    </row>
    <row r="28" spans="2:7" ht="13.5" customHeight="1">
      <c r="B28" s="105" t="s">
        <v>424</v>
      </c>
      <c r="C28" s="58" t="s">
        <v>423</v>
      </c>
      <c r="D28" s="24"/>
      <c r="E28" s="24"/>
      <c r="F28" s="24"/>
      <c r="G28" s="24"/>
    </row>
    <row r="29" spans="2:7" ht="13.5" customHeight="1">
      <c r="B29" s="135" t="s">
        <v>425</v>
      </c>
      <c r="C29" s="58" t="s">
        <v>423</v>
      </c>
      <c r="D29" s="24">
        <v>7154</v>
      </c>
      <c r="E29" s="24"/>
      <c r="F29" s="24">
        <v>7154</v>
      </c>
      <c r="G29" s="24"/>
    </row>
    <row r="30" spans="2:7" ht="12.75">
      <c r="B30" s="121" t="s">
        <v>426</v>
      </c>
      <c r="C30" s="58" t="s">
        <v>423</v>
      </c>
      <c r="D30" s="24">
        <v>28099</v>
      </c>
      <c r="E30" s="24"/>
      <c r="F30" s="24">
        <v>28099</v>
      </c>
      <c r="G30" s="24"/>
    </row>
    <row r="31" spans="2:7" ht="12.75">
      <c r="B31" s="121" t="s">
        <v>427</v>
      </c>
      <c r="C31" s="58" t="s">
        <v>423</v>
      </c>
      <c r="D31" s="24">
        <v>24705</v>
      </c>
      <c r="E31" s="24"/>
      <c r="F31" s="24">
        <v>24705</v>
      </c>
      <c r="G31" s="24"/>
    </row>
    <row r="32" spans="2:7" ht="12.75">
      <c r="B32" s="128" t="s">
        <v>428</v>
      </c>
      <c r="C32" s="58" t="s">
        <v>423</v>
      </c>
      <c r="D32" s="24">
        <v>17750</v>
      </c>
      <c r="E32" s="24"/>
      <c r="F32" s="24">
        <v>17750</v>
      </c>
      <c r="G32" s="24"/>
    </row>
    <row r="33" spans="2:7" ht="12.75">
      <c r="B33" s="121" t="s">
        <v>429</v>
      </c>
      <c r="C33" s="58" t="s">
        <v>423</v>
      </c>
      <c r="D33" s="24"/>
      <c r="E33" s="24">
        <v>99037</v>
      </c>
      <c r="F33" s="24"/>
      <c r="G33" s="24">
        <v>99037</v>
      </c>
    </row>
    <row r="34" spans="2:7" ht="18.75" customHeight="1">
      <c r="B34" s="121" t="s">
        <v>430</v>
      </c>
      <c r="C34" s="58" t="s">
        <v>423</v>
      </c>
      <c r="D34" s="24"/>
      <c r="E34" s="24">
        <v>15000</v>
      </c>
      <c r="F34" s="24"/>
      <c r="G34" s="24">
        <v>15000</v>
      </c>
    </row>
    <row r="35" spans="2:7" ht="13.5" customHeight="1">
      <c r="B35" s="128" t="s">
        <v>431</v>
      </c>
      <c r="C35" s="58" t="s">
        <v>423</v>
      </c>
      <c r="D35" s="100">
        <f>136194-65712-11350</f>
        <v>59132</v>
      </c>
      <c r="E35" s="136"/>
      <c r="F35" s="100">
        <f>136194-65712-11350</f>
        <v>59132</v>
      </c>
      <c r="G35" s="136"/>
    </row>
    <row r="36" spans="1:7" s="97" customFormat="1" ht="12.75">
      <c r="A36" s="88"/>
      <c r="B36" s="129" t="s">
        <v>432</v>
      </c>
      <c r="C36" s="130" t="s">
        <v>423</v>
      </c>
      <c r="D36" s="131">
        <f>SUM(D26:D35)</f>
        <v>136840</v>
      </c>
      <c r="E36" s="131">
        <f>SUM(E26:E35)</f>
        <v>114037</v>
      </c>
      <c r="F36" s="131">
        <f>SUM(F26:F35)</f>
        <v>136840</v>
      </c>
      <c r="G36" s="131">
        <f>SUM(G26:G35)</f>
        <v>114037</v>
      </c>
    </row>
    <row r="37" spans="2:7" ht="13.5" customHeight="1" hidden="1">
      <c r="B37" s="132"/>
      <c r="C37" s="133"/>
      <c r="D37" s="134"/>
      <c r="E37" s="134"/>
      <c r="F37" s="134"/>
      <c r="G37" s="134"/>
    </row>
    <row r="38" spans="2:7" ht="12.75" hidden="1">
      <c r="B38" s="60"/>
      <c r="C38" s="58"/>
      <c r="D38" s="24"/>
      <c r="E38" s="24"/>
      <c r="F38" s="24"/>
      <c r="G38" s="24"/>
    </row>
    <row r="39" spans="1:7" s="97" customFormat="1" ht="12.75" hidden="1">
      <c r="A39" s="88"/>
      <c r="B39" s="94" t="s">
        <v>433</v>
      </c>
      <c r="C39" s="95" t="s">
        <v>434</v>
      </c>
      <c r="D39" s="96">
        <f>SUM(D37:D38)</f>
        <v>0</v>
      </c>
      <c r="E39" s="96">
        <f>SUM(E37:E38)</f>
        <v>0</v>
      </c>
      <c r="F39" s="96">
        <f>SUM(F37:F38)</f>
        <v>0</v>
      </c>
      <c r="G39" s="96">
        <f>SUM(G37:G38)</f>
        <v>0</v>
      </c>
    </row>
    <row r="40" spans="2:7" ht="12.75" hidden="1">
      <c r="B40" s="60"/>
      <c r="C40" s="58"/>
      <c r="D40" s="24"/>
      <c r="E40" s="24"/>
      <c r="F40" s="24"/>
      <c r="G40" s="24"/>
    </row>
    <row r="41" spans="2:7" ht="12.75" hidden="1">
      <c r="B41" s="60"/>
      <c r="C41" s="58"/>
      <c r="D41" s="24"/>
      <c r="E41" s="24"/>
      <c r="F41" s="24"/>
      <c r="G41" s="24"/>
    </row>
    <row r="42" spans="1:7" s="97" customFormat="1" ht="12.75" hidden="1">
      <c r="A42" s="88"/>
      <c r="B42" s="94" t="s">
        <v>435</v>
      </c>
      <c r="C42" s="95" t="s">
        <v>436</v>
      </c>
      <c r="D42" s="96">
        <f>SUM(D40:D41)</f>
        <v>0</v>
      </c>
      <c r="E42" s="96">
        <f>SUM(E40:E41)</f>
        <v>0</v>
      </c>
      <c r="F42" s="96">
        <f>SUM(F40:F41)</f>
        <v>0</v>
      </c>
      <c r="G42" s="96">
        <f>SUM(G40:G41)</f>
        <v>0</v>
      </c>
    </row>
    <row r="43" spans="2:7" ht="12.75">
      <c r="B43" s="50"/>
      <c r="C43" s="59"/>
      <c r="D43" s="24"/>
      <c r="E43" s="24"/>
      <c r="F43" s="24"/>
      <c r="G43" s="24"/>
    </row>
    <row r="44" spans="2:7" ht="12.75">
      <c r="B44" s="128" t="s">
        <v>437</v>
      </c>
      <c r="C44" s="58" t="s">
        <v>438</v>
      </c>
      <c r="D44" s="24">
        <v>14999</v>
      </c>
      <c r="E44" s="24"/>
      <c r="F44" s="24">
        <v>14999</v>
      </c>
      <c r="G44" s="24"/>
    </row>
    <row r="45" spans="2:7" ht="12.75">
      <c r="B45" s="128" t="s">
        <v>439</v>
      </c>
      <c r="C45" s="58" t="s">
        <v>438</v>
      </c>
      <c r="D45" s="24">
        <v>29970</v>
      </c>
      <c r="E45" s="24"/>
      <c r="F45" s="24">
        <v>29970</v>
      </c>
      <c r="G45" s="24"/>
    </row>
    <row r="46" spans="2:7" ht="12.75">
      <c r="B46" s="128" t="s">
        <v>440</v>
      </c>
      <c r="C46" s="58" t="s">
        <v>438</v>
      </c>
      <c r="D46" s="24"/>
      <c r="E46" s="24"/>
      <c r="F46" s="24">
        <v>13300</v>
      </c>
      <c r="G46" s="24"/>
    </row>
    <row r="47" spans="2:7" ht="12.75">
      <c r="B47" s="128" t="s">
        <v>441</v>
      </c>
      <c r="C47" s="58" t="s">
        <v>438</v>
      </c>
      <c r="D47" s="24"/>
      <c r="E47" s="24"/>
      <c r="F47" s="24">
        <v>4500</v>
      </c>
      <c r="G47" s="24"/>
    </row>
    <row r="48" spans="2:7" ht="12.75">
      <c r="B48" s="128" t="s">
        <v>442</v>
      </c>
      <c r="C48" s="58" t="s">
        <v>438</v>
      </c>
      <c r="D48" s="24"/>
      <c r="E48" s="24"/>
      <c r="F48" s="24"/>
      <c r="G48" s="24"/>
    </row>
    <row r="49" spans="2:7" ht="12.75">
      <c r="B49" s="137" t="s">
        <v>443</v>
      </c>
      <c r="C49" s="58" t="s">
        <v>438</v>
      </c>
      <c r="D49" s="24"/>
      <c r="E49" s="24"/>
      <c r="F49" s="24"/>
      <c r="G49" s="24"/>
    </row>
    <row r="50" spans="1:7" s="97" customFormat="1" ht="12.75">
      <c r="A50" s="88"/>
      <c r="B50" s="122" t="s">
        <v>444</v>
      </c>
      <c r="C50" s="123" t="s">
        <v>438</v>
      </c>
      <c r="D50" s="124">
        <f>SUM(D43:D49)</f>
        <v>44969</v>
      </c>
      <c r="E50" s="124">
        <f>SUM(E43:E49)</f>
        <v>0</v>
      </c>
      <c r="F50" s="124">
        <f>SUM(F43:F49)</f>
        <v>62769</v>
      </c>
      <c r="G50" s="124">
        <f>SUM(G43:G49)</f>
        <v>0</v>
      </c>
    </row>
    <row r="51" spans="2:7" ht="12.75">
      <c r="B51" s="50"/>
      <c r="C51" s="59"/>
      <c r="D51" s="24"/>
      <c r="E51" s="24"/>
      <c r="F51" s="24"/>
      <c r="G51" s="24"/>
    </row>
    <row r="52" spans="1:7" s="115" customFormat="1" ht="12.75">
      <c r="A52" s="111"/>
      <c r="B52" s="128" t="s">
        <v>445</v>
      </c>
      <c r="C52" s="58" t="s">
        <v>446</v>
      </c>
      <c r="D52" s="138">
        <v>37680</v>
      </c>
      <c r="E52" s="24"/>
      <c r="F52" s="138">
        <v>37680</v>
      </c>
      <c r="G52" s="24"/>
    </row>
    <row r="53" spans="1:7" s="115" customFormat="1" ht="12.75">
      <c r="A53" s="111"/>
      <c r="B53" s="121" t="s">
        <v>447</v>
      </c>
      <c r="C53" s="58" t="s">
        <v>446</v>
      </c>
      <c r="D53" s="24">
        <v>139995</v>
      </c>
      <c r="E53" s="24"/>
      <c r="F53" s="24">
        <v>139995</v>
      </c>
      <c r="G53" s="24"/>
    </row>
    <row r="54" spans="1:7" s="115" customFormat="1" ht="12.75">
      <c r="A54" s="111"/>
      <c r="B54" s="121" t="s">
        <v>448</v>
      </c>
      <c r="C54" s="58" t="s">
        <v>446</v>
      </c>
      <c r="D54" s="24"/>
      <c r="E54" s="24">
        <v>285000</v>
      </c>
      <c r="F54" s="24"/>
      <c r="G54" s="24">
        <v>285000</v>
      </c>
    </row>
    <row r="55" spans="1:7" s="115" customFormat="1" ht="12.75">
      <c r="A55" s="111"/>
      <c r="B55" s="121" t="s">
        <v>449</v>
      </c>
      <c r="C55" s="58" t="s">
        <v>446</v>
      </c>
      <c r="D55" s="24">
        <v>84296</v>
      </c>
      <c r="E55" s="24"/>
      <c r="F55" s="24">
        <v>84296</v>
      </c>
      <c r="G55" s="24"/>
    </row>
    <row r="56" spans="1:7" s="115" customFormat="1" ht="12.75">
      <c r="A56" s="111"/>
      <c r="B56" s="121" t="s">
        <v>450</v>
      </c>
      <c r="C56" s="58" t="s">
        <v>446</v>
      </c>
      <c r="D56" s="24">
        <v>131074</v>
      </c>
      <c r="E56" s="24"/>
      <c r="F56" s="24">
        <v>131074</v>
      </c>
      <c r="G56" s="24"/>
    </row>
    <row r="57" spans="1:7" s="115" customFormat="1" ht="12.75">
      <c r="A57" s="111"/>
      <c r="B57" s="121" t="s">
        <v>451</v>
      </c>
      <c r="C57" s="58" t="s">
        <v>446</v>
      </c>
      <c r="D57" s="24"/>
      <c r="E57" s="24">
        <v>35102</v>
      </c>
      <c r="F57" s="24"/>
      <c r="G57" s="24">
        <v>35102</v>
      </c>
    </row>
    <row r="58" spans="1:7" s="115" customFormat="1" ht="12.75">
      <c r="A58" s="111"/>
      <c r="B58" s="121" t="s">
        <v>452</v>
      </c>
      <c r="C58" s="58" t="s">
        <v>446</v>
      </c>
      <c r="D58" s="24"/>
      <c r="E58" s="24">
        <v>297113</v>
      </c>
      <c r="F58" s="24"/>
      <c r="G58" s="24">
        <v>297113</v>
      </c>
    </row>
    <row r="59" spans="1:7" s="115" customFormat="1" ht="12.75">
      <c r="A59" s="111"/>
      <c r="B59" s="128" t="s">
        <v>453</v>
      </c>
      <c r="C59" s="58" t="s">
        <v>446</v>
      </c>
      <c r="D59" s="24">
        <v>60000</v>
      </c>
      <c r="E59" s="24"/>
      <c r="F59" s="24">
        <v>60000</v>
      </c>
      <c r="G59" s="24"/>
    </row>
    <row r="60" spans="1:7" s="115" customFormat="1" ht="12.75">
      <c r="A60" s="111"/>
      <c r="B60" s="128" t="s">
        <v>454</v>
      </c>
      <c r="C60" s="58" t="s">
        <v>446</v>
      </c>
      <c r="D60" s="24">
        <f>150000+115000</f>
        <v>265000</v>
      </c>
      <c r="E60" s="24"/>
      <c r="F60" s="24">
        <f>150000+115000</f>
        <v>265000</v>
      </c>
      <c r="G60" s="24"/>
    </row>
    <row r="61" spans="1:7" s="97" customFormat="1" ht="12.75">
      <c r="A61" s="88"/>
      <c r="B61" s="122" t="s">
        <v>414</v>
      </c>
      <c r="C61" s="123" t="s">
        <v>446</v>
      </c>
      <c r="D61" s="124">
        <f>SUM(D51:D60)</f>
        <v>718045</v>
      </c>
      <c r="E61" s="124">
        <f>SUM(E51:E60)</f>
        <v>617215</v>
      </c>
      <c r="F61" s="124">
        <f>SUM(F51:F60)</f>
        <v>718045</v>
      </c>
      <c r="G61" s="124">
        <f>SUM(G51:G60)</f>
        <v>617215</v>
      </c>
    </row>
    <row r="62" spans="1:7" s="97" customFormat="1" ht="12.75">
      <c r="A62" s="88"/>
      <c r="B62" s="94" t="s">
        <v>455</v>
      </c>
      <c r="C62" s="95" t="s">
        <v>456</v>
      </c>
      <c r="D62" s="96">
        <f>+D61+D50</f>
        <v>763014</v>
      </c>
      <c r="E62" s="96">
        <f>+E61+E50</f>
        <v>617215</v>
      </c>
      <c r="F62" s="96">
        <f>+F61+F50</f>
        <v>780814</v>
      </c>
      <c r="G62" s="96">
        <f>+G61+G50</f>
        <v>617215</v>
      </c>
    </row>
    <row r="63" spans="1:7" s="97" customFormat="1" ht="12.75">
      <c r="A63" s="88"/>
      <c r="B63" s="129" t="s">
        <v>457</v>
      </c>
      <c r="C63" s="130" t="s">
        <v>210</v>
      </c>
      <c r="D63" s="131">
        <f>+D62+D42+D39+D36</f>
        <v>899854</v>
      </c>
      <c r="E63" s="131">
        <f>+E62+E42+E39+E36</f>
        <v>731252</v>
      </c>
      <c r="F63" s="131">
        <f>+F62+F42+F39+F36</f>
        <v>917654</v>
      </c>
      <c r="G63" s="131">
        <f>+G62+G42+G39+G36</f>
        <v>731252</v>
      </c>
    </row>
    <row r="64" spans="2:7" ht="12.75" hidden="1">
      <c r="B64" s="132"/>
      <c r="C64" s="139"/>
      <c r="D64" s="134"/>
      <c r="E64" s="134"/>
      <c r="F64" s="134"/>
      <c r="G64" s="134"/>
    </row>
    <row r="65" spans="2:7" ht="12.75" hidden="1">
      <c r="B65" s="60"/>
      <c r="C65" s="47"/>
      <c r="D65" s="24"/>
      <c r="E65" s="24"/>
      <c r="F65" s="24"/>
      <c r="G65" s="24"/>
    </row>
    <row r="66" spans="1:7" s="97" customFormat="1" ht="19.5" customHeight="1" hidden="1">
      <c r="A66" s="88"/>
      <c r="B66" s="94" t="s">
        <v>458</v>
      </c>
      <c r="C66" s="95" t="s">
        <v>459</v>
      </c>
      <c r="D66" s="96">
        <f>SUM(D64:D65)</f>
        <v>0</v>
      </c>
      <c r="E66" s="96">
        <f>SUM(E64:E65)</f>
        <v>0</v>
      </c>
      <c r="F66" s="96">
        <f>SUM(F64:F65)</f>
        <v>0</v>
      </c>
      <c r="G66" s="96">
        <f>SUM(G64:G65)</f>
        <v>0</v>
      </c>
    </row>
    <row r="67" spans="2:7" ht="12.75" hidden="1">
      <c r="B67" s="60"/>
      <c r="C67" s="47"/>
      <c r="D67" s="24"/>
      <c r="E67" s="24"/>
      <c r="F67" s="24"/>
      <c r="G67" s="24"/>
    </row>
    <row r="68" spans="2:7" ht="12.75" hidden="1">
      <c r="B68" s="60"/>
      <c r="C68" s="47"/>
      <c r="D68" s="24"/>
      <c r="E68" s="24"/>
      <c r="F68" s="24"/>
      <c r="G68" s="24"/>
    </row>
    <row r="69" spans="1:7" s="97" customFormat="1" ht="12.75" hidden="1">
      <c r="A69" s="88"/>
      <c r="B69" s="94" t="s">
        <v>460</v>
      </c>
      <c r="C69" s="95" t="s">
        <v>461</v>
      </c>
      <c r="D69" s="96">
        <f>SUM(D67:D68)</f>
        <v>0</v>
      </c>
      <c r="E69" s="96">
        <f>SUM(E67:E68)</f>
        <v>0</v>
      </c>
      <c r="F69" s="96">
        <f>SUM(F67:F68)</f>
        <v>0</v>
      </c>
      <c r="G69" s="96">
        <f>SUM(G67:G68)</f>
        <v>0</v>
      </c>
    </row>
    <row r="70" spans="2:7" ht="12.75" hidden="1">
      <c r="B70" s="60"/>
      <c r="C70" s="47"/>
      <c r="D70" s="24"/>
      <c r="E70" s="24"/>
      <c r="F70" s="24"/>
      <c r="G70" s="24"/>
    </row>
    <row r="71" spans="2:7" ht="12.75" hidden="1">
      <c r="B71" s="60"/>
      <c r="C71" s="47"/>
      <c r="D71" s="24"/>
      <c r="E71" s="24"/>
      <c r="F71" s="24"/>
      <c r="G71" s="24"/>
    </row>
    <row r="72" spans="1:7" s="97" customFormat="1" ht="12.75" hidden="1">
      <c r="A72" s="88"/>
      <c r="B72" s="94" t="s">
        <v>462</v>
      </c>
      <c r="C72" s="95" t="s">
        <v>266</v>
      </c>
      <c r="D72" s="96">
        <f>SUM(D70:D71)</f>
        <v>0</v>
      </c>
      <c r="E72" s="96">
        <f>SUM(E70:E71)</f>
        <v>0</v>
      </c>
      <c r="F72" s="96">
        <f>SUM(F70:F71)</f>
        <v>0</v>
      </c>
      <c r="G72" s="96">
        <f>SUM(G70:G71)</f>
        <v>0</v>
      </c>
    </row>
    <row r="73" spans="2:7" ht="12.75" hidden="1">
      <c r="B73" s="60"/>
      <c r="C73" s="47"/>
      <c r="D73" s="24"/>
      <c r="E73" s="24"/>
      <c r="F73" s="24"/>
      <c r="G73" s="24"/>
    </row>
    <row r="74" spans="2:7" ht="12.75" hidden="1">
      <c r="B74" s="60"/>
      <c r="C74" s="47"/>
      <c r="D74" s="24"/>
      <c r="E74" s="24"/>
      <c r="F74" s="24"/>
      <c r="G74" s="24"/>
    </row>
    <row r="75" spans="1:7" s="97" customFormat="1" ht="12.75" hidden="1">
      <c r="A75" s="88"/>
      <c r="B75" s="94" t="s">
        <v>463</v>
      </c>
      <c r="C75" s="95" t="s">
        <v>268</v>
      </c>
      <c r="D75" s="96">
        <f>SUM(D73:D74)</f>
        <v>0</v>
      </c>
      <c r="E75" s="96">
        <f>SUM(E73:E74)</f>
        <v>0</v>
      </c>
      <c r="F75" s="96">
        <f>SUM(F73:F74)</f>
        <v>0</v>
      </c>
      <c r="G75" s="96">
        <f>SUM(G73:G74)</f>
        <v>0</v>
      </c>
    </row>
    <row r="76" spans="2:7" ht="12.75">
      <c r="B76" s="51"/>
      <c r="C76" s="59"/>
      <c r="D76" s="25"/>
      <c r="E76" s="25"/>
      <c r="F76" s="25"/>
      <c r="G76" s="25"/>
    </row>
    <row r="77" spans="2:7" ht="12.75">
      <c r="B77" s="128" t="s">
        <v>464</v>
      </c>
      <c r="C77" s="140" t="s">
        <v>298</v>
      </c>
      <c r="D77" s="100">
        <v>0</v>
      </c>
      <c r="E77" s="25"/>
      <c r="F77" s="100">
        <v>0</v>
      </c>
      <c r="G77" s="25"/>
    </row>
    <row r="78" spans="1:7" s="97" customFormat="1" ht="12.75">
      <c r="A78" s="88"/>
      <c r="B78" s="141" t="s">
        <v>465</v>
      </c>
      <c r="C78" s="141" t="s">
        <v>298</v>
      </c>
      <c r="D78" s="142">
        <f>SUM(D76:D77)</f>
        <v>0</v>
      </c>
      <c r="E78" s="142">
        <f>SUM(E76:E77)</f>
        <v>0</v>
      </c>
      <c r="F78" s="142">
        <f>SUM(F76:F77)</f>
        <v>0</v>
      </c>
      <c r="G78" s="142">
        <f>SUM(G76:G77)</f>
        <v>0</v>
      </c>
    </row>
    <row r="79" spans="2:7" ht="12.75">
      <c r="B79" s="26"/>
      <c r="C79" s="42"/>
      <c r="D79" s="79"/>
      <c r="E79" s="79"/>
      <c r="F79" s="79"/>
      <c r="G79" s="79"/>
    </row>
    <row r="80" spans="2:7" ht="12.75">
      <c r="B80" s="26"/>
      <c r="C80" s="42"/>
      <c r="D80" s="79"/>
      <c r="E80" s="79"/>
      <c r="F80" s="79"/>
      <c r="G80" s="79"/>
    </row>
    <row r="81" spans="1:7" s="108" customFormat="1" ht="12.75">
      <c r="A81" s="88"/>
      <c r="B81" s="143" t="s">
        <v>466</v>
      </c>
      <c r="C81" s="95" t="s">
        <v>250</v>
      </c>
      <c r="D81" s="96">
        <f>SUM(D79:D80)</f>
        <v>0</v>
      </c>
      <c r="E81" s="96">
        <f>SUM(E79:E80)</f>
        <v>0</v>
      </c>
      <c r="F81" s="96">
        <f>SUM(F79:F80)</f>
        <v>0</v>
      </c>
      <c r="G81" s="96">
        <f>SUM(G79:G80)</f>
        <v>0</v>
      </c>
    </row>
    <row r="82" spans="2:7" ht="12.75">
      <c r="B82" s="127"/>
      <c r="C82" s="58"/>
      <c r="D82" s="24"/>
      <c r="E82" s="24"/>
      <c r="F82" s="24"/>
      <c r="G82" s="24"/>
    </row>
    <row r="83" spans="2:7" ht="12.75">
      <c r="B83" s="127" t="s">
        <v>467</v>
      </c>
      <c r="C83" s="113" t="s">
        <v>252</v>
      </c>
      <c r="D83" s="24">
        <f>13303-2386+5715</f>
        <v>16632</v>
      </c>
      <c r="E83" s="24"/>
      <c r="F83" s="24">
        <f>13303-2386+5715</f>
        <v>16632</v>
      </c>
      <c r="G83" s="24"/>
    </row>
    <row r="84" spans="2:7" ht="12.75">
      <c r="B84" s="127" t="s">
        <v>468</v>
      </c>
      <c r="C84" s="113" t="s">
        <v>252</v>
      </c>
      <c r="D84" s="24">
        <v>8000</v>
      </c>
      <c r="E84" s="24"/>
      <c r="F84" s="24">
        <v>8000</v>
      </c>
      <c r="G84" s="24"/>
    </row>
    <row r="85" spans="2:8" ht="12.75">
      <c r="B85" s="127" t="s">
        <v>469</v>
      </c>
      <c r="C85" s="113" t="s">
        <v>252</v>
      </c>
      <c r="D85" s="144"/>
      <c r="E85" s="144">
        <f>10300+203+2432+14041</f>
        <v>26976</v>
      </c>
      <c r="F85" s="144"/>
      <c r="G85" s="144">
        <f>10300+203+2432+14041</f>
        <v>26976</v>
      </c>
      <c r="H85" s="145"/>
    </row>
    <row r="86" spans="2:7" ht="12.75">
      <c r="B86" s="127" t="s">
        <v>470</v>
      </c>
      <c r="C86" s="113" t="s">
        <v>252</v>
      </c>
      <c r="D86" s="144"/>
      <c r="E86" s="144">
        <v>6000</v>
      </c>
      <c r="F86" s="144"/>
      <c r="G86" s="144">
        <v>6000</v>
      </c>
    </row>
    <row r="87" spans="1:7" s="108" customFormat="1" ht="12.75">
      <c r="A87" s="146"/>
      <c r="B87" s="143" t="s">
        <v>471</v>
      </c>
      <c r="C87" s="95" t="s">
        <v>252</v>
      </c>
      <c r="D87" s="96">
        <f>SUM(D82:D86)</f>
        <v>24632</v>
      </c>
      <c r="E87" s="96">
        <f>SUM(E82:E86)</f>
        <v>32976</v>
      </c>
      <c r="F87" s="96">
        <f>SUM(F82:F86)</f>
        <v>24632</v>
      </c>
      <c r="G87" s="96">
        <f>SUM(G82:G86)</f>
        <v>32976</v>
      </c>
    </row>
    <row r="88" spans="2:7" ht="12.75">
      <c r="B88" s="60"/>
      <c r="C88" s="58"/>
      <c r="D88" s="24"/>
      <c r="E88" s="24"/>
      <c r="F88" s="24"/>
      <c r="G88" s="24"/>
    </row>
    <row r="89" spans="2:7" ht="12.75">
      <c r="B89" s="128" t="s">
        <v>472</v>
      </c>
      <c r="C89" s="113" t="s">
        <v>252</v>
      </c>
      <c r="D89" s="24"/>
      <c r="E89" s="24"/>
      <c r="F89" s="24"/>
      <c r="G89" s="24"/>
    </row>
    <row r="90" spans="1:7" s="108" customFormat="1" ht="12.75">
      <c r="A90" s="146"/>
      <c r="B90" s="143" t="s">
        <v>473</v>
      </c>
      <c r="C90" s="95" t="s">
        <v>254</v>
      </c>
      <c r="D90" s="96">
        <f>SUM(D88:D89)</f>
        <v>0</v>
      </c>
      <c r="E90" s="96">
        <f>SUM(E88:E89)</f>
        <v>0</v>
      </c>
      <c r="F90" s="96">
        <f>SUM(F88:F89)</f>
        <v>0</v>
      </c>
      <c r="G90" s="96">
        <f>SUM(G88:G89)</f>
        <v>0</v>
      </c>
    </row>
    <row r="91" spans="2:7" ht="12.75" hidden="1">
      <c r="B91" s="60"/>
      <c r="C91" s="58"/>
      <c r="D91" s="24"/>
      <c r="E91" s="24"/>
      <c r="F91" s="24"/>
      <c r="G91" s="24"/>
    </row>
    <row r="92" spans="2:7" ht="12.75" hidden="1">
      <c r="B92" s="60"/>
      <c r="C92" s="58"/>
      <c r="D92" s="24"/>
      <c r="E92" s="24"/>
      <c r="F92" s="24"/>
      <c r="G92" s="24"/>
    </row>
    <row r="93" spans="1:7" s="108" customFormat="1" ht="12.75" hidden="1">
      <c r="A93" s="146"/>
      <c r="B93" s="143" t="s">
        <v>474</v>
      </c>
      <c r="C93" s="95" t="s">
        <v>256</v>
      </c>
      <c r="D93" s="96">
        <f>SUM(D91:D92)</f>
        <v>0</v>
      </c>
      <c r="E93" s="96">
        <f>SUM(E91:E92)</f>
        <v>0</v>
      </c>
      <c r="F93" s="96">
        <f>SUM(F91:F92)</f>
        <v>0</v>
      </c>
      <c r="G93" s="96">
        <f>SUM(G91:G92)</f>
        <v>0</v>
      </c>
    </row>
    <row r="94" spans="2:7" ht="12.75" hidden="1">
      <c r="B94" s="60"/>
      <c r="C94" s="58"/>
      <c r="D94" s="24"/>
      <c r="E94" s="24"/>
      <c r="F94" s="24"/>
      <c r="G94" s="24"/>
    </row>
    <row r="95" spans="2:7" ht="12.75" hidden="1">
      <c r="B95" s="60"/>
      <c r="C95" s="58"/>
      <c r="D95" s="24"/>
      <c r="E95" s="24"/>
      <c r="F95" s="24"/>
      <c r="G95" s="24"/>
    </row>
    <row r="96" spans="1:7" s="108" customFormat="1" ht="12.75" hidden="1">
      <c r="A96" s="146"/>
      <c r="B96" s="143" t="s">
        <v>475</v>
      </c>
      <c r="C96" s="95" t="s">
        <v>258</v>
      </c>
      <c r="D96" s="96">
        <f>SUM(D94:D95)</f>
        <v>0</v>
      </c>
      <c r="E96" s="96">
        <f>SUM(E94:E95)</f>
        <v>0</v>
      </c>
      <c r="F96" s="96">
        <f>SUM(F94:F95)</f>
        <v>0</v>
      </c>
      <c r="G96" s="96">
        <f>SUM(G94:G95)</f>
        <v>0</v>
      </c>
    </row>
    <row r="97" spans="1:7" s="97" customFormat="1" ht="12.75">
      <c r="A97" s="88"/>
      <c r="B97" s="94" t="s">
        <v>476</v>
      </c>
      <c r="C97" s="95" t="s">
        <v>260</v>
      </c>
      <c r="D97" s="96">
        <f>+D96+D93+D90+D87+D81</f>
        <v>24632</v>
      </c>
      <c r="E97" s="96">
        <f>+E96+E93+E90+E87+E81</f>
        <v>32976</v>
      </c>
      <c r="F97" s="96">
        <f>+F96+F93+F90+F87+F81</f>
        <v>24632</v>
      </c>
      <c r="G97" s="96">
        <f>+G96+G93+G90+G87+G81</f>
        <v>32976</v>
      </c>
    </row>
  </sheetData>
  <sheetProtection selectLockedCells="1" selectUnlockedCells="1"/>
  <mergeCells count="3">
    <mergeCell ref="B6:C6"/>
    <mergeCell ref="D8:E8"/>
    <mergeCell ref="F8:G8"/>
  </mergeCells>
  <printOptions horizontalCentered="1"/>
  <pageMargins left="0.7083333333333334" right="0.7083333333333334" top="0.5902777777777778" bottom="0.5513888888888889" header="0.5118055555555555" footer="0.31527777777777777"/>
  <pageSetup horizontalDpi="300" verticalDpi="300" orientation="portrait" paperSize="9" scale="6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SheetLayoutView="100" workbookViewId="0" topLeftCell="A1">
      <selection activeCell="G1" sqref="G1"/>
    </sheetView>
  </sheetViews>
  <sheetFormatPr defaultColWidth="9.140625" defaultRowHeight="15"/>
  <cols>
    <col min="1" max="1" width="12.28125" style="88" customWidth="1"/>
    <col min="2" max="2" width="74.00390625" style="13" customWidth="1"/>
    <col min="3" max="3" width="8.28125" style="13" customWidth="1"/>
    <col min="4" max="4" width="12.57421875" style="14" customWidth="1"/>
    <col min="5" max="5" width="12.421875" style="14" customWidth="1"/>
    <col min="6" max="6" width="12.57421875" style="14" customWidth="1"/>
    <col min="7" max="7" width="12.421875" style="14" customWidth="1"/>
    <col min="8" max="8" width="11.28125" style="147" customWidth="1"/>
    <col min="9" max="9" width="9.28125" style="147" customWidth="1"/>
    <col min="10" max="16384" width="9.140625" style="13" customWidth="1"/>
  </cols>
  <sheetData>
    <row r="1" spans="5:7" ht="12.75">
      <c r="E1" s="15"/>
      <c r="G1" s="15" t="s">
        <v>477</v>
      </c>
    </row>
    <row r="2" spans="5:7" ht="12.75">
      <c r="E2" s="15"/>
      <c r="G2" s="15" t="s">
        <v>10</v>
      </c>
    </row>
    <row r="3" spans="5:7" ht="12.75">
      <c r="E3" s="15"/>
      <c r="G3" s="15"/>
    </row>
    <row r="4" spans="2:7" ht="21.75" customHeight="1">
      <c r="B4" s="34" t="s">
        <v>11</v>
      </c>
      <c r="C4" s="36"/>
      <c r="D4" s="36"/>
      <c r="E4" s="36"/>
      <c r="F4" s="36"/>
      <c r="G4" s="36"/>
    </row>
    <row r="5" spans="2:7" ht="12.75">
      <c r="B5" s="34"/>
      <c r="C5" s="36"/>
      <c r="D5" s="36"/>
      <c r="E5" s="36"/>
      <c r="F5" s="36"/>
      <c r="G5" s="36"/>
    </row>
    <row r="6" spans="2:7" ht="12.75">
      <c r="B6" s="119" t="s">
        <v>478</v>
      </c>
      <c r="C6" s="148"/>
      <c r="D6" s="148"/>
      <c r="E6" s="148"/>
      <c r="F6" s="148"/>
      <c r="G6" s="148"/>
    </row>
    <row r="7" spans="2:7" ht="15.75" customHeight="1">
      <c r="B7" s="76"/>
      <c r="C7" s="76"/>
      <c r="D7" s="92" t="s">
        <v>13</v>
      </c>
      <c r="E7" s="92"/>
      <c r="F7" s="92" t="s">
        <v>14</v>
      </c>
      <c r="G7" s="92"/>
    </row>
    <row r="8" spans="2:7" ht="12.75">
      <c r="B8" s="19" t="s">
        <v>15</v>
      </c>
      <c r="C8" s="42" t="s">
        <v>42</v>
      </c>
      <c r="D8" s="79" t="s">
        <v>408</v>
      </c>
      <c r="E8" s="79" t="s">
        <v>409</v>
      </c>
      <c r="F8" s="79" t="s">
        <v>408</v>
      </c>
      <c r="G8" s="79" t="s">
        <v>409</v>
      </c>
    </row>
    <row r="9" spans="2:7" ht="12.75">
      <c r="B9" s="23"/>
      <c r="C9" s="23"/>
      <c r="D9" s="24"/>
      <c r="E9" s="24"/>
      <c r="F9" s="24"/>
      <c r="G9" s="24"/>
    </row>
    <row r="10" spans="2:7" ht="12.75">
      <c r="B10" s="128" t="s">
        <v>479</v>
      </c>
      <c r="C10" s="23" t="s">
        <v>97</v>
      </c>
      <c r="D10" s="24">
        <v>243</v>
      </c>
      <c r="E10" s="24"/>
      <c r="F10" s="24">
        <v>243</v>
      </c>
      <c r="G10" s="24"/>
    </row>
    <row r="11" spans="2:7" ht="12.75">
      <c r="B11" s="128" t="s">
        <v>480</v>
      </c>
      <c r="C11" s="23" t="s">
        <v>97</v>
      </c>
      <c r="D11" s="24">
        <v>520</v>
      </c>
      <c r="E11" s="100" t="s">
        <v>464</v>
      </c>
      <c r="F11" s="24">
        <v>520</v>
      </c>
      <c r="G11" s="100" t="s">
        <v>464</v>
      </c>
    </row>
    <row r="12" spans="1:9" s="108" customFormat="1" ht="12.75">
      <c r="A12" s="88"/>
      <c r="B12" s="143" t="s">
        <v>481</v>
      </c>
      <c r="C12" s="95" t="s">
        <v>97</v>
      </c>
      <c r="D12" s="96">
        <f>SUM(D9:D11)</f>
        <v>763</v>
      </c>
      <c r="E12" s="96">
        <f>SUM(E9:E11)</f>
        <v>0</v>
      </c>
      <c r="F12" s="96">
        <f>SUM(F9:F11)</f>
        <v>763</v>
      </c>
      <c r="G12" s="96">
        <f>SUM(G9:G11)</f>
        <v>0</v>
      </c>
      <c r="H12" s="149"/>
      <c r="I12" s="149"/>
    </row>
    <row r="13" spans="2:7" ht="12.75">
      <c r="B13" s="60"/>
      <c r="C13" s="58"/>
      <c r="D13" s="24"/>
      <c r="E13" s="24"/>
      <c r="F13" s="24"/>
      <c r="G13" s="24"/>
    </row>
    <row r="14" spans="2:7" ht="12.75">
      <c r="B14" s="128" t="s">
        <v>482</v>
      </c>
      <c r="C14" s="58" t="s">
        <v>99</v>
      </c>
      <c r="D14" s="24"/>
      <c r="E14" s="24"/>
      <c r="F14" s="24">
        <f>+4531</f>
        <v>4531</v>
      </c>
      <c r="G14" s="24"/>
    </row>
    <row r="15" spans="2:7" ht="12.75">
      <c r="B15" s="128" t="s">
        <v>483</v>
      </c>
      <c r="C15" s="58" t="s">
        <v>99</v>
      </c>
      <c r="D15" s="24"/>
      <c r="E15" s="24"/>
      <c r="F15" s="24">
        <v>14150</v>
      </c>
      <c r="G15" s="24"/>
    </row>
    <row r="16" spans="2:7" ht="12.75">
      <c r="B16" s="135" t="s">
        <v>484</v>
      </c>
      <c r="C16" s="58" t="s">
        <v>99</v>
      </c>
      <c r="D16" s="24">
        <v>3150</v>
      </c>
      <c r="E16" s="24"/>
      <c r="F16" s="24">
        <v>3150</v>
      </c>
      <c r="G16" s="24"/>
    </row>
    <row r="17" spans="1:9" s="108" customFormat="1" ht="12.75">
      <c r="A17" s="146"/>
      <c r="B17" s="143" t="s">
        <v>485</v>
      </c>
      <c r="C17" s="95" t="s">
        <v>99</v>
      </c>
      <c r="D17" s="96">
        <f>SUM(D13:D16)</f>
        <v>3150</v>
      </c>
      <c r="E17" s="96">
        <f>SUM(E13:E16)</f>
        <v>0</v>
      </c>
      <c r="F17" s="96">
        <f>SUM(F13:F16)</f>
        <v>21831</v>
      </c>
      <c r="G17" s="96">
        <f>SUM(G13:G16)</f>
        <v>0</v>
      </c>
      <c r="H17" s="149"/>
      <c r="I17" s="149"/>
    </row>
    <row r="18" spans="2:7" ht="12.75">
      <c r="B18" s="60"/>
      <c r="C18" s="58"/>
      <c r="D18" s="24"/>
      <c r="E18" s="24"/>
      <c r="F18" s="24"/>
      <c r="G18" s="24"/>
    </row>
    <row r="19" spans="2:7" ht="12.75">
      <c r="B19" s="128" t="s">
        <v>486</v>
      </c>
      <c r="C19" s="58" t="s">
        <v>101</v>
      </c>
      <c r="D19" s="24">
        <v>815</v>
      </c>
      <c r="E19" s="24"/>
      <c r="F19" s="24">
        <v>815</v>
      </c>
      <c r="G19" s="24"/>
    </row>
    <row r="20" spans="2:7" ht="12.75">
      <c r="B20" s="128" t="s">
        <v>487</v>
      </c>
      <c r="C20" s="58" t="s">
        <v>101</v>
      </c>
      <c r="D20" s="24">
        <v>104</v>
      </c>
      <c r="E20" s="24"/>
      <c r="F20" s="24">
        <v>104</v>
      </c>
      <c r="G20" s="24"/>
    </row>
    <row r="21" spans="2:7" ht="12.75">
      <c r="B21" s="128" t="s">
        <v>488</v>
      </c>
      <c r="C21" s="58" t="s">
        <v>101</v>
      </c>
      <c r="D21" s="24">
        <v>1060</v>
      </c>
      <c r="E21" s="24"/>
      <c r="F21" s="24">
        <v>1060</v>
      </c>
      <c r="G21" s="24"/>
    </row>
    <row r="22" spans="1:9" s="108" customFormat="1" ht="12.75">
      <c r="A22" s="88"/>
      <c r="B22" s="94" t="s">
        <v>489</v>
      </c>
      <c r="C22" s="95" t="s">
        <v>101</v>
      </c>
      <c r="D22" s="96">
        <f>SUM(D18:D21)</f>
        <v>1979</v>
      </c>
      <c r="E22" s="96">
        <f>SUM(E18:E21)</f>
        <v>0</v>
      </c>
      <c r="F22" s="96">
        <f>SUM(F18:F21)</f>
        <v>1979</v>
      </c>
      <c r="G22" s="96">
        <f>SUM(G18:G21)</f>
        <v>0</v>
      </c>
      <c r="H22" s="149"/>
      <c r="I22" s="149"/>
    </row>
    <row r="23" spans="2:7" ht="12.75">
      <c r="B23" s="47"/>
      <c r="C23" s="58"/>
      <c r="D23" s="24"/>
      <c r="E23" s="24"/>
      <c r="F23" s="24"/>
      <c r="G23" s="24"/>
    </row>
    <row r="24" spans="2:7" ht="16.5" customHeight="1">
      <c r="B24" s="121" t="s">
        <v>451</v>
      </c>
      <c r="C24" s="58" t="s">
        <v>103</v>
      </c>
      <c r="D24" s="24"/>
      <c r="E24" s="24">
        <v>38695</v>
      </c>
      <c r="F24" s="24"/>
      <c r="G24" s="24">
        <v>38695</v>
      </c>
    </row>
    <row r="25" spans="2:7" ht="16.5" customHeight="1">
      <c r="B25" s="121" t="s">
        <v>490</v>
      </c>
      <c r="C25" s="58" t="s">
        <v>103</v>
      </c>
      <c r="D25" s="24"/>
      <c r="E25" s="24"/>
      <c r="F25" s="24">
        <v>5690</v>
      </c>
      <c r="G25" s="24"/>
    </row>
    <row r="26" spans="2:7" ht="12.75">
      <c r="B26" s="121" t="s">
        <v>491</v>
      </c>
      <c r="C26" s="58" t="s">
        <v>103</v>
      </c>
      <c r="D26" s="24">
        <v>3100</v>
      </c>
      <c r="E26" s="100" t="s">
        <v>464</v>
      </c>
      <c r="F26" s="24">
        <v>3100</v>
      </c>
      <c r="G26" s="100" t="s">
        <v>464</v>
      </c>
    </row>
    <row r="27" spans="1:9" s="108" customFormat="1" ht="12.75">
      <c r="A27" s="146"/>
      <c r="B27" s="143" t="s">
        <v>492</v>
      </c>
      <c r="C27" s="95" t="s">
        <v>103</v>
      </c>
      <c r="D27" s="96">
        <f>SUM(D23:D26)</f>
        <v>3100</v>
      </c>
      <c r="E27" s="96">
        <f>SUM(E23:E26)</f>
        <v>38695</v>
      </c>
      <c r="F27" s="96">
        <f>SUM(F23:F26)</f>
        <v>8790</v>
      </c>
      <c r="G27" s="96">
        <f>SUM(G23:G26)</f>
        <v>38695</v>
      </c>
      <c r="H27" s="149"/>
      <c r="I27" s="149"/>
    </row>
    <row r="28" spans="2:7" ht="12.75">
      <c r="B28" s="60"/>
      <c r="C28" s="58"/>
      <c r="D28" s="24"/>
      <c r="E28" s="24"/>
      <c r="F28" s="24"/>
      <c r="G28" s="24"/>
    </row>
    <row r="29" spans="2:7" ht="12.75">
      <c r="B29" s="60"/>
      <c r="C29" s="58"/>
      <c r="D29" s="24"/>
      <c r="E29" s="24"/>
      <c r="F29" s="24"/>
      <c r="G29" s="24"/>
    </row>
    <row r="30" spans="1:9" s="108" customFormat="1" ht="12.75">
      <c r="A30" s="146"/>
      <c r="B30" s="143" t="s">
        <v>493</v>
      </c>
      <c r="C30" s="95" t="s">
        <v>105</v>
      </c>
      <c r="D30" s="96">
        <f>SUM(D28:D29)</f>
        <v>0</v>
      </c>
      <c r="E30" s="96">
        <f>SUM(E28:E29)</f>
        <v>0</v>
      </c>
      <c r="F30" s="96">
        <f>SUM(F28:F29)</f>
        <v>0</v>
      </c>
      <c r="G30" s="96">
        <f>SUM(G28:G29)</f>
        <v>0</v>
      </c>
      <c r="H30" s="149"/>
      <c r="I30" s="149"/>
    </row>
    <row r="31" spans="2:7" ht="12.75">
      <c r="B31" s="60"/>
      <c r="C31" s="58"/>
      <c r="D31" s="24"/>
      <c r="E31" s="24"/>
      <c r="F31" s="24"/>
      <c r="G31" s="24"/>
    </row>
    <row r="32" spans="2:7" ht="12.75">
      <c r="B32" s="60"/>
      <c r="C32" s="58"/>
      <c r="D32" s="24"/>
      <c r="E32" s="24"/>
      <c r="F32" s="24"/>
      <c r="G32" s="24"/>
    </row>
    <row r="33" spans="1:9" s="108" customFormat="1" ht="12.75">
      <c r="A33" s="146"/>
      <c r="B33" s="94" t="s">
        <v>494</v>
      </c>
      <c r="C33" s="95" t="s">
        <v>107</v>
      </c>
      <c r="D33" s="96">
        <f>SUM(D31:D32)</f>
        <v>0</v>
      </c>
      <c r="E33" s="96">
        <f>SUM(E31:E32)</f>
        <v>0</v>
      </c>
      <c r="F33" s="96">
        <f>SUM(F31:F32)</f>
        <v>0</v>
      </c>
      <c r="G33" s="96">
        <f>SUM(G31:G32)</f>
        <v>0</v>
      </c>
      <c r="H33" s="149"/>
      <c r="I33" s="149"/>
    </row>
    <row r="34" spans="2:7" ht="12.75">
      <c r="B34" s="47"/>
      <c r="C34" s="58"/>
      <c r="D34" s="24"/>
      <c r="E34" s="24"/>
      <c r="F34" s="24"/>
      <c r="G34" s="24"/>
    </row>
    <row r="35" spans="2:7" ht="12.75">
      <c r="B35" s="128" t="s">
        <v>495</v>
      </c>
      <c r="C35" s="58" t="s">
        <v>109</v>
      </c>
      <c r="D35" s="24">
        <v>66</v>
      </c>
      <c r="E35" s="24"/>
      <c r="F35" s="24">
        <v>66</v>
      </c>
      <c r="G35" s="24"/>
    </row>
    <row r="36" spans="2:7" ht="12.75">
      <c r="B36" s="128" t="s">
        <v>496</v>
      </c>
      <c r="C36" s="58" t="s">
        <v>109</v>
      </c>
      <c r="D36" s="24">
        <v>220</v>
      </c>
      <c r="E36" s="24"/>
      <c r="F36" s="24">
        <v>220</v>
      </c>
      <c r="G36" s="24"/>
    </row>
    <row r="37" spans="2:7" ht="12.75">
      <c r="B37" s="128" t="s">
        <v>497</v>
      </c>
      <c r="C37" s="58" t="s">
        <v>109</v>
      </c>
      <c r="D37" s="24">
        <v>28</v>
      </c>
      <c r="E37" s="24"/>
      <c r="F37" s="24">
        <v>28</v>
      </c>
      <c r="G37" s="24"/>
    </row>
    <row r="38" spans="2:7" ht="12.75">
      <c r="B38" s="135" t="s">
        <v>498</v>
      </c>
      <c r="C38" s="58" t="s">
        <v>109</v>
      </c>
      <c r="D38" s="24">
        <f>4000-D16</f>
        <v>850</v>
      </c>
      <c r="E38" s="24"/>
      <c r="F38" s="24">
        <f>4000-F16</f>
        <v>850</v>
      </c>
      <c r="G38" s="24"/>
    </row>
    <row r="39" spans="2:7" ht="18" customHeight="1">
      <c r="B39" s="121" t="s">
        <v>499</v>
      </c>
      <c r="C39" s="58" t="s">
        <v>109</v>
      </c>
      <c r="D39" s="24"/>
      <c r="E39" s="24">
        <f>49143-E24</f>
        <v>10448</v>
      </c>
      <c r="F39" s="24"/>
      <c r="G39" s="24">
        <f>49143-G24</f>
        <v>10448</v>
      </c>
    </row>
    <row r="40" spans="2:7" ht="12.75">
      <c r="B40" s="128" t="s">
        <v>500</v>
      </c>
      <c r="C40" s="58" t="s">
        <v>109</v>
      </c>
      <c r="D40" s="24">
        <v>140</v>
      </c>
      <c r="E40" s="100" t="s">
        <v>464</v>
      </c>
      <c r="F40" s="24">
        <v>140</v>
      </c>
      <c r="G40" s="100" t="s">
        <v>464</v>
      </c>
    </row>
    <row r="41" spans="2:7" ht="12.75">
      <c r="B41" s="128" t="s">
        <v>501</v>
      </c>
      <c r="C41" s="58" t="s">
        <v>109</v>
      </c>
      <c r="D41" s="24">
        <v>286</v>
      </c>
      <c r="E41" s="100"/>
      <c r="F41" s="24">
        <v>286</v>
      </c>
      <c r="G41" s="100"/>
    </row>
    <row r="42" spans="2:7" ht="12.75">
      <c r="B42" s="121" t="s">
        <v>502</v>
      </c>
      <c r="C42" s="58" t="s">
        <v>109</v>
      </c>
      <c r="D42" s="24">
        <v>838</v>
      </c>
      <c r="E42" s="100" t="s">
        <v>464</v>
      </c>
      <c r="F42" s="24">
        <v>838</v>
      </c>
      <c r="G42" s="100" t="s">
        <v>464</v>
      </c>
    </row>
    <row r="43" spans="1:9" s="108" customFormat="1" ht="12.75">
      <c r="A43" s="146"/>
      <c r="B43" s="94" t="s">
        <v>503</v>
      </c>
      <c r="C43" s="95" t="s">
        <v>109</v>
      </c>
      <c r="D43" s="96">
        <f>SUM(D34:D42)</f>
        <v>2428</v>
      </c>
      <c r="E43" s="96">
        <f>SUM(E34:E42)</f>
        <v>10448</v>
      </c>
      <c r="F43" s="96">
        <f>SUM(F34:F42)</f>
        <v>2428</v>
      </c>
      <c r="G43" s="96">
        <f>SUM(G34:G42)</f>
        <v>10448</v>
      </c>
      <c r="H43" s="149"/>
      <c r="I43" s="149"/>
    </row>
    <row r="44" spans="1:9" s="97" customFormat="1" ht="12.75">
      <c r="A44" s="88"/>
      <c r="B44" s="143" t="s">
        <v>504</v>
      </c>
      <c r="C44" s="95" t="s">
        <v>111</v>
      </c>
      <c r="D44" s="96">
        <f>+D43+D33+D30+D27+D22+D17+D12</f>
        <v>11420</v>
      </c>
      <c r="E44" s="96">
        <f>+E43+E33+E30+E27+E22+E17+E12</f>
        <v>49143</v>
      </c>
      <c r="F44" s="96">
        <f>+F43+F33+F30+F27+F22+F17+F12</f>
        <v>35791</v>
      </c>
      <c r="G44" s="96">
        <f>+G43+G33+G30+G27+G22+G17+G12</f>
        <v>49143</v>
      </c>
      <c r="H44" s="150"/>
      <c r="I44" s="150"/>
    </row>
    <row r="45" spans="2:9" s="88" customFormat="1" ht="12.75">
      <c r="B45" s="128"/>
      <c r="C45" s="59"/>
      <c r="D45" s="138"/>
      <c r="E45" s="138"/>
      <c r="F45" s="138"/>
      <c r="G45" s="138"/>
      <c r="H45" s="151"/>
      <c r="I45" s="151"/>
    </row>
    <row r="46" spans="2:9" s="88" customFormat="1" ht="12.75">
      <c r="B46" s="128" t="s">
        <v>453</v>
      </c>
      <c r="C46" s="58" t="s">
        <v>113</v>
      </c>
      <c r="D46" s="24">
        <v>61220</v>
      </c>
      <c r="E46" s="138"/>
      <c r="F46" s="24">
        <f>+61220</f>
        <v>61220</v>
      </c>
      <c r="G46" s="138"/>
      <c r="H46" s="151"/>
      <c r="I46" s="151"/>
    </row>
    <row r="47" spans="2:9" s="88" customFormat="1" ht="12.75">
      <c r="B47" s="128" t="s">
        <v>440</v>
      </c>
      <c r="C47" s="58" t="s">
        <v>113</v>
      </c>
      <c r="D47" s="24"/>
      <c r="E47" s="138"/>
      <c r="F47" s="24">
        <v>14000</v>
      </c>
      <c r="G47" s="138"/>
      <c r="H47" s="151"/>
      <c r="I47" s="151"/>
    </row>
    <row r="48" spans="2:9" s="88" customFormat="1" ht="12.75">
      <c r="B48" s="128" t="s">
        <v>441</v>
      </c>
      <c r="C48" s="58" t="s">
        <v>113</v>
      </c>
      <c r="D48" s="24"/>
      <c r="E48" s="138"/>
      <c r="F48" s="24">
        <v>5000</v>
      </c>
      <c r="G48" s="138"/>
      <c r="H48" s="151"/>
      <c r="I48" s="151"/>
    </row>
    <row r="49" spans="2:9" s="88" customFormat="1" ht="12.75">
      <c r="B49" s="128" t="s">
        <v>439</v>
      </c>
      <c r="C49" s="58" t="s">
        <v>113</v>
      </c>
      <c r="D49" s="24">
        <v>26220</v>
      </c>
      <c r="E49" s="138"/>
      <c r="F49" s="24">
        <v>26220</v>
      </c>
      <c r="G49" s="138"/>
      <c r="H49" s="151"/>
      <c r="I49" s="151"/>
    </row>
    <row r="50" spans="2:9" s="88" customFormat="1" ht="12.75">
      <c r="B50" s="128" t="s">
        <v>445</v>
      </c>
      <c r="C50" s="58" t="s">
        <v>113</v>
      </c>
      <c r="D50" s="138">
        <v>29669</v>
      </c>
      <c r="E50" s="138"/>
      <c r="F50" s="138">
        <v>29669</v>
      </c>
      <c r="G50" s="138"/>
      <c r="H50" s="147"/>
      <c r="I50" s="147"/>
    </row>
    <row r="51" spans="2:7" ht="18" customHeight="1">
      <c r="B51" s="121" t="s">
        <v>452</v>
      </c>
      <c r="C51" s="58" t="s">
        <v>113</v>
      </c>
      <c r="D51" s="24"/>
      <c r="E51" s="24">
        <v>290669</v>
      </c>
      <c r="F51" s="24"/>
      <c r="G51" s="24">
        <v>290669</v>
      </c>
    </row>
    <row r="52" spans="2:7" ht="12.75">
      <c r="B52" s="121" t="s">
        <v>450</v>
      </c>
      <c r="C52" s="58" t="s">
        <v>113</v>
      </c>
      <c r="D52" s="24">
        <v>103208</v>
      </c>
      <c r="E52" s="24"/>
      <c r="F52" s="24">
        <v>103208</v>
      </c>
      <c r="G52" s="24"/>
    </row>
    <row r="53" spans="2:7" ht="12.75">
      <c r="B53" s="121" t="s">
        <v>449</v>
      </c>
      <c r="C53" s="58" t="s">
        <v>113</v>
      </c>
      <c r="D53" s="24">
        <v>88500</v>
      </c>
      <c r="E53" s="24"/>
      <c r="F53" s="24">
        <v>88500</v>
      </c>
      <c r="G53" s="24"/>
    </row>
    <row r="54" spans="2:7" ht="12.75">
      <c r="B54" s="121" t="s">
        <v>448</v>
      </c>
      <c r="C54" s="58" t="s">
        <v>113</v>
      </c>
      <c r="D54" s="24"/>
      <c r="E54" s="24">
        <v>236220</v>
      </c>
      <c r="F54" s="24"/>
      <c r="G54" s="24">
        <v>236220</v>
      </c>
    </row>
    <row r="55" spans="2:7" ht="12.75">
      <c r="B55" s="128" t="s">
        <v>437</v>
      </c>
      <c r="C55" s="58" t="s">
        <v>113</v>
      </c>
      <c r="D55" s="24">
        <v>13123</v>
      </c>
      <c r="E55" s="24"/>
      <c r="F55" s="24">
        <f>+13123+981</f>
        <v>14104</v>
      </c>
      <c r="G55" s="24"/>
    </row>
    <row r="56" spans="2:7" ht="12.75">
      <c r="B56" s="128" t="s">
        <v>505</v>
      </c>
      <c r="C56" s="58" t="s">
        <v>113</v>
      </c>
      <c r="D56" s="24"/>
      <c r="E56" s="24">
        <v>2362</v>
      </c>
      <c r="F56" s="24"/>
      <c r="G56" s="24">
        <v>2362</v>
      </c>
    </row>
    <row r="57" spans="2:7" ht="18" customHeight="1">
      <c r="B57" s="128" t="s">
        <v>454</v>
      </c>
      <c r="C57" s="58" t="s">
        <v>113</v>
      </c>
      <c r="D57" s="24">
        <v>208661</v>
      </c>
      <c r="E57" s="24"/>
      <c r="F57" s="24">
        <v>208661</v>
      </c>
      <c r="G57" s="24"/>
    </row>
    <row r="58" spans="2:7" ht="12.75">
      <c r="B58" s="128" t="s">
        <v>506</v>
      </c>
      <c r="C58" s="58" t="s">
        <v>113</v>
      </c>
      <c r="D58" s="24">
        <v>7559</v>
      </c>
      <c r="E58" s="24"/>
      <c r="F58" s="24">
        <v>7559</v>
      </c>
      <c r="G58" s="24"/>
    </row>
    <row r="59" spans="1:9" s="108" customFormat="1" ht="12.75">
      <c r="A59" s="146"/>
      <c r="B59" s="143" t="s">
        <v>507</v>
      </c>
      <c r="C59" s="95" t="s">
        <v>113</v>
      </c>
      <c r="D59" s="96">
        <f>SUM(D45:D58)</f>
        <v>538160</v>
      </c>
      <c r="E59" s="96">
        <f>SUM(E51:E58)</f>
        <v>529251</v>
      </c>
      <c r="F59" s="96">
        <f>SUM(F45:F58)</f>
        <v>558141</v>
      </c>
      <c r="G59" s="96">
        <f>SUM(G51:G58)</f>
        <v>529251</v>
      </c>
      <c r="H59" s="149"/>
      <c r="I59" s="149"/>
    </row>
    <row r="60" spans="2:7" ht="12.75">
      <c r="B60" s="60"/>
      <c r="C60" s="58"/>
      <c r="D60" s="24"/>
      <c r="E60" s="24"/>
      <c r="F60" s="24"/>
      <c r="G60" s="24"/>
    </row>
    <row r="61" spans="2:7" ht="12.75">
      <c r="B61" s="60"/>
      <c r="C61" s="58"/>
      <c r="D61" s="24"/>
      <c r="E61" s="24"/>
      <c r="F61" s="24"/>
      <c r="G61" s="24"/>
    </row>
    <row r="62" spans="1:9" s="108" customFormat="1" ht="12.75">
      <c r="A62" s="146"/>
      <c r="B62" s="143" t="s">
        <v>508</v>
      </c>
      <c r="C62" s="95" t="s">
        <v>115</v>
      </c>
      <c r="D62" s="96">
        <f>SUM(D60:D61)</f>
        <v>0</v>
      </c>
      <c r="E62" s="96">
        <f>SUM(E60:E61)</f>
        <v>0</v>
      </c>
      <c r="F62" s="96">
        <f>SUM(F60:F61)</f>
        <v>0</v>
      </c>
      <c r="G62" s="96">
        <f>SUM(G60:G61)</f>
        <v>0</v>
      </c>
      <c r="H62" s="149"/>
      <c r="I62" s="149"/>
    </row>
    <row r="63" spans="2:7" ht="12.75">
      <c r="B63" s="60"/>
      <c r="C63" s="58"/>
      <c r="D63" s="24"/>
      <c r="E63" s="24"/>
      <c r="F63" s="24"/>
      <c r="G63" s="24"/>
    </row>
    <row r="64" spans="2:7" ht="12.75">
      <c r="B64" s="121" t="s">
        <v>447</v>
      </c>
      <c r="C64" s="58" t="s">
        <v>117</v>
      </c>
      <c r="D64" s="24">
        <v>129685</v>
      </c>
      <c r="E64" s="100"/>
      <c r="F64" s="24">
        <v>129685</v>
      </c>
      <c r="G64" s="100"/>
    </row>
    <row r="65" spans="1:9" s="108" customFormat="1" ht="12.75">
      <c r="A65" s="146"/>
      <c r="B65" s="143" t="s">
        <v>509</v>
      </c>
      <c r="C65" s="95" t="s">
        <v>117</v>
      </c>
      <c r="D65" s="96">
        <f>SUM(D63:D64)</f>
        <v>129685</v>
      </c>
      <c r="E65" s="96">
        <f>SUM(E63:E64)</f>
        <v>0</v>
      </c>
      <c r="F65" s="96">
        <f>SUM(F63:F64)</f>
        <v>129685</v>
      </c>
      <c r="G65" s="96">
        <f>SUM(G63:G64)</f>
        <v>0</v>
      </c>
      <c r="H65" s="149"/>
      <c r="I65" s="149"/>
    </row>
    <row r="66" spans="2:7" ht="12.75">
      <c r="B66" s="60"/>
      <c r="C66" s="58"/>
      <c r="D66" s="24"/>
      <c r="E66" s="24"/>
      <c r="F66" s="24"/>
      <c r="G66" s="24"/>
    </row>
    <row r="67" spans="2:7" ht="12.75">
      <c r="B67" s="128" t="s">
        <v>510</v>
      </c>
      <c r="C67" s="58" t="s">
        <v>119</v>
      </c>
      <c r="D67" s="24">
        <f>16666-D55</f>
        <v>3543</v>
      </c>
      <c r="E67" s="24"/>
      <c r="F67" s="24">
        <f>16666-F55+981</f>
        <v>3543</v>
      </c>
      <c r="G67" s="24"/>
    </row>
    <row r="68" spans="2:7" ht="12.75">
      <c r="B68" s="128" t="s">
        <v>511</v>
      </c>
      <c r="C68" s="58" t="s">
        <v>119</v>
      </c>
      <c r="D68" s="24">
        <f>33300-D49</f>
        <v>7080</v>
      </c>
      <c r="E68" s="24"/>
      <c r="F68" s="24">
        <f>33300-F49</f>
        <v>7080</v>
      </c>
      <c r="G68" s="24"/>
    </row>
    <row r="69" spans="2:7" ht="12.75">
      <c r="B69" s="128" t="s">
        <v>512</v>
      </c>
      <c r="C69" s="58" t="s">
        <v>119</v>
      </c>
      <c r="D69" s="24">
        <f>37680-D50</f>
        <v>8011</v>
      </c>
      <c r="E69" s="100"/>
      <c r="F69" s="24">
        <f>37680-F50</f>
        <v>8011</v>
      </c>
      <c r="G69" s="100"/>
    </row>
    <row r="70" spans="2:7" ht="12.75">
      <c r="B70" s="128" t="s">
        <v>453</v>
      </c>
      <c r="C70" s="58" t="s">
        <v>119</v>
      </c>
      <c r="D70" s="24">
        <f>77750-D46</f>
        <v>16530</v>
      </c>
      <c r="E70" s="100"/>
      <c r="F70" s="24">
        <f>77750-F46</f>
        <v>16530</v>
      </c>
      <c r="G70" s="100"/>
    </row>
    <row r="71" spans="2:7" ht="12.75">
      <c r="B71" s="121" t="s">
        <v>513</v>
      </c>
      <c r="C71" s="58" t="s">
        <v>119</v>
      </c>
      <c r="D71" s="24"/>
      <c r="E71" s="24">
        <f>396150-E51</f>
        <v>105481</v>
      </c>
      <c r="F71" s="24"/>
      <c r="G71" s="24">
        <f>396150-G51</f>
        <v>105481</v>
      </c>
    </row>
    <row r="72" spans="2:7" ht="12.75">
      <c r="B72" s="121" t="s">
        <v>514</v>
      </c>
      <c r="C72" s="58" t="s">
        <v>119</v>
      </c>
      <c r="D72" s="24">
        <f>131074-D52</f>
        <v>27866</v>
      </c>
      <c r="E72" s="100" t="s">
        <v>464</v>
      </c>
      <c r="F72" s="24">
        <f>131074-F52</f>
        <v>27866</v>
      </c>
      <c r="G72" s="100" t="s">
        <v>464</v>
      </c>
    </row>
    <row r="73" spans="2:7" ht="12.75">
      <c r="B73" s="121" t="s">
        <v>515</v>
      </c>
      <c r="C73" s="58" t="s">
        <v>119</v>
      </c>
      <c r="D73" s="24">
        <f>112395-D53</f>
        <v>23895</v>
      </c>
      <c r="E73" s="100"/>
      <c r="F73" s="24">
        <f>112395-F53</f>
        <v>23895</v>
      </c>
      <c r="G73" s="100"/>
    </row>
    <row r="74" spans="2:7" ht="12.75">
      <c r="B74" s="121" t="s">
        <v>516</v>
      </c>
      <c r="C74" s="58" t="s">
        <v>119</v>
      </c>
      <c r="D74" s="24"/>
      <c r="E74" s="24">
        <f>300000-E54</f>
        <v>63780</v>
      </c>
      <c r="F74" s="24"/>
      <c r="G74" s="24">
        <f>300000-G54</f>
        <v>63780</v>
      </c>
    </row>
    <row r="75" spans="2:7" ht="12.75">
      <c r="B75" s="128" t="s">
        <v>517</v>
      </c>
      <c r="C75" s="58" t="s">
        <v>119</v>
      </c>
      <c r="D75" s="24"/>
      <c r="E75" s="24">
        <f>3000-E56</f>
        <v>638</v>
      </c>
      <c r="F75" s="24"/>
      <c r="G75" s="24">
        <f>3000-G56</f>
        <v>638</v>
      </c>
    </row>
    <row r="76" spans="2:7" ht="12.75">
      <c r="B76" s="128" t="s">
        <v>518</v>
      </c>
      <c r="C76" s="58" t="s">
        <v>119</v>
      </c>
      <c r="D76" s="24">
        <f>265000-D57</f>
        <v>56339</v>
      </c>
      <c r="E76" s="100"/>
      <c r="F76" s="24">
        <f>265000-F57</f>
        <v>56339</v>
      </c>
      <c r="G76" s="100"/>
    </row>
    <row r="77" spans="2:7" ht="12.75">
      <c r="B77" s="128" t="s">
        <v>519</v>
      </c>
      <c r="C77" s="58" t="s">
        <v>119</v>
      </c>
      <c r="D77" s="24">
        <v>2041</v>
      </c>
      <c r="E77" s="100"/>
      <c r="F77" s="24">
        <v>2041</v>
      </c>
      <c r="G77" s="100"/>
    </row>
    <row r="78" spans="2:7" ht="12.75">
      <c r="B78" s="121" t="s">
        <v>520</v>
      </c>
      <c r="C78" s="58" t="s">
        <v>119</v>
      </c>
      <c r="D78" s="24">
        <f>164700-D64</f>
        <v>35015</v>
      </c>
      <c r="E78" s="100"/>
      <c r="F78" s="24">
        <f>164700-F64</f>
        <v>35015</v>
      </c>
      <c r="G78" s="100"/>
    </row>
    <row r="79" spans="1:9" s="108" customFormat="1" ht="12.75">
      <c r="A79" s="88"/>
      <c r="B79" s="143" t="s">
        <v>521</v>
      </c>
      <c r="C79" s="95" t="s">
        <v>119</v>
      </c>
      <c r="D79" s="124">
        <f>SUM(D66:D78)</f>
        <v>180320</v>
      </c>
      <c r="E79" s="124">
        <f>SUM(E66:E78)</f>
        <v>169899</v>
      </c>
      <c r="F79" s="124">
        <f>SUM(F66:F78)</f>
        <v>180320</v>
      </c>
      <c r="G79" s="124">
        <f>SUM(G66:G78)</f>
        <v>169899</v>
      </c>
      <c r="H79" s="149"/>
      <c r="I79" s="149"/>
    </row>
    <row r="80" spans="1:9" s="97" customFormat="1" ht="12.75">
      <c r="A80" s="88"/>
      <c r="B80" s="143" t="s">
        <v>522</v>
      </c>
      <c r="C80" s="95" t="s">
        <v>121</v>
      </c>
      <c r="D80" s="96">
        <f>+D79+D65+D62+D59</f>
        <v>848165</v>
      </c>
      <c r="E80" s="96">
        <f>+E79+E65+E62+E59</f>
        <v>699150</v>
      </c>
      <c r="F80" s="96">
        <f>+F79+F65+F62+F59</f>
        <v>868146</v>
      </c>
      <c r="G80" s="96">
        <f>+G79+G65+G62+G59</f>
        <v>699150</v>
      </c>
      <c r="H80" s="150"/>
      <c r="I80" s="150"/>
    </row>
    <row r="81" spans="1:9" s="97" customFormat="1" ht="12.75">
      <c r="A81" s="88"/>
      <c r="B81" s="152" t="s">
        <v>523</v>
      </c>
      <c r="C81" s="152" t="s">
        <v>524</v>
      </c>
      <c r="D81" s="124">
        <f>+D80+D44</f>
        <v>859585</v>
      </c>
      <c r="E81" s="124">
        <f>+E80+E44</f>
        <v>748293</v>
      </c>
      <c r="F81" s="124">
        <f>+F80+F44</f>
        <v>903937</v>
      </c>
      <c r="G81" s="124">
        <f>+G80+G44</f>
        <v>748293</v>
      </c>
      <c r="H81" s="150"/>
      <c r="I81" s="150"/>
    </row>
    <row r="82" spans="2:7" ht="12.75">
      <c r="B82" s="153"/>
      <c r="C82" s="153"/>
      <c r="D82" s="126"/>
      <c r="E82" s="126"/>
      <c r="F82" s="126"/>
      <c r="G82" s="126"/>
    </row>
    <row r="83" spans="2:7" ht="12.75">
      <c r="B83" s="153"/>
      <c r="C83" s="153"/>
      <c r="D83" s="126"/>
      <c r="E83" s="126"/>
      <c r="F83" s="126"/>
      <c r="G83" s="126"/>
    </row>
  </sheetData>
  <sheetProtection selectLockedCells="1" selectUnlockedCells="1"/>
  <mergeCells count="2">
    <mergeCell ref="D7:E7"/>
    <mergeCell ref="F7:G7"/>
  </mergeCells>
  <printOptions/>
  <pageMargins left="0.7083333333333334" right="0.49027777777777776" top="0.5" bottom="0.6104166666666666" header="0.5118055555555555" footer="0.31527777777777777"/>
  <pageSetup horizontalDpi="300" verticalDpi="300" orientation="portrait" paperSize="9" scale="69"/>
  <headerFooter alignWithMargins="0">
    <oddFooter>&amp;R&amp;P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57421875" style="154" customWidth="1"/>
    <col min="2" max="2" width="61.140625" style="155" customWidth="1"/>
    <col min="3" max="3" width="7.421875" style="155" customWidth="1"/>
    <col min="4" max="4" width="10.00390625" style="155" customWidth="1"/>
    <col min="5" max="5" width="10.140625" style="155" customWidth="1"/>
    <col min="6" max="7" width="10.00390625" style="155" customWidth="1"/>
    <col min="8" max="8" width="10.140625" style="155" customWidth="1"/>
    <col min="9" max="9" width="10.00390625" style="155" customWidth="1"/>
    <col min="10" max="16384" width="9.140625" style="155" customWidth="1"/>
  </cols>
  <sheetData>
    <row r="1" spans="6:9" ht="12.75">
      <c r="F1" s="32"/>
      <c r="I1" s="32" t="s">
        <v>525</v>
      </c>
    </row>
    <row r="2" spans="6:9" ht="12.75">
      <c r="F2" s="15"/>
      <c r="I2" s="15" t="s">
        <v>10</v>
      </c>
    </row>
    <row r="3" spans="6:9" ht="12.75">
      <c r="F3" s="156"/>
      <c r="I3" s="156"/>
    </row>
    <row r="4" spans="6:9" ht="12.75">
      <c r="F4" s="156"/>
      <c r="I4" s="156"/>
    </row>
    <row r="5" spans="2:3" ht="24" customHeight="1">
      <c r="B5" s="4" t="s">
        <v>11</v>
      </c>
      <c r="C5" s="4"/>
    </row>
    <row r="6" spans="2:9" ht="12.75">
      <c r="B6" s="34"/>
      <c r="C6" s="157"/>
      <c r="D6" s="157"/>
      <c r="E6" s="157"/>
      <c r="F6" s="157"/>
      <c r="G6" s="157"/>
      <c r="H6" s="157"/>
      <c r="I6" s="157"/>
    </row>
    <row r="7" spans="2:9" ht="16.5" customHeight="1">
      <c r="B7" s="17" t="s">
        <v>526</v>
      </c>
      <c r="C7" s="158"/>
      <c r="D7" s="158"/>
      <c r="E7" s="158"/>
      <c r="F7" s="158"/>
      <c r="G7" s="158"/>
      <c r="H7" s="158"/>
      <c r="I7" s="158"/>
    </row>
    <row r="8" ht="12.75">
      <c r="B8" s="159"/>
    </row>
    <row r="9" spans="4:9" ht="15.75" customHeight="1">
      <c r="D9" s="92" t="s">
        <v>13</v>
      </c>
      <c r="E9" s="92"/>
      <c r="F9" s="92"/>
      <c r="G9" s="92" t="s">
        <v>14</v>
      </c>
      <c r="H9" s="92"/>
      <c r="I9" s="92"/>
    </row>
    <row r="10" spans="1:9" s="22" customFormat="1" ht="52.5" customHeight="1">
      <c r="A10" s="88"/>
      <c r="B10" s="160" t="s">
        <v>527</v>
      </c>
      <c r="C10" s="42" t="s">
        <v>42</v>
      </c>
      <c r="D10" s="161" t="s">
        <v>16</v>
      </c>
      <c r="E10" s="161" t="s">
        <v>17</v>
      </c>
      <c r="F10" s="162" t="s">
        <v>528</v>
      </c>
      <c r="G10" s="161" t="s">
        <v>16</v>
      </c>
      <c r="H10" s="161" t="s">
        <v>17</v>
      </c>
      <c r="I10" s="162" t="s">
        <v>528</v>
      </c>
    </row>
    <row r="11" spans="1:9" ht="12.75">
      <c r="A11" s="88"/>
      <c r="B11" s="163"/>
      <c r="C11" s="164"/>
      <c r="D11" s="165"/>
      <c r="E11" s="165"/>
      <c r="F11" s="166"/>
      <c r="G11" s="165"/>
      <c r="H11" s="165"/>
      <c r="I11" s="166"/>
    </row>
    <row r="12" spans="2:9" ht="12.75">
      <c r="B12" s="109" t="s">
        <v>529</v>
      </c>
      <c r="C12" s="59"/>
      <c r="D12" s="24">
        <f>40000</f>
        <v>40000</v>
      </c>
      <c r="E12" s="24">
        <v>0</v>
      </c>
      <c r="F12" s="25">
        <f>SUM(D12:E12)</f>
        <v>40000</v>
      </c>
      <c r="G12" s="24">
        <f>40000-500-39260</f>
        <v>240</v>
      </c>
      <c r="H12" s="24">
        <v>0</v>
      </c>
      <c r="I12" s="25">
        <f>SUM(G12:H12)</f>
        <v>240</v>
      </c>
    </row>
    <row r="13" spans="2:9" ht="12.75">
      <c r="B13" s="109" t="s">
        <v>530</v>
      </c>
      <c r="C13" s="23"/>
      <c r="D13" s="24">
        <v>0</v>
      </c>
      <c r="E13" s="24">
        <v>0</v>
      </c>
      <c r="F13" s="25">
        <f>SUM(D13:E13)</f>
        <v>0</v>
      </c>
      <c r="G13" s="24">
        <v>0</v>
      </c>
      <c r="H13" s="24">
        <v>0</v>
      </c>
      <c r="I13" s="25">
        <f>SUM(G13:H13)</f>
        <v>0</v>
      </c>
    </row>
    <row r="14" spans="1:9" s="167" customFormat="1" ht="12.75">
      <c r="A14" s="154"/>
      <c r="B14" s="143" t="s">
        <v>531</v>
      </c>
      <c r="C14" s="95" t="s">
        <v>90</v>
      </c>
      <c r="D14" s="96">
        <f>+D12+D13</f>
        <v>40000</v>
      </c>
      <c r="E14" s="96">
        <f>+E12+E13</f>
        <v>0</v>
      </c>
      <c r="F14" s="96">
        <f>SUM(D14:E14)</f>
        <v>40000</v>
      </c>
      <c r="G14" s="96">
        <f>+G12+G13</f>
        <v>240</v>
      </c>
      <c r="H14" s="96">
        <f>+H12+H13</f>
        <v>0</v>
      </c>
      <c r="I14" s="96">
        <f>SUM(G14:H14)</f>
        <v>240</v>
      </c>
    </row>
    <row r="15" spans="2:9" ht="12.75">
      <c r="B15" s="23"/>
      <c r="C15" s="23"/>
      <c r="D15" s="24"/>
      <c r="E15" s="24"/>
      <c r="F15" s="25"/>
      <c r="G15" s="24"/>
      <c r="H15" s="24"/>
      <c r="I15" s="25"/>
    </row>
    <row r="16" spans="2:9" ht="12.75">
      <c r="B16" s="168" t="s">
        <v>532</v>
      </c>
      <c r="C16" s="59"/>
      <c r="D16" s="24">
        <v>100</v>
      </c>
      <c r="E16" s="24"/>
      <c r="F16" s="25">
        <f>SUM(D16:E16)</f>
        <v>100</v>
      </c>
      <c r="G16" s="24">
        <v>0</v>
      </c>
      <c r="H16" s="24"/>
      <c r="I16" s="25">
        <f>SUM(G16:H16)</f>
        <v>0</v>
      </c>
    </row>
    <row r="17" spans="2:9" ht="12.75">
      <c r="B17" s="168" t="s">
        <v>533</v>
      </c>
      <c r="C17" s="59"/>
      <c r="D17" s="24">
        <v>100</v>
      </c>
      <c r="E17" s="24"/>
      <c r="F17" s="25">
        <f>SUM(D17:E17)</f>
        <v>100</v>
      </c>
      <c r="G17" s="24">
        <v>40</v>
      </c>
      <c r="H17" s="24"/>
      <c r="I17" s="25">
        <f>SUM(G17:H17)</f>
        <v>40</v>
      </c>
    </row>
    <row r="18" spans="2:9" ht="12.75">
      <c r="B18" s="168" t="s">
        <v>534</v>
      </c>
      <c r="C18" s="59"/>
      <c r="D18" s="24">
        <v>100</v>
      </c>
      <c r="E18" s="24"/>
      <c r="F18" s="25">
        <f>SUM(D18:E18)</f>
        <v>100</v>
      </c>
      <c r="G18" s="24">
        <v>100</v>
      </c>
      <c r="H18" s="24"/>
      <c r="I18" s="25">
        <f>SUM(G18:H18)</f>
        <v>100</v>
      </c>
    </row>
    <row r="19" spans="2:9" ht="12.75">
      <c r="B19" s="168" t="s">
        <v>535</v>
      </c>
      <c r="C19" s="23"/>
      <c r="D19" s="24">
        <v>4000</v>
      </c>
      <c r="E19" s="24"/>
      <c r="F19" s="25">
        <f>SUM(D19:E19)</f>
        <v>4000</v>
      </c>
      <c r="G19" s="24">
        <f>+4000-562-1</f>
        <v>3437</v>
      </c>
      <c r="H19" s="24"/>
      <c r="I19" s="25">
        <f>SUM(G19:H19)</f>
        <v>3437</v>
      </c>
    </row>
    <row r="20" spans="1:9" s="167" customFormat="1" ht="12.75">
      <c r="A20" s="154"/>
      <c r="B20" s="169" t="s">
        <v>536</v>
      </c>
      <c r="C20" s="123" t="s">
        <v>90</v>
      </c>
      <c r="D20" s="124">
        <f>SUM(D16:D19)</f>
        <v>4300</v>
      </c>
      <c r="E20" s="124">
        <f>SUM(E16:E19)</f>
        <v>0</v>
      </c>
      <c r="F20" s="124">
        <f>SUM(F16:F19)</f>
        <v>4300</v>
      </c>
      <c r="G20" s="124">
        <f>SUM(G16:G19)</f>
        <v>3577</v>
      </c>
      <c r="H20" s="124">
        <f>SUM(H16:H19)</f>
        <v>0</v>
      </c>
      <c r="I20" s="124">
        <f>SUM(I16:I19)</f>
        <v>3577</v>
      </c>
    </row>
    <row r="21" spans="2:9" ht="12.75">
      <c r="B21" s="102"/>
      <c r="C21" s="23"/>
      <c r="D21" s="24"/>
      <c r="E21" s="24"/>
      <c r="F21" s="25"/>
      <c r="G21" s="24"/>
      <c r="H21" s="24"/>
      <c r="I21" s="25"/>
    </row>
    <row r="22" spans="2:9" ht="12.75">
      <c r="B22" s="23"/>
      <c r="C22" s="23"/>
      <c r="D22" s="24">
        <v>0</v>
      </c>
      <c r="E22" s="24">
        <v>0</v>
      </c>
      <c r="F22" s="25"/>
      <c r="G22" s="24">
        <v>0</v>
      </c>
      <c r="H22" s="24">
        <v>0</v>
      </c>
      <c r="I22" s="25"/>
    </row>
    <row r="23" spans="1:9" s="167" customFormat="1" ht="12.75">
      <c r="A23" s="154"/>
      <c r="B23" s="169" t="s">
        <v>537</v>
      </c>
      <c r="C23" s="123" t="s">
        <v>90</v>
      </c>
      <c r="D23" s="124">
        <f>SUM(D22)</f>
        <v>0</v>
      </c>
      <c r="E23" s="124">
        <f>SUM(E22)</f>
        <v>0</v>
      </c>
      <c r="F23" s="124">
        <f>SUM(D23:E23)</f>
        <v>0</v>
      </c>
      <c r="G23" s="124">
        <f>SUM(G22)</f>
        <v>0</v>
      </c>
      <c r="H23" s="124">
        <f>SUM(H22)</f>
        <v>0</v>
      </c>
      <c r="I23" s="124">
        <f>SUM(G23:H23)</f>
        <v>0</v>
      </c>
    </row>
    <row r="24" spans="1:9" s="167" customFormat="1" ht="12.75">
      <c r="A24" s="154"/>
      <c r="B24" s="143" t="s">
        <v>538</v>
      </c>
      <c r="C24" s="123" t="s">
        <v>90</v>
      </c>
      <c r="D24" s="96">
        <f>+D20+D23</f>
        <v>4300</v>
      </c>
      <c r="E24" s="96">
        <f>+E20+E23</f>
        <v>0</v>
      </c>
      <c r="F24" s="96">
        <f>SUM(D24:E24)</f>
        <v>4300</v>
      </c>
      <c r="G24" s="96">
        <f>+G20+G23</f>
        <v>3577</v>
      </c>
      <c r="H24" s="96">
        <f>+H20+H23</f>
        <v>0</v>
      </c>
      <c r="I24" s="96">
        <f>SUM(G24:H24)</f>
        <v>3577</v>
      </c>
    </row>
    <row r="25" spans="2:9" ht="12.75">
      <c r="B25" s="23"/>
      <c r="C25" s="23"/>
      <c r="D25" s="23"/>
      <c r="E25" s="23"/>
      <c r="F25" s="23"/>
      <c r="G25" s="23"/>
      <c r="H25" s="23"/>
      <c r="I25" s="23"/>
    </row>
    <row r="26" spans="1:9" s="172" customFormat="1" ht="12.75">
      <c r="A26" s="154"/>
      <c r="B26" s="170" t="s">
        <v>539</v>
      </c>
      <c r="C26" s="95" t="s">
        <v>90</v>
      </c>
      <c r="D26" s="171">
        <f>+D24+D14</f>
        <v>44300</v>
      </c>
      <c r="E26" s="171">
        <f>+E24+E14</f>
        <v>0</v>
      </c>
      <c r="F26" s="171">
        <f>+F24+F14</f>
        <v>44300</v>
      </c>
      <c r="G26" s="171">
        <f>+G24+G14</f>
        <v>3817</v>
      </c>
      <c r="H26" s="171">
        <f>+H24+H14</f>
        <v>0</v>
      </c>
      <c r="I26" s="171">
        <f>+I24+I14</f>
        <v>3817</v>
      </c>
    </row>
  </sheetData>
  <sheetProtection selectLockedCells="1" selectUnlockedCells="1"/>
  <mergeCells count="3">
    <mergeCell ref="B5:C5"/>
    <mergeCell ref="D9:F9"/>
    <mergeCell ref="G9:I9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BB259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"/>
    </sheetView>
  </sheetViews>
  <sheetFormatPr defaultColWidth="9.140625" defaultRowHeight="15"/>
  <cols>
    <col min="1" max="1" width="9.140625" style="173" customWidth="1"/>
    <col min="2" max="2" width="54.00390625" style="173" customWidth="1"/>
    <col min="3" max="3" width="8.57421875" style="173" customWidth="1"/>
    <col min="4" max="4" width="9.28125" style="173" customWidth="1"/>
    <col min="5" max="5" width="8.28125" style="173" customWidth="1"/>
    <col min="6" max="6" width="8.57421875" style="173" customWidth="1"/>
    <col min="7" max="7" width="9.28125" style="173" customWidth="1"/>
    <col min="8" max="8" width="8.28125" style="173" customWidth="1"/>
    <col min="9" max="9" width="8.57421875" style="173" customWidth="1"/>
    <col min="10" max="41" width="9.140625" style="173" customWidth="1"/>
    <col min="42" max="42" width="8.57421875" style="173" customWidth="1"/>
    <col min="43" max="43" width="8.140625" style="173" customWidth="1"/>
    <col min="44" max="44" width="8.57421875" style="173" customWidth="1"/>
    <col min="45" max="45" width="9.140625" style="173" customWidth="1"/>
    <col min="46" max="53" width="6.8515625" style="173" customWidth="1"/>
    <col min="54" max="16384" width="9.140625" style="173" customWidth="1"/>
  </cols>
  <sheetData>
    <row r="1" spans="6:53" ht="12.75">
      <c r="F1"/>
      <c r="I1" s="32" t="s">
        <v>540</v>
      </c>
      <c r="N1"/>
      <c r="O1" s="15" t="str">
        <f>+I1</f>
        <v>7 .melléklet (1)</v>
      </c>
      <c r="P1" s="15"/>
      <c r="Q1" s="15"/>
      <c r="T1"/>
      <c r="U1" s="15" t="str">
        <f>+O1</f>
        <v>7 .melléklet (1)</v>
      </c>
      <c r="X1" s="15"/>
      <c r="Y1" s="15"/>
      <c r="Z1"/>
      <c r="AA1" s="15" t="str">
        <f>+U1</f>
        <v>7 .melléklet (1)</v>
      </c>
      <c r="AE1" s="15"/>
      <c r="AF1"/>
      <c r="AG1" s="15" t="str">
        <f>+AA1</f>
        <v>7 .melléklet (1)</v>
      </c>
      <c r="AK1"/>
      <c r="AL1"/>
      <c r="AM1" s="15" t="str">
        <f>+AA1</f>
        <v>7 .melléklet (1)</v>
      </c>
      <c r="AN1" s="15"/>
      <c r="AO1" s="15"/>
      <c r="AQ1"/>
      <c r="AR1"/>
      <c r="AS1" s="15" t="str">
        <f>+AM1</f>
        <v>7 .melléklet (1)</v>
      </c>
      <c r="AW1"/>
      <c r="AY1" s="15" t="str">
        <f>+AS1</f>
        <v>7 .melléklet (1)</v>
      </c>
      <c r="AZ1"/>
      <c r="BA1"/>
    </row>
    <row r="2" spans="6:53" ht="12.75">
      <c r="F2"/>
      <c r="I2" s="15" t="s">
        <v>10</v>
      </c>
      <c r="N2"/>
      <c r="O2" s="15" t="str">
        <f>+I2</f>
        <v>a  4/2015.(II.26.) önkormányzati rendelethez</v>
      </c>
      <c r="P2" s="15"/>
      <c r="Q2" s="15"/>
      <c r="T2"/>
      <c r="U2" s="15" t="str">
        <f>+O2</f>
        <v>a  4/2015.(II.26.) önkormányzati rendelethez</v>
      </c>
      <c r="X2" s="15"/>
      <c r="Y2" s="15"/>
      <c r="Z2"/>
      <c r="AA2" s="15" t="str">
        <f>+U2</f>
        <v>a  4/2015.(II.26.) önkormányzati rendelethez</v>
      </c>
      <c r="AE2" s="15"/>
      <c r="AF2"/>
      <c r="AG2" s="15" t="str">
        <f>+AA2</f>
        <v>a  4/2015.(II.26.) önkormányzati rendelethez</v>
      </c>
      <c r="AK2"/>
      <c r="AL2"/>
      <c r="AM2" s="15" t="str">
        <f>+AA2</f>
        <v>a  4/2015.(II.26.) önkormányzati rendelethez</v>
      </c>
      <c r="AN2" s="15"/>
      <c r="AO2" s="15"/>
      <c r="AQ2"/>
      <c r="AR2"/>
      <c r="AS2" s="15" t="str">
        <f>+AM2</f>
        <v>a  4/2015.(II.26.) önkormányzati rendelethez</v>
      </c>
      <c r="AW2"/>
      <c r="AY2" s="15" t="str">
        <f>+AS2</f>
        <v>a  4/2015.(II.26.) önkormányzati rendelethez</v>
      </c>
      <c r="AZ2"/>
      <c r="BA2"/>
    </row>
    <row r="3" spans="2:54" ht="12.75">
      <c r="B3" s="34" t="s">
        <v>541</v>
      </c>
      <c r="J3" s="174"/>
      <c r="K3" s="174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BB3" s="175"/>
    </row>
    <row r="4" spans="2:54" s="176" customFormat="1" ht="12.75">
      <c r="B4" s="177" t="s">
        <v>542</v>
      </c>
      <c r="J4" s="178" t="s">
        <v>543</v>
      </c>
      <c r="K4" s="178"/>
      <c r="L4" s="178"/>
      <c r="M4" s="178"/>
      <c r="N4" s="178"/>
      <c r="O4" s="178"/>
      <c r="P4" s="178" t="s">
        <v>543</v>
      </c>
      <c r="Q4" s="178"/>
      <c r="R4" s="178"/>
      <c r="S4" s="178"/>
      <c r="T4" s="178"/>
      <c r="U4" s="178"/>
      <c r="V4" s="178" t="s">
        <v>543</v>
      </c>
      <c r="W4" s="178"/>
      <c r="X4" s="178"/>
      <c r="Y4" s="178"/>
      <c r="Z4" s="178"/>
      <c r="AA4" s="178"/>
      <c r="AB4" s="178" t="s">
        <v>543</v>
      </c>
      <c r="AC4" s="178"/>
      <c r="AD4" s="178"/>
      <c r="AE4" s="178"/>
      <c r="AF4" s="178"/>
      <c r="AG4" s="178"/>
      <c r="AH4" s="179" t="s">
        <v>543</v>
      </c>
      <c r="AI4" s="179"/>
      <c r="AJ4" s="179"/>
      <c r="AK4" s="179"/>
      <c r="AL4" s="178" t="s">
        <v>544</v>
      </c>
      <c r="AM4" s="178"/>
      <c r="AN4" s="179" t="s">
        <v>544</v>
      </c>
      <c r="AO4" s="179"/>
      <c r="AP4" s="179"/>
      <c r="AQ4" s="179"/>
      <c r="AR4" s="179"/>
      <c r="AS4" s="179"/>
      <c r="AT4" s="180" t="s">
        <v>544</v>
      </c>
      <c r="AU4" s="180"/>
      <c r="AV4" s="180"/>
      <c r="AW4" s="180"/>
      <c r="AX4" s="180"/>
      <c r="AY4" s="180"/>
      <c r="AZ4" s="180"/>
      <c r="BA4" s="180"/>
      <c r="BB4" s="175"/>
    </row>
    <row r="5" spans="4:54" s="176" customFormat="1" ht="26.25" customHeight="1">
      <c r="D5" s="92" t="s">
        <v>13</v>
      </c>
      <c r="E5" s="92"/>
      <c r="F5" s="92"/>
      <c r="G5" s="92" t="s">
        <v>14</v>
      </c>
      <c r="H5" s="92"/>
      <c r="I5" s="92"/>
      <c r="J5" s="181" t="s">
        <v>545</v>
      </c>
      <c r="K5" s="181" t="s">
        <v>546</v>
      </c>
      <c r="L5" s="181" t="s">
        <v>545</v>
      </c>
      <c r="M5" s="181" t="s">
        <v>546</v>
      </c>
      <c r="N5" s="181" t="s">
        <v>545</v>
      </c>
      <c r="O5" s="181" t="s">
        <v>546</v>
      </c>
      <c r="P5" s="181" t="s">
        <v>545</v>
      </c>
      <c r="Q5" s="181" t="s">
        <v>546</v>
      </c>
      <c r="R5" s="181" t="s">
        <v>545</v>
      </c>
      <c r="S5" s="181" t="s">
        <v>546</v>
      </c>
      <c r="T5" s="181" t="s">
        <v>545</v>
      </c>
      <c r="U5" s="181" t="s">
        <v>546</v>
      </c>
      <c r="V5" s="181" t="s">
        <v>545</v>
      </c>
      <c r="W5" s="181" t="s">
        <v>546</v>
      </c>
      <c r="X5" s="181" t="s">
        <v>545</v>
      </c>
      <c r="Y5" s="181" t="s">
        <v>546</v>
      </c>
      <c r="Z5" s="181" t="s">
        <v>545</v>
      </c>
      <c r="AA5" s="181" t="s">
        <v>546</v>
      </c>
      <c r="AB5" s="181" t="s">
        <v>545</v>
      </c>
      <c r="AC5" s="181" t="s">
        <v>546</v>
      </c>
      <c r="AD5" s="181" t="s">
        <v>545</v>
      </c>
      <c r="AE5" s="181" t="s">
        <v>546</v>
      </c>
      <c r="AF5" s="181" t="s">
        <v>545</v>
      </c>
      <c r="AG5" s="181" t="s">
        <v>546</v>
      </c>
      <c r="AH5" s="181" t="s">
        <v>545</v>
      </c>
      <c r="AI5" s="181" t="s">
        <v>546</v>
      </c>
      <c r="AJ5" s="181" t="s">
        <v>545</v>
      </c>
      <c r="AK5" s="181" t="s">
        <v>546</v>
      </c>
      <c r="AL5" s="181" t="s">
        <v>545</v>
      </c>
      <c r="AM5" s="181" t="s">
        <v>546</v>
      </c>
      <c r="AN5" s="181" t="s">
        <v>545</v>
      </c>
      <c r="AO5" s="181" t="s">
        <v>546</v>
      </c>
      <c r="AP5" s="181" t="s">
        <v>545</v>
      </c>
      <c r="AQ5" s="181" t="s">
        <v>546</v>
      </c>
      <c r="AR5" s="181" t="s">
        <v>545</v>
      </c>
      <c r="AS5" s="181" t="s">
        <v>546</v>
      </c>
      <c r="AT5" s="181" t="s">
        <v>545</v>
      </c>
      <c r="AU5" s="181" t="s">
        <v>546</v>
      </c>
      <c r="AV5" s="181" t="s">
        <v>545</v>
      </c>
      <c r="AW5" s="181" t="s">
        <v>546</v>
      </c>
      <c r="AX5" s="181" t="s">
        <v>545</v>
      </c>
      <c r="AY5" s="181" t="s">
        <v>546</v>
      </c>
      <c r="AZ5" s="181" t="s">
        <v>545</v>
      </c>
      <c r="BA5" s="181" t="s">
        <v>546</v>
      </c>
      <c r="BB5" s="175"/>
    </row>
    <row r="6" spans="2:53" s="182" customFormat="1" ht="96.75" customHeight="1">
      <c r="B6" s="163" t="s">
        <v>15</v>
      </c>
      <c r="C6" s="164" t="s">
        <v>42</v>
      </c>
      <c r="D6" s="183" t="s">
        <v>547</v>
      </c>
      <c r="E6" s="183" t="s">
        <v>548</v>
      </c>
      <c r="F6" s="164" t="s">
        <v>549</v>
      </c>
      <c r="G6" s="183" t="s">
        <v>547</v>
      </c>
      <c r="H6" s="183" t="s">
        <v>548</v>
      </c>
      <c r="I6" s="164" t="s">
        <v>549</v>
      </c>
      <c r="J6" s="183" t="s">
        <v>550</v>
      </c>
      <c r="K6" s="183"/>
      <c r="L6" s="183" t="s">
        <v>551</v>
      </c>
      <c r="M6" s="183"/>
      <c r="N6" s="183" t="s">
        <v>552</v>
      </c>
      <c r="O6" s="183"/>
      <c r="P6" s="183" t="s">
        <v>553</v>
      </c>
      <c r="Q6" s="183"/>
      <c r="R6" s="183" t="s">
        <v>554</v>
      </c>
      <c r="S6" s="183"/>
      <c r="T6" s="183" t="s">
        <v>555</v>
      </c>
      <c r="U6" s="183"/>
      <c r="V6" s="183" t="s">
        <v>556</v>
      </c>
      <c r="W6" s="183"/>
      <c r="X6" s="183" t="s">
        <v>557</v>
      </c>
      <c r="Y6" s="183"/>
      <c r="Z6" s="183" t="s">
        <v>558</v>
      </c>
      <c r="AA6" s="183"/>
      <c r="AB6" s="183" t="s">
        <v>559</v>
      </c>
      <c r="AC6" s="183"/>
      <c r="AD6" s="183" t="s">
        <v>560</v>
      </c>
      <c r="AE6" s="183"/>
      <c r="AF6" s="183" t="s">
        <v>561</v>
      </c>
      <c r="AG6" s="183"/>
      <c r="AH6" s="183" t="s">
        <v>562</v>
      </c>
      <c r="AI6" s="183"/>
      <c r="AJ6" s="183" t="s">
        <v>563</v>
      </c>
      <c r="AK6" s="183"/>
      <c r="AL6" s="183" t="s">
        <v>564</v>
      </c>
      <c r="AM6" s="183"/>
      <c r="AN6" s="183" t="s">
        <v>565</v>
      </c>
      <c r="AO6" s="183"/>
      <c r="AP6" s="183" t="s">
        <v>566</v>
      </c>
      <c r="AQ6" s="183"/>
      <c r="AR6" s="183" t="s">
        <v>567</v>
      </c>
      <c r="AS6" s="183"/>
      <c r="AT6" s="183" t="s">
        <v>568</v>
      </c>
      <c r="AU6" s="183"/>
      <c r="AV6" s="183" t="s">
        <v>569</v>
      </c>
      <c r="AW6" s="183"/>
      <c r="AX6" s="183" t="s">
        <v>570</v>
      </c>
      <c r="AY6" s="183"/>
      <c r="AZ6" s="183" t="s">
        <v>571</v>
      </c>
      <c r="BA6" s="183"/>
    </row>
    <row r="7" spans="2:53" ht="12.75">
      <c r="B7" s="184" t="s">
        <v>43</v>
      </c>
      <c r="C7" s="185" t="s">
        <v>44</v>
      </c>
      <c r="D7" s="186">
        <f>+J7+L7+N7+P7+R7+T7+V7+X7+Z7+AB7+AD7+AF7+AH7+AJ7</f>
        <v>0</v>
      </c>
      <c r="E7" s="187">
        <f>+AL7+AN7+AP7+AR7+AV7+AX7+AZ7+AT7</f>
        <v>0</v>
      </c>
      <c r="F7" s="188">
        <f>+D7+E7</f>
        <v>0</v>
      </c>
      <c r="G7" s="186">
        <f>+M7+O7+Q7+S7+U7+W7+Y7+AA7+AC7+AE7+AG7+AI7+AK7+K7</f>
        <v>0</v>
      </c>
      <c r="H7" s="187">
        <f>+BA7+AY7+AW7+AU7+AS7+AQ7+AO7+AM7</f>
        <v>0</v>
      </c>
      <c r="I7" s="188">
        <f>+G7+H7</f>
        <v>0</v>
      </c>
      <c r="J7" s="186"/>
      <c r="K7" s="186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</row>
    <row r="8" spans="2:53" ht="12.75">
      <c r="B8" s="190" t="s">
        <v>45</v>
      </c>
      <c r="C8" s="185" t="s">
        <v>46</v>
      </c>
      <c r="D8" s="186">
        <f>+J8+L8+N8+P8+R8+T8+V8+X8+Z8+AB8+AD8+AF8+AH8+AJ8</f>
        <v>22235</v>
      </c>
      <c r="E8" s="187">
        <f>+AL8+AN8+AP8+AR8+AV8+AX8+AZ8+AT8</f>
        <v>0</v>
      </c>
      <c r="F8" s="188">
        <f>+D8+E8</f>
        <v>22235</v>
      </c>
      <c r="G8" s="186">
        <f>+M8+O8+Q8+S8+U8+W8+Y8+AA8+AC8+AE8+AG8+AI8+AK8+K8</f>
        <v>22235</v>
      </c>
      <c r="H8" s="187">
        <f>+BA8+AY8+AW8+AU8+AS8+AQ8+AO8+AM8</f>
        <v>0</v>
      </c>
      <c r="I8" s="188">
        <f>+G8+H8</f>
        <v>22235</v>
      </c>
      <c r="J8" s="186">
        <f>20769+1272+194</f>
        <v>22235</v>
      </c>
      <c r="K8" s="186">
        <f>+22235</f>
        <v>22235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</row>
    <row r="9" spans="2:53" s="191" customFormat="1" ht="12.75">
      <c r="B9" s="192" t="s">
        <v>47</v>
      </c>
      <c r="C9" s="193" t="s">
        <v>48</v>
      </c>
      <c r="D9" s="194">
        <f>SUM(D7:D8)</f>
        <v>22235</v>
      </c>
      <c r="E9" s="194">
        <f>SUM(E7:E8)</f>
        <v>0</v>
      </c>
      <c r="F9" s="194">
        <f>SUM(F7:F8)</f>
        <v>22235</v>
      </c>
      <c r="G9" s="194">
        <f>SUM(G7:G8)</f>
        <v>22235</v>
      </c>
      <c r="H9" s="194">
        <f>SUM(H7:H8)</f>
        <v>0</v>
      </c>
      <c r="I9" s="194">
        <f>SUM(I7:I8)</f>
        <v>22235</v>
      </c>
      <c r="J9" s="194">
        <f>SUM(J7:J8)</f>
        <v>22235</v>
      </c>
      <c r="K9" s="194">
        <f>SUM(K7:K8)</f>
        <v>22235</v>
      </c>
      <c r="L9" s="194">
        <f>SUM(L7:L8)</f>
        <v>0</v>
      </c>
      <c r="M9" s="194">
        <f>SUM(M7:M8)</f>
        <v>0</v>
      </c>
      <c r="N9" s="194">
        <f>SUM(N7:N8)</f>
        <v>0</v>
      </c>
      <c r="O9" s="194">
        <f>SUM(O7:O8)</f>
        <v>0</v>
      </c>
      <c r="P9" s="194">
        <f>SUM(P7:P8)</f>
        <v>0</v>
      </c>
      <c r="Q9" s="194">
        <f>SUM(Q7:Q8)</f>
        <v>0</v>
      </c>
      <c r="R9" s="194">
        <f>SUM(R7:R8)</f>
        <v>0</v>
      </c>
      <c r="S9" s="194">
        <f>SUM(S7:S8)</f>
        <v>0</v>
      </c>
      <c r="T9" s="194">
        <f>SUM(T7:T8)</f>
        <v>0</v>
      </c>
      <c r="U9" s="194">
        <f>SUM(U7:U8)</f>
        <v>0</v>
      </c>
      <c r="V9" s="194">
        <f>SUM(V7:V8)</f>
        <v>0</v>
      </c>
      <c r="W9" s="194">
        <f>SUM(W7:W8)</f>
        <v>0</v>
      </c>
      <c r="X9" s="194">
        <f>SUM(X7:X8)</f>
        <v>0</v>
      </c>
      <c r="Y9" s="194">
        <f>SUM(Y7:Y8)</f>
        <v>0</v>
      </c>
      <c r="Z9" s="194">
        <f>SUM(Z7:Z8)</f>
        <v>0</v>
      </c>
      <c r="AA9" s="194">
        <f>SUM(AA7:AA8)</f>
        <v>0</v>
      </c>
      <c r="AB9" s="194">
        <f>SUM(AB7:AB8)</f>
        <v>0</v>
      </c>
      <c r="AC9" s="194">
        <f>SUM(AC7:AC8)</f>
        <v>0</v>
      </c>
      <c r="AD9" s="194">
        <f>SUM(AD7:AD8)</f>
        <v>0</v>
      </c>
      <c r="AE9" s="194">
        <f>SUM(AE7:AE8)</f>
        <v>0</v>
      </c>
      <c r="AF9" s="194">
        <f>SUM(AF7:AF8)</f>
        <v>0</v>
      </c>
      <c r="AG9" s="194">
        <f>SUM(AG7:AG8)</f>
        <v>0</v>
      </c>
      <c r="AH9" s="194">
        <f>SUM(AH7:AH8)</f>
        <v>0</v>
      </c>
      <c r="AI9" s="194">
        <f>SUM(AI7:AI8)</f>
        <v>0</v>
      </c>
      <c r="AJ9" s="194">
        <f>SUM(AJ7:AJ8)</f>
        <v>0</v>
      </c>
      <c r="AK9" s="194">
        <f>SUM(AK7:AK8)</f>
        <v>0</v>
      </c>
      <c r="AL9" s="194">
        <f>SUM(AL7:AL8)</f>
        <v>0</v>
      </c>
      <c r="AM9" s="194">
        <f>SUM(AM7:AM8)</f>
        <v>0</v>
      </c>
      <c r="AN9" s="194">
        <f>SUM(AN7:AN8)</f>
        <v>0</v>
      </c>
      <c r="AO9" s="194">
        <f>SUM(AO7:AO8)</f>
        <v>0</v>
      </c>
      <c r="AP9" s="194">
        <f>SUM(AP7:AP8)</f>
        <v>0</v>
      </c>
      <c r="AQ9" s="194">
        <f>SUM(AQ7:AQ8)</f>
        <v>0</v>
      </c>
      <c r="AR9" s="194">
        <f>SUM(AR7:AR8)</f>
        <v>0</v>
      </c>
      <c r="AS9" s="194">
        <f>SUM(AS7:AS8)</f>
        <v>0</v>
      </c>
      <c r="AT9" s="194">
        <f>SUM(AT7:AT8)</f>
        <v>0</v>
      </c>
      <c r="AU9" s="194">
        <f>SUM(AU7:AU8)</f>
        <v>0</v>
      </c>
      <c r="AV9" s="194">
        <f>SUM(AV7:AV8)</f>
        <v>0</v>
      </c>
      <c r="AW9" s="194">
        <f>SUM(AW7:AW8)</f>
        <v>0</v>
      </c>
      <c r="AX9" s="194">
        <f>SUM(AX7:AX8)</f>
        <v>0</v>
      </c>
      <c r="AY9" s="194">
        <f>SUM(AY7:AY8)</f>
        <v>0</v>
      </c>
      <c r="AZ9" s="194">
        <f>SUM(AZ7:AZ8)</f>
        <v>0</v>
      </c>
      <c r="BA9" s="194">
        <f>SUM(BA7:BA8)</f>
        <v>0</v>
      </c>
    </row>
    <row r="10" spans="2:53" s="191" customFormat="1" ht="12.75">
      <c r="B10" s="195" t="s">
        <v>49</v>
      </c>
      <c r="C10" s="193" t="s">
        <v>50</v>
      </c>
      <c r="D10" s="196">
        <f>+J10+L10+N10+P10+R10+T10+V10+X10+Z10+AB10+AD10+AF10+AH10+AJ10</f>
        <v>6003</v>
      </c>
      <c r="E10" s="197">
        <f>+AL10+AN10+AP10+AR10+AV10+AX10+AZ10+AT10</f>
        <v>0</v>
      </c>
      <c r="F10" s="194">
        <f>+D10+E10</f>
        <v>6003</v>
      </c>
      <c r="G10" s="198">
        <f>+M10+O10+Q10+S10+U10+W10+Y10+AA10+AC10+AE10+AG10+AI10+AK10+K10</f>
        <v>6003</v>
      </c>
      <c r="H10" s="199">
        <f>+BA10+AY10+AW10+AU10+AS10+AQ10+AO10+AM10</f>
        <v>0</v>
      </c>
      <c r="I10" s="194">
        <f>+G10+H10</f>
        <v>6003</v>
      </c>
      <c r="J10" s="196">
        <v>6003</v>
      </c>
      <c r="K10" s="196">
        <f>+6003</f>
        <v>6003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</row>
    <row r="11" spans="2:53" ht="12.75">
      <c r="B11" s="190" t="s">
        <v>51</v>
      </c>
      <c r="C11" s="185" t="s">
        <v>52</v>
      </c>
      <c r="D11" s="186">
        <f>+J11+L11+N11+P11+R11+T11+V11+X11+Z11+AB11+AD11+AF11+AH11+AJ11</f>
        <v>570</v>
      </c>
      <c r="E11" s="187">
        <f>+AL11+AN11+AP11+AR11+AV11+AX11+AZ11+AT11</f>
        <v>0</v>
      </c>
      <c r="F11" s="188">
        <f>+D11+E11</f>
        <v>570</v>
      </c>
      <c r="G11" s="186">
        <f>+M11+O11+Q11+S11+U11+W11+Y11+AA11+AC11+AE11+AG11+AI11+AK11+K11</f>
        <v>650</v>
      </c>
      <c r="H11" s="187">
        <f>+BA11+AY11+AW11+AU11+AS11+AQ11+AO11+AM11</f>
        <v>0</v>
      </c>
      <c r="I11" s="188">
        <f>+G11+H11</f>
        <v>650</v>
      </c>
      <c r="J11" s="186"/>
      <c r="K11" s="186">
        <f>+200+200+250</f>
        <v>650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>
        <v>570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</row>
    <row r="12" spans="2:53" ht="12.75">
      <c r="B12" s="190" t="s">
        <v>53</v>
      </c>
      <c r="C12" s="185" t="s">
        <v>54</v>
      </c>
      <c r="D12" s="186">
        <f>+J12+L12+N12+P12+R12+T12+V12+X12+Z12+AB12+AD12+AF12+AH12+AJ12</f>
        <v>0</v>
      </c>
      <c r="E12" s="187">
        <f>+AL12+AN12+AP12+AR12+AV12+AX12+AZ12+AT12</f>
        <v>0</v>
      </c>
      <c r="F12" s="188">
        <f>+D12+E12</f>
        <v>0</v>
      </c>
      <c r="G12" s="186">
        <f>+M12+O12+Q12+S12+U12+W12+Y12+AA12+AC12+AE12+AG12+AI12+AK12+K12</f>
        <v>0</v>
      </c>
      <c r="H12" s="187">
        <f>+BA12+AY12+AW12+AU12+AS12+AQ12+AO12+AM12</f>
        <v>0</v>
      </c>
      <c r="I12" s="188">
        <f>+G12+H12</f>
        <v>0</v>
      </c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</row>
    <row r="13" spans="2:53" ht="12.75">
      <c r="B13" s="190" t="s">
        <v>55</v>
      </c>
      <c r="C13" s="185" t="s">
        <v>56</v>
      </c>
      <c r="D13" s="186">
        <f>+J13+L13+N13+P13+R13+T13+V13+X13+Z13+AB13+AD13+AF13+AH13+AJ13</f>
        <v>114963</v>
      </c>
      <c r="E13" s="187">
        <f>+AL13+AN13+AP13+AR13+AV13+AX13+AZ13+AT13</f>
        <v>7196</v>
      </c>
      <c r="F13" s="188">
        <f>+D13+E13</f>
        <v>122159</v>
      </c>
      <c r="G13" s="186">
        <f>+M13+O13+Q13+S13+U13+W13+Y13+AA13+AC13+AE13+AG13+AI13+AK13+K13</f>
        <v>135792</v>
      </c>
      <c r="H13" s="187">
        <f>+BA13+AY13+AW13+AU13+AS13+AQ13+AO13+AM13</f>
        <v>7196</v>
      </c>
      <c r="I13" s="188">
        <f>+G13+H13</f>
        <v>142988</v>
      </c>
      <c r="J13" s="186">
        <f>3500+18824+6000</f>
        <v>28324</v>
      </c>
      <c r="K13" s="186">
        <v>39083</v>
      </c>
      <c r="L13" s="186">
        <f>1400+2900+500+1000</f>
        <v>5800</v>
      </c>
      <c r="M13" s="186">
        <v>5800</v>
      </c>
      <c r="N13" s="186"/>
      <c r="O13" s="186"/>
      <c r="P13" s="186"/>
      <c r="Q13" s="186"/>
      <c r="R13" s="186">
        <v>27020</v>
      </c>
      <c r="S13" s="186">
        <v>27020</v>
      </c>
      <c r="T13" s="186">
        <v>14839</v>
      </c>
      <c r="U13" s="186">
        <v>14839</v>
      </c>
      <c r="V13" s="186">
        <v>6200</v>
      </c>
      <c r="W13" s="186">
        <v>6200</v>
      </c>
      <c r="X13" s="186">
        <v>4000</v>
      </c>
      <c r="Y13" s="186">
        <f>+4000+570</f>
        <v>4570</v>
      </c>
      <c r="Z13" s="186"/>
      <c r="AA13" s="186"/>
      <c r="AB13" s="186">
        <f>24000+2600</f>
        <v>26600</v>
      </c>
      <c r="AC13" s="186">
        <v>36100</v>
      </c>
      <c r="AD13" s="186">
        <f>220+500+500+960</f>
        <v>2180</v>
      </c>
      <c r="AE13" s="186">
        <f>220+500+500+960</f>
        <v>2180</v>
      </c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>
        <f>ROUND(22778.88*325.47/1000,0)-AP41-1947</f>
        <v>5264</v>
      </c>
      <c r="AQ13" s="186">
        <v>5264</v>
      </c>
      <c r="AR13" s="186"/>
      <c r="AS13" s="186"/>
      <c r="AT13" s="186">
        <f>1200+276+72+384</f>
        <v>1932</v>
      </c>
      <c r="AU13" s="186">
        <f>1200+276+72+384</f>
        <v>1932</v>
      </c>
      <c r="AV13" s="186"/>
      <c r="AW13" s="186"/>
      <c r="AX13" s="186"/>
      <c r="AY13" s="186"/>
      <c r="AZ13" s="186"/>
      <c r="BA13" s="186"/>
    </row>
    <row r="14" spans="2:53" ht="12.75">
      <c r="B14" s="190" t="s">
        <v>57</v>
      </c>
      <c r="C14" s="185" t="s">
        <v>58</v>
      </c>
      <c r="D14" s="186">
        <f>+J14+L14+N14+P14+R14+T14+V14+X14+Z14+AB14+AD14+AF14+AH14+AJ14</f>
        <v>4020</v>
      </c>
      <c r="E14" s="187">
        <f>+AL14+AN14+AP14+AR14+AV14+AX14+AZ14+AT14</f>
        <v>0</v>
      </c>
      <c r="F14" s="188">
        <f>+D14+E14</f>
        <v>4020</v>
      </c>
      <c r="G14" s="186">
        <f>+M14+O14+Q14+S14+U14+W14+Y14+AA14+AC14+AE14+AG14+AI14+AK14+K14</f>
        <v>4170</v>
      </c>
      <c r="H14" s="187">
        <f>+BA14+AY14+AW14+AU14+AS14+AQ14+AO14+AM14</f>
        <v>0</v>
      </c>
      <c r="I14" s="188">
        <f>+G14+H14</f>
        <v>4170</v>
      </c>
      <c r="J14" s="186">
        <f>3500+120</f>
        <v>3620</v>
      </c>
      <c r="K14" s="186">
        <v>3770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>
        <v>400</v>
      </c>
      <c r="AA14" s="186">
        <v>400</v>
      </c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</row>
    <row r="15" spans="2:53" ht="12.75">
      <c r="B15" s="190" t="s">
        <v>59</v>
      </c>
      <c r="C15" s="185" t="s">
        <v>60</v>
      </c>
      <c r="D15" s="186">
        <f>+J15+L15+N15+P15+R15+T15+V15+X15+Z15+AB15+AD15+AF15+AH15+AJ15</f>
        <v>81177</v>
      </c>
      <c r="E15" s="187">
        <f>+AL15+AN15+AP15+AR15+AV15+AX15+AZ15+AT15</f>
        <v>2469</v>
      </c>
      <c r="F15" s="188">
        <f>+D15+E15</f>
        <v>83646</v>
      </c>
      <c r="G15" s="186">
        <f>+M15+O15+Q15+S15+U15+W15+Y15+AA15+AC15+AE15+AG15+AI15+AK15+K15</f>
        <v>190946</v>
      </c>
      <c r="H15" s="187">
        <f>+BA15+AY15+AW15+AU15+AS15+AQ15+AO15+AM15</f>
        <v>2469</v>
      </c>
      <c r="I15" s="188">
        <f>+G15+H15</f>
        <v>193415</v>
      </c>
      <c r="J15" s="186">
        <f>5082+7500+1710+242+3010+15000</f>
        <v>32544</v>
      </c>
      <c r="K15" s="186">
        <v>139713</v>
      </c>
      <c r="L15" s="186">
        <v>1600</v>
      </c>
      <c r="M15" s="186">
        <v>1600</v>
      </c>
      <c r="N15" s="186"/>
      <c r="O15" s="186"/>
      <c r="P15" s="186"/>
      <c r="Q15" s="186"/>
      <c r="R15" s="186">
        <v>7295</v>
      </c>
      <c r="S15" s="186">
        <v>7295</v>
      </c>
      <c r="T15" s="186">
        <v>4007</v>
      </c>
      <c r="U15" s="186">
        <v>4007</v>
      </c>
      <c r="V15" s="186">
        <v>1674</v>
      </c>
      <c r="W15" s="186">
        <v>1674</v>
      </c>
      <c r="X15" s="186">
        <v>1234</v>
      </c>
      <c r="Y15" s="186">
        <v>1234</v>
      </c>
      <c r="Z15" s="186">
        <f>18850+5198</f>
        <v>24048</v>
      </c>
      <c r="AA15" s="186">
        <f>18850+5198</f>
        <v>24048</v>
      </c>
      <c r="AB15" s="186">
        <v>7182</v>
      </c>
      <c r="AC15" s="186">
        <v>9782</v>
      </c>
      <c r="AD15" s="186">
        <f>295+409</f>
        <v>704</v>
      </c>
      <c r="AE15" s="186">
        <f>295+409</f>
        <v>704</v>
      </c>
      <c r="AF15" s="186">
        <f>500+135</f>
        <v>635</v>
      </c>
      <c r="AG15" s="186">
        <v>635</v>
      </c>
      <c r="AH15" s="186">
        <f>200+54</f>
        <v>254</v>
      </c>
      <c r="AI15" s="186">
        <v>254</v>
      </c>
      <c r="AJ15" s="186"/>
      <c r="AK15" s="186"/>
      <c r="AL15" s="186"/>
      <c r="AM15" s="186"/>
      <c r="AN15" s="186"/>
      <c r="AO15" s="186"/>
      <c r="AP15" s="186">
        <v>1947</v>
      </c>
      <c r="AQ15" s="186">
        <v>1947</v>
      </c>
      <c r="AR15" s="186"/>
      <c r="AS15" s="186"/>
      <c r="AT15" s="186">
        <v>522</v>
      </c>
      <c r="AU15" s="186">
        <v>522</v>
      </c>
      <c r="AV15" s="186"/>
      <c r="AW15" s="186"/>
      <c r="AX15" s="186"/>
      <c r="AY15" s="186"/>
      <c r="AZ15" s="186"/>
      <c r="BA15" s="186"/>
    </row>
    <row r="16" spans="2:53" s="191" customFormat="1" ht="12.75">
      <c r="B16" s="195" t="s">
        <v>61</v>
      </c>
      <c r="C16" s="193" t="s">
        <v>62</v>
      </c>
      <c r="D16" s="194">
        <f>SUM(D11:D15)</f>
        <v>200730</v>
      </c>
      <c r="E16" s="194">
        <f>SUM(E11:E15)</f>
        <v>9665</v>
      </c>
      <c r="F16" s="194">
        <f>SUM(F11:F15)</f>
        <v>210395</v>
      </c>
      <c r="G16" s="194">
        <f>SUM(G11:G15)</f>
        <v>331558</v>
      </c>
      <c r="H16" s="194">
        <f>SUM(H11:H15)</f>
        <v>9665</v>
      </c>
      <c r="I16" s="194">
        <f>SUM(I11:I15)</f>
        <v>341223</v>
      </c>
      <c r="J16" s="194">
        <f>SUM(J11:J15)</f>
        <v>64488</v>
      </c>
      <c r="K16" s="194">
        <f>SUM(K11:K15)</f>
        <v>183216</v>
      </c>
      <c r="L16" s="194">
        <f>SUM(L11:L15)</f>
        <v>7400</v>
      </c>
      <c r="M16" s="194">
        <f>SUM(M11:M15)</f>
        <v>7400</v>
      </c>
      <c r="N16" s="194">
        <f>SUM(N11:N15)</f>
        <v>0</v>
      </c>
      <c r="O16" s="194">
        <f>SUM(O11:O15)</f>
        <v>0</v>
      </c>
      <c r="P16" s="194">
        <f>SUM(P11:P15)</f>
        <v>0</v>
      </c>
      <c r="Q16" s="194">
        <f>SUM(Q11:Q15)</f>
        <v>0</v>
      </c>
      <c r="R16" s="194">
        <f>SUM(R11:R15)</f>
        <v>34315</v>
      </c>
      <c r="S16" s="194">
        <f>SUM(S11:S15)</f>
        <v>34315</v>
      </c>
      <c r="T16" s="194">
        <f>SUM(T11:T15)</f>
        <v>18846</v>
      </c>
      <c r="U16" s="194">
        <f>SUM(U11:U15)</f>
        <v>18846</v>
      </c>
      <c r="V16" s="194">
        <f>SUM(V11:V15)</f>
        <v>7874</v>
      </c>
      <c r="W16" s="194">
        <f>SUM(W11:W15)</f>
        <v>7874</v>
      </c>
      <c r="X16" s="194">
        <f>SUM(X11:X15)</f>
        <v>5804</v>
      </c>
      <c r="Y16" s="194">
        <f>SUM(Y11:Y15)</f>
        <v>5804</v>
      </c>
      <c r="Z16" s="194">
        <f>SUM(Z11:Z15)</f>
        <v>24448</v>
      </c>
      <c r="AA16" s="194">
        <f>SUM(AA11:AA15)</f>
        <v>24448</v>
      </c>
      <c r="AB16" s="194">
        <f>SUM(AB11:AB15)</f>
        <v>33782</v>
      </c>
      <c r="AC16" s="194">
        <f>SUM(AC11:AC15)</f>
        <v>45882</v>
      </c>
      <c r="AD16" s="194">
        <f>SUM(AD11:AD15)</f>
        <v>2884</v>
      </c>
      <c r="AE16" s="194">
        <f>SUM(AE11:AE15)</f>
        <v>2884</v>
      </c>
      <c r="AF16" s="194">
        <f>SUM(AF11:AF15)</f>
        <v>635</v>
      </c>
      <c r="AG16" s="194">
        <f>SUM(AG11:AG15)</f>
        <v>635</v>
      </c>
      <c r="AH16" s="194">
        <f>SUM(AH11:AH15)</f>
        <v>254</v>
      </c>
      <c r="AI16" s="194">
        <f>SUM(AI11:AI15)</f>
        <v>254</v>
      </c>
      <c r="AJ16" s="194">
        <f>SUM(AJ11:AJ15)</f>
        <v>0</v>
      </c>
      <c r="AK16" s="194">
        <f>SUM(AK11:AK15)</f>
        <v>0</v>
      </c>
      <c r="AL16" s="194">
        <f>SUM(AL11:AL15)</f>
        <v>0</v>
      </c>
      <c r="AM16" s="194">
        <f>SUM(AM11:AM15)</f>
        <v>0</v>
      </c>
      <c r="AN16" s="194">
        <f>SUM(AN11:AN15)</f>
        <v>0</v>
      </c>
      <c r="AO16" s="194">
        <f>SUM(AO11:AO15)</f>
        <v>0</v>
      </c>
      <c r="AP16" s="194">
        <f>SUM(AP11:AP15)</f>
        <v>7211</v>
      </c>
      <c r="AQ16" s="194">
        <f>SUM(AQ11:AQ15)</f>
        <v>7211</v>
      </c>
      <c r="AR16" s="194">
        <f>SUM(AR11:AR15)</f>
        <v>0</v>
      </c>
      <c r="AS16" s="194">
        <f>SUM(AS11:AS15)</f>
        <v>0</v>
      </c>
      <c r="AT16" s="194">
        <f>SUM(AT11:AT15)</f>
        <v>2454</v>
      </c>
      <c r="AU16" s="194">
        <f>SUM(AU11:AU15)</f>
        <v>2454</v>
      </c>
      <c r="AV16" s="194">
        <f>SUM(AV11:AV15)</f>
        <v>0</v>
      </c>
      <c r="AW16" s="194">
        <f>SUM(AW11:AW15)</f>
        <v>0</v>
      </c>
      <c r="AX16" s="194">
        <f>SUM(AX11:AX15)</f>
        <v>0</v>
      </c>
      <c r="AY16" s="194">
        <f>SUM(AY11:AY15)</f>
        <v>0</v>
      </c>
      <c r="AZ16" s="194">
        <f>SUM(AZ11:AZ15)</f>
        <v>0</v>
      </c>
      <c r="BA16" s="194">
        <f>SUM(BA11:BA15)</f>
        <v>0</v>
      </c>
    </row>
    <row r="17" spans="2:53" s="191" customFormat="1" ht="12.75">
      <c r="B17" s="200" t="s">
        <v>63</v>
      </c>
      <c r="C17" s="193" t="s">
        <v>64</v>
      </c>
      <c r="D17" s="196">
        <f>+J17+L17+N17+P17+R17+T17+V17+X17+Z17+AB17+AD17+AF17+AH17+AJ17</f>
        <v>0</v>
      </c>
      <c r="E17" s="197">
        <f>+AL17+AN17+AP17+AR17+AV17+AX17+AZ17+AT17</f>
        <v>0</v>
      </c>
      <c r="F17" s="194">
        <f>+D17+E17</f>
        <v>0</v>
      </c>
      <c r="G17" s="198">
        <f>+M17+O17+Q17+S17+U17+W17+Y17+AA17+AC17+AE17+AG17+AI17+AK17+K17</f>
        <v>0</v>
      </c>
      <c r="H17" s="199">
        <f>+BA17+AY17+AW17+AU17+AS17+AQ17+AO17+AM17</f>
        <v>0</v>
      </c>
      <c r="I17" s="194">
        <f>+G17+H17</f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</row>
    <row r="18" spans="2:53" ht="12.75">
      <c r="B18" s="201" t="s">
        <v>65</v>
      </c>
      <c r="C18" s="185" t="s">
        <v>66</v>
      </c>
      <c r="D18" s="186">
        <f>+J18+L18+N18+P18+R18+T18+V18+X18+Z18+AB18+AD18+AF18+AH18+AJ18</f>
        <v>0</v>
      </c>
      <c r="E18" s="187">
        <f>+AL18+AN18+AP18+AR18+AV18+AX18+AZ18+AT18</f>
        <v>0</v>
      </c>
      <c r="F18" s="188">
        <f>+D18+E18</f>
        <v>0</v>
      </c>
      <c r="G18" s="186">
        <f>+M18+O18+Q18+S18+U18+W18+Y18+AA18+AC18+AE18+AG18+AI18+AK18+K18</f>
        <v>0</v>
      </c>
      <c r="H18" s="187">
        <f>+BA18+AY18+AW18+AU18+AS18+AQ18+AO18+AM18</f>
        <v>0</v>
      </c>
      <c r="I18" s="188">
        <f>+G18+H18</f>
        <v>0</v>
      </c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</row>
    <row r="19" spans="2:53" ht="12.75">
      <c r="B19" s="201" t="s">
        <v>67</v>
      </c>
      <c r="C19" s="185" t="s">
        <v>68</v>
      </c>
      <c r="D19" s="186">
        <f>+J19+L19+N19+P19+R19+T19+V19+X19+Z19+AB19+AD19+AF19+AH19+AJ19</f>
        <v>12806</v>
      </c>
      <c r="E19" s="187">
        <f>+AL19+AN19+AP19+AR19+AV19+AX19+AZ19+AT19</f>
        <v>0</v>
      </c>
      <c r="F19" s="188">
        <f>+D19+E19</f>
        <v>12806</v>
      </c>
      <c r="G19" s="186">
        <f>+M19+O19+Q19+S19+U19+W19+Y19+AA19+AC19+AE19+AG19+AI19+AK19+K19</f>
        <v>33074</v>
      </c>
      <c r="H19" s="187">
        <f>+BA19+AY19+AW19+AU19+AS19+AQ19+AO19+AM19</f>
        <v>0</v>
      </c>
      <c r="I19" s="188">
        <f>+G19+H19</f>
        <v>33074</v>
      </c>
      <c r="J19" s="186">
        <f>10829+1977</f>
        <v>12806</v>
      </c>
      <c r="K19" s="186">
        <v>33074</v>
      </c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</row>
    <row r="20" spans="2:53" ht="12.75">
      <c r="B20" s="201" t="s">
        <v>572</v>
      </c>
      <c r="C20" s="185" t="s">
        <v>70</v>
      </c>
      <c r="D20" s="186">
        <f>+J20+L20+N20+P20+R20+T20+V20+X20+Z20+AB20+AD20+AF20+AH20+AJ20</f>
        <v>0</v>
      </c>
      <c r="E20" s="187">
        <f>+AL20+AN20+AP20+AR20+AV20+AX20+AZ20+AT20</f>
        <v>0</v>
      </c>
      <c r="F20" s="188">
        <f>+D20+E20</f>
        <v>0</v>
      </c>
      <c r="G20" s="186">
        <f>+M20+O20+Q20+S20+U20+W20+Y20+AA20+AC20+AE20+AG20+AI20+AK20+K20</f>
        <v>0</v>
      </c>
      <c r="H20" s="187">
        <f>+BA20+AY20+AW20+AU20+AS20+AQ20+AO20+AM20</f>
        <v>0</v>
      </c>
      <c r="I20" s="188">
        <f>+G20+H20</f>
        <v>0</v>
      </c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</row>
    <row r="21" spans="2:53" ht="12.75">
      <c r="B21" s="201" t="s">
        <v>573</v>
      </c>
      <c r="C21" s="185" t="s">
        <v>72</v>
      </c>
      <c r="D21" s="186">
        <f>+J21+L21+N21+P21+R21+T21+V21+X21+Z21+AB21+AD21+AF21+AH21+AJ21</f>
        <v>0</v>
      </c>
      <c r="E21" s="187">
        <f>+AL21+AN21+AP21+AR21+AV21+AX21+AZ21+AT21</f>
        <v>0</v>
      </c>
      <c r="F21" s="188">
        <f>+D21+E21</f>
        <v>0</v>
      </c>
      <c r="G21" s="186">
        <f>+M21+O21+Q21+S21+U21+W21+Y21+AA21+AC21+AE21+AG21+AI21+AK21+K21</f>
        <v>0</v>
      </c>
      <c r="H21" s="187">
        <f>+BA21+AY21+AW21+AU21+AS21+AQ21+AO21+AM21</f>
        <v>0</v>
      </c>
      <c r="I21" s="188">
        <f>+G21+H21</f>
        <v>0</v>
      </c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</row>
    <row r="22" spans="2:53" ht="12.75">
      <c r="B22" s="201" t="s">
        <v>574</v>
      </c>
      <c r="C22" s="185" t="s">
        <v>74</v>
      </c>
      <c r="D22" s="186">
        <f>+J22+L22+N22+P22+R22+T22+V22+X22+Z22+AB22+AD22+AF22+AH22+AJ22</f>
        <v>0</v>
      </c>
      <c r="E22" s="187">
        <f>+AL22+AN22+AP22+AR22+AV22+AX22+AZ22+AT22</f>
        <v>0</v>
      </c>
      <c r="F22" s="188">
        <f>+D22+E22</f>
        <v>0</v>
      </c>
      <c r="G22" s="186">
        <f>+M22+O22+Q22+S22+U22+W22+Y22+AA22+AC22+AE22+AG22+AI22+AK22+K22</f>
        <v>0</v>
      </c>
      <c r="H22" s="187">
        <f>+BA22+AY22+AW22+AU22+AS22+AQ22+AO22+AM22</f>
        <v>0</v>
      </c>
      <c r="I22" s="188">
        <f>+G22+H22</f>
        <v>0</v>
      </c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</row>
    <row r="23" spans="2:53" ht="12.75">
      <c r="B23" s="201" t="s">
        <v>75</v>
      </c>
      <c r="C23" s="185" t="s">
        <v>76</v>
      </c>
      <c r="D23" s="186">
        <f>+J23+L23+N23+P23+R23+T23+V23+X23+Z23+AB23+AD23+AF23+AH23+AJ23</f>
        <v>150060</v>
      </c>
      <c r="E23" s="187">
        <f>+AL23+AN23+AP23+AR23+AV23+AX23+AZ23+AT23</f>
        <v>2000</v>
      </c>
      <c r="F23" s="188">
        <f>+D23+E23</f>
        <v>152060</v>
      </c>
      <c r="G23" s="186">
        <f>+M23+O23+Q23+S23+U23+W23+Y23+AA23+AC23+AE23+AG23+AI23+AK23+K23</f>
        <v>150060</v>
      </c>
      <c r="H23" s="187">
        <f>+BA23+AY23+AW23+AU23+AS23+AQ23+AO23+AM23</f>
        <v>2000</v>
      </c>
      <c r="I23" s="188">
        <f>+G23+H23</f>
        <v>152060</v>
      </c>
      <c r="J23" s="186">
        <f>12505*12</f>
        <v>150060</v>
      </c>
      <c r="K23" s="186">
        <f>12505*12</f>
        <v>150060</v>
      </c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>
        <v>2000</v>
      </c>
      <c r="AW23" s="186">
        <v>2000</v>
      </c>
      <c r="AX23" s="186"/>
      <c r="AY23" s="186"/>
      <c r="AZ23" s="186"/>
      <c r="BA23" s="186"/>
    </row>
    <row r="24" spans="2:53" ht="12.75">
      <c r="B24" s="201" t="s">
        <v>575</v>
      </c>
      <c r="C24" s="185" t="s">
        <v>78</v>
      </c>
      <c r="D24" s="186">
        <f>+J24+L24+N24+P24+R24+T24+V24+X24+Z24+AB24+AD24+AF24+AH24+AJ24</f>
        <v>0</v>
      </c>
      <c r="E24" s="187">
        <f>+AL24+AN24+AP24+AR24+AV24+AX24+AZ24+AT24</f>
        <v>0</v>
      </c>
      <c r="F24" s="188">
        <f>+D24+E24</f>
        <v>0</v>
      </c>
      <c r="G24" s="186">
        <f>+M24+O24+Q24+S24+U24+W24+Y24+AA24+AC24+AE24+AG24+AI24+AK24+K24</f>
        <v>0</v>
      </c>
      <c r="H24" s="187">
        <f>+BA24+AY24+AW24+AU24+AS24+AQ24+AO24+AM24</f>
        <v>0</v>
      </c>
      <c r="I24" s="188">
        <f>+G24+H24</f>
        <v>0</v>
      </c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</row>
    <row r="25" spans="2:53" ht="12.75">
      <c r="B25" s="201" t="s">
        <v>576</v>
      </c>
      <c r="C25" s="185" t="s">
        <v>80</v>
      </c>
      <c r="D25" s="186">
        <f>+J25+L25+N25+P25+R25+T25+V25+X25+Z25+AB25+AD25+AF25+AH25+AJ25</f>
        <v>0</v>
      </c>
      <c r="E25" s="187">
        <f>+AL25+AN25+AP25+AR25+AV25+AX25+AZ25+AT25</f>
        <v>0</v>
      </c>
      <c r="F25" s="188">
        <f>+D25+E25</f>
        <v>0</v>
      </c>
      <c r="G25" s="186">
        <f>+M25+O25+Q25+S25+U25+W25+Y25+AA25+AC25+AE25+AG25+AI25+AK25+K25</f>
        <v>2549</v>
      </c>
      <c r="H25" s="187">
        <f>+BA25+AY25+AW25+AU25+AS25+AQ25+AO25+AM25</f>
        <v>0</v>
      </c>
      <c r="I25" s="188">
        <f>+G25+H25</f>
        <v>2549</v>
      </c>
      <c r="J25" s="186"/>
      <c r="K25" s="186">
        <v>2549</v>
      </c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</row>
    <row r="26" spans="2:53" ht="12.75">
      <c r="B26" s="201" t="s">
        <v>81</v>
      </c>
      <c r="C26" s="185" t="s">
        <v>82</v>
      </c>
      <c r="D26" s="186">
        <f>+J26+L26+N26+P26+R26+T26+V26+X26+Z26+AB26+AD26+AF26+AH26+AJ26</f>
        <v>0</v>
      </c>
      <c r="E26" s="187">
        <f>+AL26+AN26+AP26+AR26+AV26+AX26+AZ26+AT26</f>
        <v>0</v>
      </c>
      <c r="F26" s="188">
        <f>+D26+E26</f>
        <v>0</v>
      </c>
      <c r="G26" s="186">
        <f>+M26+O26+Q26+S26+U26+W26+Y26+AA26+AC26+AE26+AG26+AI26+AK26+K26</f>
        <v>0</v>
      </c>
      <c r="H26" s="187">
        <f>+BA26+AY26+AW26+AU26+AS26+AQ26+AO26+AM26</f>
        <v>0</v>
      </c>
      <c r="I26" s="188">
        <f>+G26+H26</f>
        <v>0</v>
      </c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</row>
    <row r="27" spans="2:53" ht="12.75">
      <c r="B27" s="202" t="s">
        <v>83</v>
      </c>
      <c r="C27" s="185" t="s">
        <v>84</v>
      </c>
      <c r="D27" s="186">
        <f>+J27+L27+N27+P27+R27+T27+V27+X27+Z27+AB27+AD27+AF27+AH27+AJ27</f>
        <v>0</v>
      </c>
      <c r="E27" s="187">
        <f>+AL27+AN27+AP27+AR27+AV27+AX27+AZ27+AT27</f>
        <v>0</v>
      </c>
      <c r="F27" s="188">
        <f>+D27+E27</f>
        <v>0</v>
      </c>
      <c r="G27" s="186">
        <f>+M27+O27+Q27+S27+U27+W27+Y27+AA27+AC27+AE27+AG27+AI27+AK27+K27</f>
        <v>0</v>
      </c>
      <c r="H27" s="187">
        <f>+BA27+AY27+AW27+AU27+AS27+AQ27+AO27+AM27</f>
        <v>0</v>
      </c>
      <c r="I27" s="188">
        <f>+G27+H27</f>
        <v>0</v>
      </c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</row>
    <row r="28" spans="2:53" ht="12.75">
      <c r="B28" s="201" t="s">
        <v>85</v>
      </c>
      <c r="C28" s="185" t="s">
        <v>86</v>
      </c>
      <c r="D28" s="186">
        <f>+J28+L28+N28+P28+R28+T28+V28+X28+Z28+AB28+AD28+AF28+AH28+AJ28</f>
        <v>0</v>
      </c>
      <c r="E28" s="187">
        <f>+AL28+AN28+AP28+AR28+AV28+AX28+AZ28+AT28</f>
        <v>0</v>
      </c>
      <c r="F28" s="188">
        <f>+D28+E28</f>
        <v>0</v>
      </c>
      <c r="G28" s="186">
        <f>+M28+O28+Q28+S28+U28+W28+Y28+AA28+AC28+AE28+AG28+AI28+AK28+K28</f>
        <v>0</v>
      </c>
      <c r="H28" s="187">
        <f>+BA28+AY28+AW28+AU28+AS28+AQ28+AO28+AM28</f>
        <v>0</v>
      </c>
      <c r="I28" s="188">
        <f>+G28+H28</f>
        <v>0</v>
      </c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</row>
    <row r="29" spans="2:53" ht="12.75">
      <c r="B29" s="201" t="s">
        <v>87</v>
      </c>
      <c r="C29" s="185" t="s">
        <v>88</v>
      </c>
      <c r="D29" s="186">
        <f>+J29+L29+N29+P29+R29+T29+V29+X29+Z29+AB29+AD29+AF29+AH29+AJ29</f>
        <v>10593</v>
      </c>
      <c r="E29" s="187">
        <f>+AL29+AN29+AP29+AR29+AV29+AX29+AZ29+AT29</f>
        <v>28300</v>
      </c>
      <c r="F29" s="188">
        <f>+D29+E29</f>
        <v>38893</v>
      </c>
      <c r="G29" s="186">
        <f>+M29+O29+Q29+S29+U29+W29+Y29+AA29+AC29+AE29+AG29+AI29+AK29+K29</f>
        <v>10479</v>
      </c>
      <c r="H29" s="187">
        <f>+BA29+AY29+AW29+AU29+AS29+AQ29+AO29+AM29</f>
        <v>28872</v>
      </c>
      <c r="I29" s="188">
        <f>+G29+H29</f>
        <v>39351</v>
      </c>
      <c r="J29" s="186">
        <v>8593</v>
      </c>
      <c r="K29" s="186">
        <f>+8593-114</f>
        <v>8479</v>
      </c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>
        <v>2000</v>
      </c>
      <c r="AK29" s="186">
        <v>2000</v>
      </c>
      <c r="AL29" s="186">
        <v>11000</v>
      </c>
      <c r="AM29" s="186">
        <v>11000</v>
      </c>
      <c r="AN29" s="186">
        <v>950</v>
      </c>
      <c r="AO29" s="186">
        <v>950</v>
      </c>
      <c r="AP29" s="186"/>
      <c r="AQ29" s="186"/>
      <c r="AR29" s="186">
        <v>8300</v>
      </c>
      <c r="AS29" s="186">
        <v>8300</v>
      </c>
      <c r="AT29" s="186"/>
      <c r="AU29" s="186"/>
      <c r="AV29" s="186"/>
      <c r="AW29" s="186"/>
      <c r="AX29" s="186">
        <f>2000+2000+1500+2100</f>
        <v>7600</v>
      </c>
      <c r="AY29" s="186">
        <f>2000+2000+1500+2100+372+40+160</f>
        <v>8172</v>
      </c>
      <c r="AZ29" s="186">
        <f>100+250+100</f>
        <v>450</v>
      </c>
      <c r="BA29" s="186">
        <f>100+250+100</f>
        <v>450</v>
      </c>
    </row>
    <row r="30" spans="2:53" ht="12.75">
      <c r="B30" s="202" t="s">
        <v>89</v>
      </c>
      <c r="C30" s="185" t="s">
        <v>90</v>
      </c>
      <c r="D30" s="186">
        <f>+J30+L30+N30+P30+R30+T30+V30+X30+Z30+AB30+AD30+AF30+AH30+AJ30</f>
        <v>0</v>
      </c>
      <c r="E30" s="187">
        <f>+AL30+AN30+AP30+AR30+AV30+AX30+AZ30+AT30</f>
        <v>0</v>
      </c>
      <c r="F30" s="188">
        <f>+D30+E30</f>
        <v>0</v>
      </c>
      <c r="G30" s="186">
        <f>+M30+O30+Q30+S30+U30+W30+Y30+AA30+AC30+AE30+AG30+AI30+AK30+K30</f>
        <v>0</v>
      </c>
      <c r="H30" s="187">
        <f>+BA30+AY30+AW30+AU30+AS30+AQ30+AO30+AM30</f>
        <v>0</v>
      </c>
      <c r="I30" s="188">
        <f>+G30+H30</f>
        <v>0</v>
      </c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</row>
    <row r="31" spans="2:53" ht="12.75">
      <c r="B31" s="202" t="s">
        <v>91</v>
      </c>
      <c r="C31" s="185" t="s">
        <v>90</v>
      </c>
      <c r="D31" s="186">
        <f>+J31+L31+N31+P31+R31+T31+V31+X31+Z31+AB31+AD31+AF31+AH31+AJ31</f>
        <v>0</v>
      </c>
      <c r="E31" s="187">
        <f>+AL31+AN31+AP31+AR31+AV31+AX31+AZ31+AT31</f>
        <v>0</v>
      </c>
      <c r="F31" s="188">
        <f>+D31+E31</f>
        <v>0</v>
      </c>
      <c r="G31" s="186">
        <f>+M31+O31+Q31+S31+U31+W31+Y31+AA31+AC31+AE31+AG31+AI31+AK31+K31</f>
        <v>0</v>
      </c>
      <c r="H31" s="187">
        <f>+BA31+AY31+AW31+AU31+AS31+AQ31+AO31+AM31</f>
        <v>0</v>
      </c>
      <c r="I31" s="188">
        <f>+G31+H31</f>
        <v>0</v>
      </c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</row>
    <row r="32" spans="2:53" s="191" customFormat="1" ht="15" customHeight="1">
      <c r="B32" s="200" t="s">
        <v>92</v>
      </c>
      <c r="C32" s="193" t="s">
        <v>93</v>
      </c>
      <c r="D32" s="194">
        <f>SUM(D18:D31)</f>
        <v>173459</v>
      </c>
      <c r="E32" s="194">
        <f>SUM(E18:E31)</f>
        <v>30300</v>
      </c>
      <c r="F32" s="194">
        <f>SUM(F18:F31)</f>
        <v>203759</v>
      </c>
      <c r="G32" s="194">
        <f>SUM(G18:G31)</f>
        <v>196162</v>
      </c>
      <c r="H32" s="194">
        <f>SUM(H18:H31)</f>
        <v>30872</v>
      </c>
      <c r="I32" s="194">
        <f>SUM(I18:I31)</f>
        <v>227034</v>
      </c>
      <c r="J32" s="194">
        <f>SUM(J18:J31)</f>
        <v>171459</v>
      </c>
      <c r="K32" s="194">
        <f>SUM(K18:K31)</f>
        <v>194162</v>
      </c>
      <c r="L32" s="194">
        <f>SUM(L18:L31)</f>
        <v>0</v>
      </c>
      <c r="M32" s="194">
        <f>SUM(M18:M31)</f>
        <v>0</v>
      </c>
      <c r="N32" s="194">
        <f>SUM(N18:N31)</f>
        <v>0</v>
      </c>
      <c r="O32" s="194">
        <f>SUM(O18:O31)</f>
        <v>0</v>
      </c>
      <c r="P32" s="194">
        <f>SUM(P18:P31)</f>
        <v>0</v>
      </c>
      <c r="Q32" s="194">
        <f>SUM(Q18:Q31)</f>
        <v>0</v>
      </c>
      <c r="R32" s="194">
        <f>SUM(R18:R31)</f>
        <v>0</v>
      </c>
      <c r="S32" s="194">
        <f>SUM(S18:S31)</f>
        <v>0</v>
      </c>
      <c r="T32" s="194">
        <f>SUM(T18:T31)</f>
        <v>0</v>
      </c>
      <c r="U32" s="194">
        <f>SUM(U18:U31)</f>
        <v>0</v>
      </c>
      <c r="V32" s="194">
        <f>SUM(V18:V31)</f>
        <v>0</v>
      </c>
      <c r="W32" s="194">
        <f>SUM(W18:W31)</f>
        <v>0</v>
      </c>
      <c r="X32" s="194">
        <f>SUM(X18:X31)</f>
        <v>0</v>
      </c>
      <c r="Y32" s="194">
        <f>SUM(Y18:Y31)</f>
        <v>0</v>
      </c>
      <c r="Z32" s="194">
        <f>SUM(Z18:Z31)</f>
        <v>0</v>
      </c>
      <c r="AA32" s="194">
        <f>SUM(AA18:AA31)</f>
        <v>0</v>
      </c>
      <c r="AB32" s="194">
        <f>SUM(AB18:AB31)</f>
        <v>0</v>
      </c>
      <c r="AC32" s="194">
        <f>SUM(AC18:AC31)</f>
        <v>0</v>
      </c>
      <c r="AD32" s="194">
        <f>SUM(AD18:AD31)</f>
        <v>0</v>
      </c>
      <c r="AE32" s="194">
        <f>SUM(AE18:AE31)</f>
        <v>0</v>
      </c>
      <c r="AF32" s="194">
        <f>SUM(AF18:AF31)</f>
        <v>0</v>
      </c>
      <c r="AG32" s="194">
        <f>SUM(AG18:AG31)</f>
        <v>0</v>
      </c>
      <c r="AH32" s="194">
        <f>SUM(AH18:AH31)</f>
        <v>0</v>
      </c>
      <c r="AI32" s="194">
        <f>SUM(AI18:AI31)</f>
        <v>0</v>
      </c>
      <c r="AJ32" s="194">
        <f>SUM(AJ18:AJ31)</f>
        <v>2000</v>
      </c>
      <c r="AK32" s="194">
        <f>SUM(AK18:AK31)</f>
        <v>2000</v>
      </c>
      <c r="AL32" s="194">
        <f>SUM(AL18:AL31)</f>
        <v>11000</v>
      </c>
      <c r="AM32" s="194">
        <f>SUM(AM18:AM31)</f>
        <v>11000</v>
      </c>
      <c r="AN32" s="194">
        <f>SUM(AN18:AN31)</f>
        <v>950</v>
      </c>
      <c r="AO32" s="194">
        <f>SUM(AO18:AO31)</f>
        <v>950</v>
      </c>
      <c r="AP32" s="194">
        <f>SUM(AP18:AP31)</f>
        <v>0</v>
      </c>
      <c r="AQ32" s="194">
        <f>SUM(AQ18:AQ31)</f>
        <v>0</v>
      </c>
      <c r="AR32" s="194">
        <f>SUM(AR18:AR31)</f>
        <v>8300</v>
      </c>
      <c r="AS32" s="194">
        <f>SUM(AS18:AS31)</f>
        <v>8300</v>
      </c>
      <c r="AT32" s="194">
        <f>SUM(AT18:AT31)</f>
        <v>0</v>
      </c>
      <c r="AU32" s="194">
        <f>SUM(AU18:AU31)</f>
        <v>0</v>
      </c>
      <c r="AV32" s="194">
        <f>SUM(AV18:AV31)</f>
        <v>2000</v>
      </c>
      <c r="AW32" s="194">
        <f>SUM(AW18:AW31)</f>
        <v>2000</v>
      </c>
      <c r="AX32" s="194">
        <f>SUM(AX18:AX31)</f>
        <v>7600</v>
      </c>
      <c r="AY32" s="194">
        <f>SUM(AY18:AY31)</f>
        <v>8172</v>
      </c>
      <c r="AZ32" s="194">
        <f>SUM(AZ18:AZ31)</f>
        <v>450</v>
      </c>
      <c r="BA32" s="194">
        <f>SUM(BA18:BA31)</f>
        <v>450</v>
      </c>
    </row>
    <row r="33" spans="2:53" ht="12.75">
      <c r="B33" s="203" t="s">
        <v>94</v>
      </c>
      <c r="C33" s="204" t="s">
        <v>95</v>
      </c>
      <c r="D33" s="205">
        <f>+D32+D17+D16+D10+D9</f>
        <v>402427</v>
      </c>
      <c r="E33" s="205">
        <f>+E32+E17+E16+E10+E9</f>
        <v>39965</v>
      </c>
      <c r="F33" s="205">
        <f>+F32+F17+F16+F10+F9</f>
        <v>442392</v>
      </c>
      <c r="G33" s="205">
        <f>+G32+G17+G16+G10+G9</f>
        <v>555958</v>
      </c>
      <c r="H33" s="205">
        <f>+H32+H17+H16+H10+H9</f>
        <v>40537</v>
      </c>
      <c r="I33" s="205">
        <f>+I32+I17+I16+I10+I9</f>
        <v>596495</v>
      </c>
      <c r="J33" s="205">
        <f>+J32+J17+J16+J10+J9</f>
        <v>264185</v>
      </c>
      <c r="K33" s="205">
        <f>+K32+K17+K16+K10+K9</f>
        <v>405616</v>
      </c>
      <c r="L33" s="205">
        <f>+L32+L17+L16+L10+L9</f>
        <v>7400</v>
      </c>
      <c r="M33" s="205">
        <f>+M32+M17+M16+M10+M9</f>
        <v>7400</v>
      </c>
      <c r="N33" s="205">
        <f>+N32+N17+N16+N10+N9</f>
        <v>0</v>
      </c>
      <c r="O33" s="205">
        <f>+O32+O17+O16+O10+O9</f>
        <v>0</v>
      </c>
      <c r="P33" s="205">
        <f>+P32+P17+P16+P10+P9</f>
        <v>0</v>
      </c>
      <c r="Q33" s="205">
        <f>+Q32+Q17+Q16+Q10+Q9</f>
        <v>0</v>
      </c>
      <c r="R33" s="205">
        <f>+R32+R17+R16+R10+R9</f>
        <v>34315</v>
      </c>
      <c r="S33" s="205">
        <f>+S32+S17+S16+S10+S9</f>
        <v>34315</v>
      </c>
      <c r="T33" s="205">
        <f>+T32+T17+T16+T10+T9</f>
        <v>18846</v>
      </c>
      <c r="U33" s="205">
        <f>+U32+U17+U16+U10+U9</f>
        <v>18846</v>
      </c>
      <c r="V33" s="205">
        <f>+V32+V17+V16+V10+V9</f>
        <v>7874</v>
      </c>
      <c r="W33" s="205">
        <f>+W32+W17+W16+W10+W9</f>
        <v>7874</v>
      </c>
      <c r="X33" s="205">
        <f>+X32+X17+X16+X10+X9</f>
        <v>5804</v>
      </c>
      <c r="Y33" s="205">
        <f>+Y32+Y17+Y16+Y10+Y9</f>
        <v>5804</v>
      </c>
      <c r="Z33" s="205">
        <f>+Z32+Z17+Z16+Z10+Z9</f>
        <v>24448</v>
      </c>
      <c r="AA33" s="205">
        <f>+AA32+AA17+AA16+AA10+AA9</f>
        <v>24448</v>
      </c>
      <c r="AB33" s="205">
        <f>+AB32+AB17+AB16+AB10+AB9</f>
        <v>33782</v>
      </c>
      <c r="AC33" s="205">
        <f>+AC32+AC17+AC16+AC10+AC9</f>
        <v>45882</v>
      </c>
      <c r="AD33" s="205">
        <f>+AD32+AD17+AD16+AD10+AD9</f>
        <v>2884</v>
      </c>
      <c r="AE33" s="205">
        <f>+AE32+AE17+AE16+AE10+AE9</f>
        <v>2884</v>
      </c>
      <c r="AF33" s="205">
        <f>+AF32+AF17+AF16+AF10+AF9</f>
        <v>635</v>
      </c>
      <c r="AG33" s="205">
        <f>+AG32+AG17+AG16+AG10+AG9</f>
        <v>635</v>
      </c>
      <c r="AH33" s="205">
        <f>+AH32+AH17+AH16+AH10+AH9</f>
        <v>254</v>
      </c>
      <c r="AI33" s="205">
        <f>+AI32+AI17+AI16+AI10+AI9</f>
        <v>254</v>
      </c>
      <c r="AJ33" s="205">
        <f>+AJ32+AJ17+AJ16+AJ10+AJ9</f>
        <v>2000</v>
      </c>
      <c r="AK33" s="205">
        <f>+AK32+AK17+AK16+AK10+AK9</f>
        <v>2000</v>
      </c>
      <c r="AL33" s="205">
        <f>+AL32+AL17+AL16+AL10+AL9</f>
        <v>11000</v>
      </c>
      <c r="AM33" s="205">
        <f>+AM32+AM17+AM16+AM10+AM9</f>
        <v>11000</v>
      </c>
      <c r="AN33" s="205">
        <f>+AN32+AN17+AN16+AN10+AN9</f>
        <v>950</v>
      </c>
      <c r="AO33" s="205">
        <f>+AO32+AO17+AO16+AO10+AO9</f>
        <v>950</v>
      </c>
      <c r="AP33" s="205">
        <f>+AP32+AP17+AP16+AP10+AP9</f>
        <v>7211</v>
      </c>
      <c r="AQ33" s="205">
        <f>+AQ32+AQ17+AQ16+AQ10+AQ9</f>
        <v>7211</v>
      </c>
      <c r="AR33" s="205">
        <f>+AR32+AR17+AR16+AR10+AR9</f>
        <v>8300</v>
      </c>
      <c r="AS33" s="205">
        <f>+AS32+AS17+AS16+AS10+AS9</f>
        <v>8300</v>
      </c>
      <c r="AT33" s="205">
        <f>+AT32+AT17+AT16+AT10+AT9</f>
        <v>2454</v>
      </c>
      <c r="AU33" s="205">
        <f>+AU32+AU17+AU16+AU10+AU9</f>
        <v>2454</v>
      </c>
      <c r="AV33" s="205">
        <f>+AV32+AV17+AV16+AV10+AV9</f>
        <v>2000</v>
      </c>
      <c r="AW33" s="205">
        <f>+AW32+AW17+AW16+AW10+AW9</f>
        <v>2000</v>
      </c>
      <c r="AX33" s="205">
        <f>+AX32+AX17+AX16+AX10+AX9</f>
        <v>7600</v>
      </c>
      <c r="AY33" s="205">
        <f>+AY32+AY17+AY16+AY10+AY9</f>
        <v>8172</v>
      </c>
      <c r="AZ33" s="205">
        <f>+AZ32+AZ17+AZ16+AZ10+AZ9</f>
        <v>450</v>
      </c>
      <c r="BA33" s="205">
        <f>+BA32+BA17+BA16+BA10+BA9</f>
        <v>450</v>
      </c>
    </row>
    <row r="34" spans="2:53" ht="12.75">
      <c r="B34" s="206" t="s">
        <v>96</v>
      </c>
      <c r="C34" s="185" t="s">
        <v>97</v>
      </c>
      <c r="D34" s="186">
        <f>+J34+L34+N34+P34+R34+T34+V34+X34+Z34+AB34+AD34+AF34+AH34+AJ34</f>
        <v>0</v>
      </c>
      <c r="E34" s="187">
        <f>+AL34+AN34+AP34+AR34+AV34+AX34+AZ34+AT34</f>
        <v>40</v>
      </c>
      <c r="F34" s="188">
        <f>+D34+E34</f>
        <v>40</v>
      </c>
      <c r="G34" s="186">
        <f>+M34+O34+Q34+S34+U34+W34+Y34+AA34+AC34+AE34+AG34+AI34+AK34+K34</f>
        <v>0</v>
      </c>
      <c r="H34" s="187">
        <f>+BA34+AY34+AW34+AU34+AS34+AQ34+AO34+AM34</f>
        <v>40</v>
      </c>
      <c r="I34" s="188">
        <f>+G34+H34</f>
        <v>40</v>
      </c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>
        <v>40</v>
      </c>
      <c r="AQ34" s="186">
        <v>40</v>
      </c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</row>
    <row r="35" spans="2:53" ht="12.75">
      <c r="B35" s="206" t="s">
        <v>98</v>
      </c>
      <c r="C35" s="185" t="s">
        <v>99</v>
      </c>
      <c r="D35" s="186">
        <f>+J35+L35+N35+P35+R35+T35+V35+X35+Z35+AB35+AD35+AF35+AH35+AJ35</f>
        <v>0</v>
      </c>
      <c r="E35" s="187">
        <f>+AL35+AN35+AP35+AR35+AV35+AX35+AZ35+AT35</f>
        <v>0</v>
      </c>
      <c r="F35" s="188">
        <f>+D35+E35</f>
        <v>0</v>
      </c>
      <c r="G35" s="186">
        <f>+M35+O35+Q35+S35+U35+W35+Y35+AA35+AC35+AE35+AG35+AI35+AK35+K35</f>
        <v>0</v>
      </c>
      <c r="H35" s="187">
        <f>+BA35+AY35+AW35+AU35+AS35+AQ35+AO35+AM35</f>
        <v>0</v>
      </c>
      <c r="I35" s="188">
        <f>+G35+H35</f>
        <v>0</v>
      </c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</row>
    <row r="36" spans="2:53" ht="12.75">
      <c r="B36" s="206" t="s">
        <v>100</v>
      </c>
      <c r="C36" s="185" t="s">
        <v>101</v>
      </c>
      <c r="D36" s="186">
        <f>+J36+L36+N36+P36+R36+T36+V36+X36+Z36+AB36+AD36+AF36+AH36+AJ36</f>
        <v>0</v>
      </c>
      <c r="E36" s="187">
        <f>+AL36+AN36+AP36+AR36+AV36+AX36+AZ36+AT36</f>
        <v>120</v>
      </c>
      <c r="F36" s="188">
        <f>+D36+E36</f>
        <v>120</v>
      </c>
      <c r="G36" s="186">
        <f>+M36+O36+Q36+S36+U36+W36+Y36+AA36+AC36+AE36+AG36+AI36+AK36+K36</f>
        <v>0</v>
      </c>
      <c r="H36" s="187">
        <f>+BA36+AY36+AW36+AU36+AS36+AQ36+AO36+AM36</f>
        <v>120</v>
      </c>
      <c r="I36" s="188">
        <f>+G36+H36</f>
        <v>120</v>
      </c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>
        <v>120</v>
      </c>
      <c r="AQ36" s="186">
        <v>120</v>
      </c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</row>
    <row r="37" spans="2:53" ht="12.75">
      <c r="B37" s="206" t="s">
        <v>102</v>
      </c>
      <c r="C37" s="185" t="s">
        <v>103</v>
      </c>
      <c r="D37" s="186">
        <f>+J37+L37+N37+P37+R37+T37+V37+X37+Z37+AB37+AD37+AF37+AH37+AJ37</f>
        <v>0</v>
      </c>
      <c r="E37" s="187">
        <f>+AL37+AN37+AP37+AR37+AV37+AX37+AZ37+AT37</f>
        <v>0</v>
      </c>
      <c r="F37" s="188">
        <f>+D37+E37</f>
        <v>0</v>
      </c>
      <c r="G37" s="186">
        <f>+M37+O37+Q37+S37+U37+W37+Y37+AA37+AC37+AE37+AG37+AI37+AK37+K37</f>
        <v>0</v>
      </c>
      <c r="H37" s="187">
        <f>+BA37+AY37+AW37+AU37+AS37+AQ37+AO37+AM37</f>
        <v>0</v>
      </c>
      <c r="I37" s="188">
        <f>+G37+H37</f>
        <v>0</v>
      </c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</row>
    <row r="38" spans="2:53" ht="12.75">
      <c r="B38" s="207" t="s">
        <v>104</v>
      </c>
      <c r="C38" s="185" t="s">
        <v>105</v>
      </c>
      <c r="D38" s="186">
        <f>+J38+L38+N38+P38+R38+T38+V38+X38+Z38+AB38+AD38+AF38+AH38+AJ38</f>
        <v>0</v>
      </c>
      <c r="E38" s="187">
        <f>+AL38+AN38+AP38+AR38+AV38+AX38+AZ38+AT38</f>
        <v>0</v>
      </c>
      <c r="F38" s="188">
        <f>+D38+E38</f>
        <v>0</v>
      </c>
      <c r="G38" s="186">
        <f>+M38+O38+Q38+S38+U38+W38+Y38+AA38+AC38+AE38+AG38+AI38+AK38+K38</f>
        <v>0</v>
      </c>
      <c r="H38" s="187">
        <f>+BA38+AY38+AW38+AU38+AS38+AQ38+AO38+AM38</f>
        <v>0</v>
      </c>
      <c r="I38" s="188">
        <f>+G38+H38</f>
        <v>0</v>
      </c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</row>
    <row r="39" spans="2:53" ht="12.75">
      <c r="B39" s="207" t="s">
        <v>106</v>
      </c>
      <c r="C39" s="185" t="s">
        <v>107</v>
      </c>
      <c r="D39" s="186">
        <f>+J39+L39+N39+P39+R39+T39+V39+X39+Z39+AB39+AD39+AF39+AH39+AJ39</f>
        <v>0</v>
      </c>
      <c r="E39" s="187">
        <f>+AL39+AN39+AP39+AR39+AV39+AX39+AZ39+AT39</f>
        <v>0</v>
      </c>
      <c r="F39" s="188">
        <f>+D39+E39</f>
        <v>0</v>
      </c>
      <c r="G39" s="186">
        <f>+M39+O39+Q39+S39+U39+W39+Y39+AA39+AC39+AE39+AG39+AI39+AK39+K39</f>
        <v>0</v>
      </c>
      <c r="H39" s="187">
        <f>+BA39+AY39+AW39+AU39+AS39+AQ39+AO39+AM39</f>
        <v>0</v>
      </c>
      <c r="I39" s="188">
        <f>+G39+H39</f>
        <v>0</v>
      </c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</row>
    <row r="40" spans="2:53" ht="12.75">
      <c r="B40" s="207" t="s">
        <v>108</v>
      </c>
      <c r="C40" s="185" t="s">
        <v>109</v>
      </c>
      <c r="D40" s="186">
        <f>+J40+L40+N40+P40+R40+T40+V40+X40+Z40+AB40+AD40+AF40+AH40+AJ40</f>
        <v>0</v>
      </c>
      <c r="E40" s="187">
        <f>+AL40+AN40+AP40+AR40+AV40+AX40+AZ40+AT40</f>
        <v>43</v>
      </c>
      <c r="F40" s="188">
        <f>+D40+E40</f>
        <v>43</v>
      </c>
      <c r="G40" s="186">
        <f>+M40+O40+Q40+S40+U40+W40+Y40+AA40+AC40+AE40+AG40+AI40+AK40+K40</f>
        <v>0</v>
      </c>
      <c r="H40" s="187">
        <f>+BA40+AY40+AW40+AU40+AS40+AQ40+AO40+AM40</f>
        <v>43</v>
      </c>
      <c r="I40" s="188">
        <f>+G40+H40</f>
        <v>43</v>
      </c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>
        <v>43</v>
      </c>
      <c r="AQ40" s="186">
        <v>43</v>
      </c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</row>
    <row r="41" spans="2:53" s="191" customFormat="1" ht="12.75">
      <c r="B41" s="208" t="s">
        <v>110</v>
      </c>
      <c r="C41" s="193" t="s">
        <v>111</v>
      </c>
      <c r="D41" s="194">
        <f>SUM(D34:D40)</f>
        <v>0</v>
      </c>
      <c r="E41" s="194">
        <f>SUM(E34:E40)</f>
        <v>203</v>
      </c>
      <c r="F41" s="194">
        <f>SUM(F34:F40)</f>
        <v>203</v>
      </c>
      <c r="G41" s="194">
        <f>SUM(G34:G40)</f>
        <v>0</v>
      </c>
      <c r="H41" s="194">
        <f>SUM(H34:H40)</f>
        <v>203</v>
      </c>
      <c r="I41" s="194">
        <f>SUM(I34:I40)</f>
        <v>203</v>
      </c>
      <c r="J41" s="194">
        <f>SUM(J34:J40)</f>
        <v>0</v>
      </c>
      <c r="K41" s="194">
        <f>SUM(K34:K40)</f>
        <v>0</v>
      </c>
      <c r="L41" s="194">
        <f>SUM(L34:L40)</f>
        <v>0</v>
      </c>
      <c r="M41" s="194">
        <f>SUM(M34:M40)</f>
        <v>0</v>
      </c>
      <c r="N41" s="194">
        <f>SUM(N34:N40)</f>
        <v>0</v>
      </c>
      <c r="O41" s="194">
        <f>SUM(O34:O40)</f>
        <v>0</v>
      </c>
      <c r="P41" s="194">
        <f>SUM(P34:P40)</f>
        <v>0</v>
      </c>
      <c r="Q41" s="194">
        <f>SUM(Q34:Q40)</f>
        <v>0</v>
      </c>
      <c r="R41" s="194">
        <f>SUM(R34:R40)</f>
        <v>0</v>
      </c>
      <c r="S41" s="194">
        <f>SUM(S34:S40)</f>
        <v>0</v>
      </c>
      <c r="T41" s="194">
        <f>SUM(T34:T40)</f>
        <v>0</v>
      </c>
      <c r="U41" s="194">
        <f>SUM(U34:U40)</f>
        <v>0</v>
      </c>
      <c r="V41" s="194">
        <f>SUM(V34:V40)</f>
        <v>0</v>
      </c>
      <c r="W41" s="194">
        <f>SUM(W34:W40)</f>
        <v>0</v>
      </c>
      <c r="X41" s="194">
        <f>SUM(X34:X40)</f>
        <v>0</v>
      </c>
      <c r="Y41" s="194">
        <f>SUM(Y34:Y40)</f>
        <v>0</v>
      </c>
      <c r="Z41" s="194">
        <f>SUM(Z34:Z40)</f>
        <v>0</v>
      </c>
      <c r="AA41" s="194">
        <f>SUM(AA34:AA40)</f>
        <v>0</v>
      </c>
      <c r="AB41" s="194">
        <f>SUM(AB34:AB40)</f>
        <v>0</v>
      </c>
      <c r="AC41" s="194">
        <f>SUM(AC34:AC40)</f>
        <v>0</v>
      </c>
      <c r="AD41" s="194">
        <f>SUM(AD34:AD40)</f>
        <v>0</v>
      </c>
      <c r="AE41" s="194">
        <f>SUM(AE34:AE40)</f>
        <v>0</v>
      </c>
      <c r="AF41" s="194">
        <f>SUM(AF34:AF40)</f>
        <v>0</v>
      </c>
      <c r="AG41" s="194">
        <f>SUM(AG34:AG40)</f>
        <v>0</v>
      </c>
      <c r="AH41" s="194">
        <f>SUM(AH34:AH40)</f>
        <v>0</v>
      </c>
      <c r="AI41" s="194">
        <f>SUM(AI34:AI40)</f>
        <v>0</v>
      </c>
      <c r="AJ41" s="194">
        <f>SUM(AJ34:AJ40)</f>
        <v>0</v>
      </c>
      <c r="AK41" s="194">
        <f>SUM(AK34:AK40)</f>
        <v>0</v>
      </c>
      <c r="AL41" s="194">
        <f>SUM(AL34:AL40)</f>
        <v>0</v>
      </c>
      <c r="AM41" s="194">
        <f>SUM(AM34:AM40)</f>
        <v>0</v>
      </c>
      <c r="AN41" s="194">
        <f>SUM(AN34:AN40)</f>
        <v>0</v>
      </c>
      <c r="AO41" s="194">
        <f>SUM(AO34:AO40)</f>
        <v>0</v>
      </c>
      <c r="AP41" s="194">
        <f>SUM(AP34:AP40)</f>
        <v>203</v>
      </c>
      <c r="AQ41" s="194">
        <f>SUM(AQ34:AQ40)</f>
        <v>203</v>
      </c>
      <c r="AR41" s="194">
        <f>SUM(AR34:AR40)</f>
        <v>0</v>
      </c>
      <c r="AS41" s="194">
        <f>SUM(AS34:AS40)</f>
        <v>0</v>
      </c>
      <c r="AT41" s="194">
        <f>SUM(AT34:AT40)</f>
        <v>0</v>
      </c>
      <c r="AU41" s="194">
        <f>SUM(AU34:AU40)</f>
        <v>0</v>
      </c>
      <c r="AV41" s="194">
        <f>SUM(AV34:AV40)</f>
        <v>0</v>
      </c>
      <c r="AW41" s="194">
        <f>SUM(AW34:AW40)</f>
        <v>0</v>
      </c>
      <c r="AX41" s="194">
        <f>SUM(AX34:AX40)</f>
        <v>0</v>
      </c>
      <c r="AY41" s="194">
        <f>SUM(AY34:AY40)</f>
        <v>0</v>
      </c>
      <c r="AZ41" s="194">
        <f>SUM(AZ34:AZ40)</f>
        <v>0</v>
      </c>
      <c r="BA41" s="194">
        <f>SUM(BA34:BA40)</f>
        <v>0</v>
      </c>
    </row>
    <row r="42" spans="2:53" ht="12.75">
      <c r="B42" s="209" t="s">
        <v>112</v>
      </c>
      <c r="C42" s="185" t="s">
        <v>113</v>
      </c>
      <c r="D42" s="186">
        <f>+J42+L42+N42+P42+R42+T42+V42+X42+Z42+AB42+AD42+AF42+AH42+AJ42</f>
        <v>0</v>
      </c>
      <c r="E42" s="187">
        <f>+AL42+AN42+AP42+AR42+AV42+AX42+AZ42+AT42</f>
        <v>0</v>
      </c>
      <c r="F42" s="188">
        <f>+D42+E42</f>
        <v>0</v>
      </c>
      <c r="G42" s="186">
        <f>+M42+O42+Q42+S42+U42+W42+Y42+AA42+AC42+AE42+AG42+AI42+AK42+K42</f>
        <v>0</v>
      </c>
      <c r="H42" s="187">
        <f>+BA42+AY42+AW42+AU42+AS42+AQ42+AO42+AM42</f>
        <v>0</v>
      </c>
      <c r="I42" s="188">
        <f>+G42+H42</f>
        <v>0</v>
      </c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</row>
    <row r="43" spans="2:53" ht="12.75">
      <c r="B43" s="209" t="s">
        <v>114</v>
      </c>
      <c r="C43" s="185" t="s">
        <v>115</v>
      </c>
      <c r="D43" s="186">
        <f>+J43+L43+N43+P43+R43+T43+V43+X43+Z43+AB43+AD43+AF43+AH43+AJ43</f>
        <v>0</v>
      </c>
      <c r="E43" s="187">
        <f>+AL43+AN43+AP43+AR43+AV43+AX43+AZ43+AT43</f>
        <v>0</v>
      </c>
      <c r="F43" s="188">
        <f>+D43+E43</f>
        <v>0</v>
      </c>
      <c r="G43" s="186">
        <f>+M43+O43+Q43+S43+U43+W43+Y43+AA43+AC43+AE43+AG43+AI43+AK43+K43</f>
        <v>0</v>
      </c>
      <c r="H43" s="187">
        <f>+BA43+AY43+AW43+AU43+AS43+AQ43+AO43+AM43</f>
        <v>0</v>
      </c>
      <c r="I43" s="188">
        <f>+G43+H43</f>
        <v>0</v>
      </c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</row>
    <row r="44" spans="2:53" ht="12.75">
      <c r="B44" s="209" t="s">
        <v>116</v>
      </c>
      <c r="C44" s="185" t="s">
        <v>117</v>
      </c>
      <c r="D44" s="186">
        <f>+J44+L44+N44+P44+R44+T44+V44+X44+Z44+AB44+AD44+AF44+AH44+AJ44</f>
        <v>20000</v>
      </c>
      <c r="E44" s="187">
        <f>+AL44+AN44+AP44+AR44+AV44+AX44+AZ44+AT44</f>
        <v>0</v>
      </c>
      <c r="F44" s="188">
        <f>+D44+E44</f>
        <v>20000</v>
      </c>
      <c r="G44" s="186">
        <f>+M44+O44+Q44+S44+U44+W44+Y44+AA44+AC44+AE44+AG44+AI44+AK44+K44</f>
        <v>20000</v>
      </c>
      <c r="H44" s="187">
        <f>+BA44+AY44+AW44+AU44+AS44+AQ44+AO44+AM44</f>
        <v>0</v>
      </c>
      <c r="I44" s="188">
        <f>+G44+H44</f>
        <v>20000</v>
      </c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>
        <v>20000</v>
      </c>
      <c r="Y44" s="186">
        <v>20000</v>
      </c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</row>
    <row r="45" spans="2:53" ht="12.75">
      <c r="B45" s="209" t="s">
        <v>118</v>
      </c>
      <c r="C45" s="185" t="s">
        <v>119</v>
      </c>
      <c r="D45" s="186">
        <f>+J45+L45+N45+P45+R45+T45+V45+X45+Z45+AB45+AD45+AF45+AH45+AJ45</f>
        <v>5400</v>
      </c>
      <c r="E45" s="187">
        <f>+AL45+AN45+AP45+AR45+AV45+AX45+AZ45+AT45</f>
        <v>0</v>
      </c>
      <c r="F45" s="188">
        <f>+D45+E45</f>
        <v>5400</v>
      </c>
      <c r="G45" s="186">
        <f>+M45+O45+Q45+S45+U45+W45+Y45+AA45+AC45+AE45+AG45+AI45+AK45+K45</f>
        <v>5400</v>
      </c>
      <c r="H45" s="187">
        <f>+BA45+AY45+AW45+AU45+AS45+AQ45+AO45+AM45</f>
        <v>0</v>
      </c>
      <c r="I45" s="188">
        <f>+G45+H45</f>
        <v>5400</v>
      </c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>
        <v>5400</v>
      </c>
      <c r="Y45" s="186">
        <v>5400</v>
      </c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</row>
    <row r="46" spans="2:53" s="191" customFormat="1" ht="12.75">
      <c r="B46" s="195" t="s">
        <v>120</v>
      </c>
      <c r="C46" s="193" t="s">
        <v>121</v>
      </c>
      <c r="D46" s="194">
        <f>SUM(D42:D45)</f>
        <v>25400</v>
      </c>
      <c r="E46" s="194">
        <f>SUM(E42:E45)</f>
        <v>0</v>
      </c>
      <c r="F46" s="194">
        <f>SUM(F42:F45)</f>
        <v>25400</v>
      </c>
      <c r="G46" s="194">
        <f>SUM(G42:G45)</f>
        <v>25400</v>
      </c>
      <c r="H46" s="194">
        <f>SUM(H42:H45)</f>
        <v>0</v>
      </c>
      <c r="I46" s="194">
        <f>SUM(I42:I45)</f>
        <v>25400</v>
      </c>
      <c r="J46" s="194">
        <f>SUM(J42:J45)</f>
        <v>0</v>
      </c>
      <c r="K46" s="194">
        <f>SUM(K42:K45)</f>
        <v>0</v>
      </c>
      <c r="L46" s="194">
        <f>SUM(L42:L45)</f>
        <v>0</v>
      </c>
      <c r="M46" s="194">
        <f>SUM(M42:M45)</f>
        <v>0</v>
      </c>
      <c r="N46" s="194">
        <f>SUM(N42:N45)</f>
        <v>0</v>
      </c>
      <c r="O46" s="194">
        <f>SUM(O42:O45)</f>
        <v>0</v>
      </c>
      <c r="P46" s="194">
        <f>SUM(P42:P45)</f>
        <v>0</v>
      </c>
      <c r="Q46" s="194">
        <f>SUM(Q42:Q45)</f>
        <v>0</v>
      </c>
      <c r="R46" s="194">
        <f>SUM(R42:R45)</f>
        <v>0</v>
      </c>
      <c r="S46" s="194">
        <f>SUM(S42:S45)</f>
        <v>0</v>
      </c>
      <c r="T46" s="194">
        <f>SUM(T42:T45)</f>
        <v>0</v>
      </c>
      <c r="U46" s="194">
        <f>SUM(U42:U45)</f>
        <v>0</v>
      </c>
      <c r="V46" s="194">
        <f>SUM(V42:V45)</f>
        <v>0</v>
      </c>
      <c r="W46" s="194">
        <f>SUM(W42:W45)</f>
        <v>0</v>
      </c>
      <c r="X46" s="194">
        <f>SUM(X42:X45)</f>
        <v>25400</v>
      </c>
      <c r="Y46" s="194">
        <f>SUM(Y42:Y45)</f>
        <v>25400</v>
      </c>
      <c r="Z46" s="194">
        <f>SUM(Z42:Z45)</f>
        <v>0</v>
      </c>
      <c r="AA46" s="194">
        <f>SUM(AA42:AA45)</f>
        <v>0</v>
      </c>
      <c r="AB46" s="194">
        <f>SUM(AB42:AB45)</f>
        <v>0</v>
      </c>
      <c r="AC46" s="194">
        <f>SUM(AC42:AC45)</f>
        <v>0</v>
      </c>
      <c r="AD46" s="194">
        <f>SUM(AD42:AD45)</f>
        <v>0</v>
      </c>
      <c r="AE46" s="194">
        <f>SUM(AE42:AE45)</f>
        <v>0</v>
      </c>
      <c r="AF46" s="194">
        <f>SUM(AF42:AF45)</f>
        <v>0</v>
      </c>
      <c r="AG46" s="194">
        <f>SUM(AG42:AG45)</f>
        <v>0</v>
      </c>
      <c r="AH46" s="194">
        <f>SUM(AH42:AH45)</f>
        <v>0</v>
      </c>
      <c r="AI46" s="194">
        <f>SUM(AI42:AI45)</f>
        <v>0</v>
      </c>
      <c r="AJ46" s="194">
        <f>SUM(AJ42:AJ45)</f>
        <v>0</v>
      </c>
      <c r="AK46" s="194">
        <f>SUM(AK42:AK45)</f>
        <v>0</v>
      </c>
      <c r="AL46" s="194">
        <f>SUM(AL42:AL45)</f>
        <v>0</v>
      </c>
      <c r="AM46" s="194">
        <f>SUM(AM42:AM45)</f>
        <v>0</v>
      </c>
      <c r="AN46" s="194">
        <f>SUM(AN42:AN45)</f>
        <v>0</v>
      </c>
      <c r="AO46" s="194">
        <f>SUM(AO42:AO45)</f>
        <v>0</v>
      </c>
      <c r="AP46" s="194">
        <f>SUM(AP42:AP45)</f>
        <v>0</v>
      </c>
      <c r="AQ46" s="194">
        <f>SUM(AQ42:AQ45)</f>
        <v>0</v>
      </c>
      <c r="AR46" s="194">
        <f>SUM(AR42:AR45)</f>
        <v>0</v>
      </c>
      <c r="AS46" s="194">
        <f>SUM(AS42:AS45)</f>
        <v>0</v>
      </c>
      <c r="AT46" s="194">
        <f>SUM(AT42:AT45)</f>
        <v>0</v>
      </c>
      <c r="AU46" s="194">
        <f>SUM(AU42:AU45)</f>
        <v>0</v>
      </c>
      <c r="AV46" s="194">
        <f>SUM(AV42:AV45)</f>
        <v>0</v>
      </c>
      <c r="AW46" s="194">
        <f>SUM(AW42:AW45)</f>
        <v>0</v>
      </c>
      <c r="AX46" s="194">
        <f>SUM(AX42:AX45)</f>
        <v>0</v>
      </c>
      <c r="AY46" s="194">
        <f>SUM(AY42:AY45)</f>
        <v>0</v>
      </c>
      <c r="AZ46" s="194">
        <f>SUM(AZ42:AZ45)</f>
        <v>0</v>
      </c>
      <c r="BA46" s="194">
        <f>SUM(BA42:BA45)</f>
        <v>0</v>
      </c>
    </row>
    <row r="47" spans="2:53" ht="12.75">
      <c r="B47" s="209" t="s">
        <v>577</v>
      </c>
      <c r="C47" s="185" t="s">
        <v>123</v>
      </c>
      <c r="D47" s="186">
        <f>+J47+L47+N47+P47+R47+T47+V47+X47+Z47+AB47+AD47+AF47+AH47+AJ47</f>
        <v>0</v>
      </c>
      <c r="E47" s="187">
        <f>+AL47+AN47+AP47+AR47+AV47+AX47+AZ47+AT47</f>
        <v>0</v>
      </c>
      <c r="F47" s="188">
        <f>+D47+E47</f>
        <v>0</v>
      </c>
      <c r="G47" s="186">
        <f>+M47+O47+Q47+S47+U47+W47+Y47+AA47+AC47+AE47+AG47+AI47+AK47+K47</f>
        <v>0</v>
      </c>
      <c r="H47" s="187">
        <f>+BA47+AY47+AW47+AU47+AS47+AQ47+AO47+AM47</f>
        <v>0</v>
      </c>
      <c r="I47" s="188">
        <f>+G47+H47</f>
        <v>0</v>
      </c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</row>
    <row r="48" spans="2:53" ht="12.75">
      <c r="B48" s="209" t="s">
        <v>578</v>
      </c>
      <c r="C48" s="185" t="s">
        <v>125</v>
      </c>
      <c r="D48" s="186">
        <f>+J48+L48+N48+P48+R48+T48+V48+X48+Z48+AB48+AD48+AF48+AH48+AJ48</f>
        <v>0</v>
      </c>
      <c r="E48" s="187">
        <f>+AL48+AN48+AP48+AR48+AV48+AX48+AZ48+AT48</f>
        <v>0</v>
      </c>
      <c r="F48" s="188">
        <f>+D48+E48</f>
        <v>0</v>
      </c>
      <c r="G48" s="186">
        <f>+M48+O48+Q48+S48+U48+W48+Y48+AA48+AC48+AE48+AG48+AI48+AK48+K48</f>
        <v>0</v>
      </c>
      <c r="H48" s="187">
        <f>+BA48+AY48+AW48+AU48+AS48+AQ48+AO48+AM48</f>
        <v>0</v>
      </c>
      <c r="I48" s="188">
        <f>+G48+H48</f>
        <v>0</v>
      </c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</row>
    <row r="49" spans="2:53" ht="15.75" customHeight="1">
      <c r="B49" s="209" t="s">
        <v>579</v>
      </c>
      <c r="C49" s="185" t="s">
        <v>127</v>
      </c>
      <c r="D49" s="186">
        <f>+J49+L49+N49+P49+R49+T49+V49+X49+Z49+AB49+AD49+AF49+AH49+AJ49</f>
        <v>0</v>
      </c>
      <c r="E49" s="187">
        <f>+AL49+AN49+AP49+AR49+AV49+AX49+AZ49+AT49</f>
        <v>0</v>
      </c>
      <c r="F49" s="188">
        <f>+D49+E49</f>
        <v>0</v>
      </c>
      <c r="G49" s="186">
        <f>+M49+O49+Q49+S49+U49+W49+Y49+AA49+AC49+AE49+AG49+AI49+AK49+K49</f>
        <v>0</v>
      </c>
      <c r="H49" s="187">
        <f>+BA49+AY49+AW49+AU49+AS49+AQ49+AO49+AM49</f>
        <v>0</v>
      </c>
      <c r="I49" s="188">
        <f>+G49+H49</f>
        <v>0</v>
      </c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</row>
    <row r="50" spans="2:53" ht="12.75">
      <c r="B50" s="209" t="s">
        <v>128</v>
      </c>
      <c r="C50" s="185" t="s">
        <v>129</v>
      </c>
      <c r="D50" s="186">
        <f>+J50+L50+N50+P50+R50+T50+V50+X50+Z50+AB50+AD50+AF50+AH50+AJ50</f>
        <v>59132</v>
      </c>
      <c r="E50" s="187">
        <f>+AL50+AN50+AP50+AR50+AV50+AX50+AZ50+AT50</f>
        <v>0</v>
      </c>
      <c r="F50" s="188">
        <f>+D50+E50</f>
        <v>59132</v>
      </c>
      <c r="G50" s="186">
        <f>+M50+O50+Q50+S50+U50+W50+Y50+AA50+AC50+AE50+AG50+AI50+AK50+K50</f>
        <v>59132</v>
      </c>
      <c r="H50" s="187">
        <f>+BA50+AY50+AW50+AU50+AS50+AQ50+AO50+AM50</f>
        <v>0</v>
      </c>
      <c r="I50" s="188">
        <f>+G50+H50</f>
        <v>59132</v>
      </c>
      <c r="J50" s="186">
        <f>59132</f>
        <v>59132</v>
      </c>
      <c r="K50" s="186">
        <f>59132</f>
        <v>59132</v>
      </c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</row>
    <row r="51" spans="2:53" ht="15" customHeight="1">
      <c r="B51" s="209" t="s">
        <v>580</v>
      </c>
      <c r="C51" s="185" t="s">
        <v>131</v>
      </c>
      <c r="D51" s="186">
        <f>+J51+L51+N51+P51+R51+T51+V51+X51+Z51+AB51+AD51+AF51+AH51+AJ51</f>
        <v>0</v>
      </c>
      <c r="E51" s="187">
        <f>+AL51+AN51+AP51+AR51+AV51+AX51+AZ51+AT51</f>
        <v>0</v>
      </c>
      <c r="F51" s="188">
        <f>+D51+E51</f>
        <v>0</v>
      </c>
      <c r="G51" s="186">
        <f>+M51+O51+Q51+S51+U51+W51+Y51+AA51+AC51+AE51+AG51+AI51+AK51+K51</f>
        <v>0</v>
      </c>
      <c r="H51" s="187">
        <f>+BA51+AY51+AW51+AU51+AS51+AQ51+AO51+AM51</f>
        <v>0</v>
      </c>
      <c r="I51" s="188">
        <f>+G51+H51</f>
        <v>0</v>
      </c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</row>
    <row r="52" spans="2:53" ht="12.75">
      <c r="B52" s="209" t="s">
        <v>581</v>
      </c>
      <c r="C52" s="185" t="s">
        <v>133</v>
      </c>
      <c r="D52" s="186">
        <f>+J52+L52+N52+P52+R52+T52+V52+X52+Z52+AB52+AD52+AF52+AH52+AJ52</f>
        <v>0</v>
      </c>
      <c r="E52" s="187">
        <f>+AL52+AN52+AP52+AR52+AV52+AX52+AZ52+AT52</f>
        <v>0</v>
      </c>
      <c r="F52" s="188">
        <f>+D52+E52</f>
        <v>0</v>
      </c>
      <c r="G52" s="186">
        <f>+M52+O52+Q52+S52+U52+W52+Y52+AA52+AC52+AE52+AG52+AI52+AK52+K52</f>
        <v>0</v>
      </c>
      <c r="H52" s="187">
        <f>+BA52+AY52+AW52+AU52+AS52+AQ52+AO52+AM52</f>
        <v>0</v>
      </c>
      <c r="I52" s="188">
        <f>+G52+H52</f>
        <v>0</v>
      </c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</row>
    <row r="53" spans="2:53" ht="12.75">
      <c r="B53" s="209" t="s">
        <v>134</v>
      </c>
      <c r="C53" s="185" t="s">
        <v>135</v>
      </c>
      <c r="D53" s="186">
        <f>+J53+L53+N53+P53+R53+T53+V53+X53+Z53+AB53+AD53+AF53+AH53+AJ53</f>
        <v>0</v>
      </c>
      <c r="E53" s="187">
        <f>+AL53+AN53+AP53+AR53+AV53+AX53+AZ53+AT53</f>
        <v>0</v>
      </c>
      <c r="F53" s="188">
        <f>+D53+E53</f>
        <v>0</v>
      </c>
      <c r="G53" s="186">
        <f>+M53+O53+Q53+S53+U53+W53+Y53+AA53+AC53+AE53+AG53+AI53+AK53+K53</f>
        <v>0</v>
      </c>
      <c r="H53" s="187">
        <f>+BA53+AY53+AW53+AU53+AS53+AQ53+AO53+AM53</f>
        <v>0</v>
      </c>
      <c r="I53" s="188">
        <f>+G53+H53</f>
        <v>0</v>
      </c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</row>
    <row r="54" spans="2:53" ht="12.75">
      <c r="B54" s="209" t="s">
        <v>136</v>
      </c>
      <c r="C54" s="185" t="s">
        <v>137</v>
      </c>
      <c r="D54" s="186">
        <f>+J54+L54+N54+P54+R54+T54+V54+X54+Z54+AB54+AD54+AF54+AH54+AJ54</f>
        <v>0</v>
      </c>
      <c r="E54" s="187">
        <f>+AL54+AN54+AP54+AR54+AV54+AX54+AZ54+AT54</f>
        <v>0</v>
      </c>
      <c r="F54" s="188">
        <f>+D54+E54</f>
        <v>0</v>
      </c>
      <c r="G54" s="186">
        <f>+M54+O54+Q54+S54+U54+W54+Y54+AA54+AC54+AE54+AG54+AI54+AK54+K54</f>
        <v>0</v>
      </c>
      <c r="H54" s="187">
        <f>+BA54+AY54+AW54+AU54+AS54+AQ54+AO54+AM54</f>
        <v>0</v>
      </c>
      <c r="I54" s="188">
        <f>+G54+H54</f>
        <v>0</v>
      </c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</row>
    <row r="55" spans="2:53" ht="25.5">
      <c r="B55" s="209" t="s">
        <v>138</v>
      </c>
      <c r="C55" s="185" t="s">
        <v>139</v>
      </c>
      <c r="D55" s="186">
        <f>+J55+L55+N55+P55+R55+T55+V55+X55+Z55+AB55+AD55+AF55+AH55+AJ55</f>
        <v>0</v>
      </c>
      <c r="E55" s="187">
        <f>+AL55+AN55+AP55+AR55+AV55+AX55+AZ55+AT55</f>
        <v>3000</v>
      </c>
      <c r="F55" s="188">
        <f>+D55+E55</f>
        <v>3000</v>
      </c>
      <c r="G55" s="186">
        <f>+M55+O55+Q55+S55+U55+W55+Y55+AA55+AC55+AE55+AG55+AI55+AK55+K55</f>
        <v>0</v>
      </c>
      <c r="H55" s="187">
        <f>+BA55+AY55+AW55+AU55+AS55+AQ55+AO55+AM55</f>
        <v>3000</v>
      </c>
      <c r="I55" s="188">
        <f>+G55+H55</f>
        <v>3000</v>
      </c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>
        <v>3000</v>
      </c>
      <c r="AS55" s="186">
        <v>3000</v>
      </c>
      <c r="AT55" s="186"/>
      <c r="AU55" s="186"/>
      <c r="AV55" s="186"/>
      <c r="AW55" s="186"/>
      <c r="AX55" s="186"/>
      <c r="AY55" s="186"/>
      <c r="AZ55" s="186"/>
      <c r="BA55" s="186"/>
    </row>
    <row r="56" spans="2:53" s="191" customFormat="1" ht="12.75">
      <c r="B56" s="200" t="s">
        <v>140</v>
      </c>
      <c r="C56" s="193" t="s">
        <v>141</v>
      </c>
      <c r="D56" s="194">
        <f>SUM(D47:D55)</f>
        <v>59132</v>
      </c>
      <c r="E56" s="194">
        <f>SUM(E47:E55)</f>
        <v>3000</v>
      </c>
      <c r="F56" s="194">
        <f>SUM(F47:F55)</f>
        <v>62132</v>
      </c>
      <c r="G56" s="194">
        <f>SUM(G47:G55)</f>
        <v>59132</v>
      </c>
      <c r="H56" s="194">
        <f>SUM(H47:H55)</f>
        <v>3000</v>
      </c>
      <c r="I56" s="194">
        <f>SUM(I47:I55)</f>
        <v>62132</v>
      </c>
      <c r="J56" s="194">
        <f>SUM(J47:J55)</f>
        <v>59132</v>
      </c>
      <c r="K56" s="194">
        <f>SUM(K47:K55)</f>
        <v>59132</v>
      </c>
      <c r="L56" s="194">
        <f>SUM(L47:L55)</f>
        <v>0</v>
      </c>
      <c r="M56" s="194">
        <f>SUM(M47:M55)</f>
        <v>0</v>
      </c>
      <c r="N56" s="194">
        <f>SUM(N47:N55)</f>
        <v>0</v>
      </c>
      <c r="O56" s="194">
        <f>SUM(O47:O55)</f>
        <v>0</v>
      </c>
      <c r="P56" s="194">
        <f>SUM(P47:P55)</f>
        <v>0</v>
      </c>
      <c r="Q56" s="194">
        <f>SUM(Q47:Q55)</f>
        <v>0</v>
      </c>
      <c r="R56" s="194">
        <f>SUM(R47:R55)</f>
        <v>0</v>
      </c>
      <c r="S56" s="194">
        <f>SUM(S47:S55)</f>
        <v>0</v>
      </c>
      <c r="T56" s="194">
        <f>SUM(T47:T55)</f>
        <v>0</v>
      </c>
      <c r="U56" s="194">
        <f>SUM(U47:U55)</f>
        <v>0</v>
      </c>
      <c r="V56" s="194">
        <f>SUM(V47:V55)</f>
        <v>0</v>
      </c>
      <c r="W56" s="194">
        <f>SUM(W47:W55)</f>
        <v>0</v>
      </c>
      <c r="X56" s="194">
        <f>SUM(X47:X55)</f>
        <v>0</v>
      </c>
      <c r="Y56" s="194">
        <f>SUM(Y47:Y55)</f>
        <v>0</v>
      </c>
      <c r="Z56" s="194">
        <f>SUM(Z47:Z55)</f>
        <v>0</v>
      </c>
      <c r="AA56" s="194">
        <f>SUM(AA47:AA55)</f>
        <v>0</v>
      </c>
      <c r="AB56" s="194">
        <f>SUM(AB47:AB55)</f>
        <v>0</v>
      </c>
      <c r="AC56" s="194">
        <f>SUM(AC47:AC55)</f>
        <v>0</v>
      </c>
      <c r="AD56" s="194">
        <f>SUM(AD47:AD55)</f>
        <v>0</v>
      </c>
      <c r="AE56" s="194">
        <f>SUM(AE47:AE55)</f>
        <v>0</v>
      </c>
      <c r="AF56" s="194">
        <f>SUM(AF47:AF55)</f>
        <v>0</v>
      </c>
      <c r="AG56" s="194">
        <f>SUM(AG47:AG55)</f>
        <v>0</v>
      </c>
      <c r="AH56" s="194">
        <f>SUM(AH47:AH55)</f>
        <v>0</v>
      </c>
      <c r="AI56" s="194">
        <f>SUM(AI47:AI55)</f>
        <v>0</v>
      </c>
      <c r="AJ56" s="194">
        <f>SUM(AJ47:AJ55)</f>
        <v>0</v>
      </c>
      <c r="AK56" s="194">
        <f>SUM(AK47:AK55)</f>
        <v>0</v>
      </c>
      <c r="AL56" s="194">
        <f>SUM(AL47:AL55)</f>
        <v>0</v>
      </c>
      <c r="AM56" s="194">
        <f>SUM(AM47:AM55)</f>
        <v>0</v>
      </c>
      <c r="AN56" s="194">
        <f>SUM(AN47:AN55)</f>
        <v>0</v>
      </c>
      <c r="AO56" s="194">
        <f>SUM(AO47:AO55)</f>
        <v>0</v>
      </c>
      <c r="AP56" s="194">
        <f>SUM(AP47:AP55)</f>
        <v>0</v>
      </c>
      <c r="AQ56" s="194">
        <f>SUM(AQ47:AQ55)</f>
        <v>0</v>
      </c>
      <c r="AR56" s="194">
        <f>SUM(AR47:AR55)</f>
        <v>3000</v>
      </c>
      <c r="AS56" s="194">
        <f>SUM(AS47:AS55)</f>
        <v>3000</v>
      </c>
      <c r="AT56" s="194">
        <f>SUM(AT47:AT55)</f>
        <v>0</v>
      </c>
      <c r="AU56" s="194">
        <f>SUM(AU47:AU55)</f>
        <v>0</v>
      </c>
      <c r="AV56" s="194">
        <f>SUM(AV47:AV55)</f>
        <v>0</v>
      </c>
      <c r="AW56" s="194">
        <f>SUM(AW47:AW55)</f>
        <v>0</v>
      </c>
      <c r="AX56" s="194">
        <f>SUM(AX47:AX55)</f>
        <v>0</v>
      </c>
      <c r="AY56" s="194">
        <f>SUM(AY47:AY55)</f>
        <v>0</v>
      </c>
      <c r="AZ56" s="194">
        <f>SUM(AZ47:AZ55)</f>
        <v>0</v>
      </c>
      <c r="BA56" s="194">
        <f>SUM(BA47:BA55)</f>
        <v>0</v>
      </c>
    </row>
    <row r="57" spans="2:53" ht="13.5">
      <c r="B57" s="203" t="s">
        <v>142</v>
      </c>
      <c r="C57" s="204" t="s">
        <v>143</v>
      </c>
      <c r="D57" s="205">
        <f>+D56+D46+D41</f>
        <v>84532</v>
      </c>
      <c r="E57" s="205">
        <f>+E56+E46+E41</f>
        <v>3203</v>
      </c>
      <c r="F57" s="205">
        <f>+F56+F46+F41</f>
        <v>87735</v>
      </c>
      <c r="G57" s="205">
        <f>+G56+G46+G41</f>
        <v>84532</v>
      </c>
      <c r="H57" s="205">
        <f>+H56+H46+H41</f>
        <v>3203</v>
      </c>
      <c r="I57" s="205">
        <f>+I56+I46+I41</f>
        <v>87735</v>
      </c>
      <c r="J57" s="205">
        <f>+J56+J46+J41</f>
        <v>59132</v>
      </c>
      <c r="K57" s="205">
        <f>+K56+K46+K41</f>
        <v>59132</v>
      </c>
      <c r="L57" s="205">
        <f>+L56+L46+L41</f>
        <v>0</v>
      </c>
      <c r="M57" s="205">
        <f>+M56+M46+M41</f>
        <v>0</v>
      </c>
      <c r="N57" s="205">
        <f>+N56+N46+N41</f>
        <v>0</v>
      </c>
      <c r="O57" s="205">
        <f>+O56+O46+O41</f>
        <v>0</v>
      </c>
      <c r="P57" s="205">
        <f>+P56+P46+P41</f>
        <v>0</v>
      </c>
      <c r="Q57" s="205">
        <f>+Q56+Q46+Q41</f>
        <v>0</v>
      </c>
      <c r="R57" s="205">
        <f>+R56+R46+R41</f>
        <v>0</v>
      </c>
      <c r="S57" s="205">
        <f>+S56+S46+S41</f>
        <v>0</v>
      </c>
      <c r="T57" s="205">
        <f>+T56+T46+T41</f>
        <v>0</v>
      </c>
      <c r="U57" s="205">
        <f>+U56+U46+U41</f>
        <v>0</v>
      </c>
      <c r="V57" s="205">
        <f>+V56+V46+V41</f>
        <v>0</v>
      </c>
      <c r="W57" s="205">
        <f>+W56+W46+W41</f>
        <v>0</v>
      </c>
      <c r="X57" s="205">
        <f>+X56+X46+X41</f>
        <v>25400</v>
      </c>
      <c r="Y57" s="205">
        <f>+Y56+Y46+Y41</f>
        <v>25400</v>
      </c>
      <c r="Z57" s="205">
        <f>+Z56+Z46+Z41</f>
        <v>0</v>
      </c>
      <c r="AA57" s="205">
        <f>+AA56+AA46+AA41</f>
        <v>0</v>
      </c>
      <c r="AB57" s="205">
        <f>+AB56+AB46+AB41</f>
        <v>0</v>
      </c>
      <c r="AC57" s="205">
        <f>+AC56+AC46+AC41</f>
        <v>0</v>
      </c>
      <c r="AD57" s="205">
        <f>+AD56+AD46+AD41</f>
        <v>0</v>
      </c>
      <c r="AE57" s="205">
        <f>+AE56+AE46+AE41</f>
        <v>0</v>
      </c>
      <c r="AF57" s="205">
        <f>+AF56+AF46+AF41</f>
        <v>0</v>
      </c>
      <c r="AG57" s="205">
        <f>+AG56+AG46+AG41</f>
        <v>0</v>
      </c>
      <c r="AH57" s="205">
        <f>+AH56+AH46+AH41</f>
        <v>0</v>
      </c>
      <c r="AI57" s="205">
        <f>+AI56+AI46+AI41</f>
        <v>0</v>
      </c>
      <c r="AJ57" s="205">
        <f>+AJ56+AJ46+AJ41</f>
        <v>0</v>
      </c>
      <c r="AK57" s="205">
        <f>+AK56+AK46+AK41</f>
        <v>0</v>
      </c>
      <c r="AL57" s="205">
        <f>+AL56+AL46+AL41</f>
        <v>0</v>
      </c>
      <c r="AM57" s="205">
        <f>+AM56+AM46+AM41</f>
        <v>0</v>
      </c>
      <c r="AN57" s="205">
        <f>+AN56+AN46+AN41</f>
        <v>0</v>
      </c>
      <c r="AO57" s="205">
        <f>+AO56+AO46+AO41</f>
        <v>0</v>
      </c>
      <c r="AP57" s="205">
        <f>+AP56+AP46+AP41</f>
        <v>203</v>
      </c>
      <c r="AQ57" s="205">
        <f>+AQ56+AQ46+AQ41</f>
        <v>203</v>
      </c>
      <c r="AR57" s="205">
        <f>+AR56+AR46+AR41</f>
        <v>3000</v>
      </c>
      <c r="AS57" s="205">
        <f>+AS56+AS46+AS41</f>
        <v>3000</v>
      </c>
      <c r="AT57" s="205">
        <f>+AT56+AT46+AT41</f>
        <v>0</v>
      </c>
      <c r="AU57" s="205">
        <f>+AU56+AU46+AU41</f>
        <v>0</v>
      </c>
      <c r="AV57" s="205">
        <f>+AV56+AV46+AV41</f>
        <v>0</v>
      </c>
      <c r="AW57" s="205">
        <f>+AW56+AW46+AW41</f>
        <v>0</v>
      </c>
      <c r="AX57" s="205">
        <f>+AX56+AX46+AX41</f>
        <v>0</v>
      </c>
      <c r="AY57" s="205">
        <f>+AY56+AY46+AY41</f>
        <v>0</v>
      </c>
      <c r="AZ57" s="205">
        <f>+AZ56+AZ46+AZ41</f>
        <v>0</v>
      </c>
      <c r="BA57" s="205">
        <f>+BA56+BA46+BA41</f>
        <v>0</v>
      </c>
    </row>
    <row r="58" spans="2:53" ht="12.75">
      <c r="B58" s="210" t="s">
        <v>144</v>
      </c>
      <c r="C58" s="211" t="s">
        <v>145</v>
      </c>
      <c r="D58" s="212">
        <f>+D56+D46+D41+D32+D17+D16+D10+D9</f>
        <v>486959</v>
      </c>
      <c r="E58" s="212">
        <f>+E56+E46+E41+E32+E17+E16+E10+E9</f>
        <v>43168</v>
      </c>
      <c r="F58" s="212">
        <f>+F56+F46+F41+F32+F17+F16+F10+F9</f>
        <v>530127</v>
      </c>
      <c r="G58" s="212">
        <f>+G56+G46+G41+G32+G17+G16+G10+G9</f>
        <v>640490</v>
      </c>
      <c r="H58" s="212">
        <f>+H56+H46+H41+H32+H17+H16+H10+H9</f>
        <v>43740</v>
      </c>
      <c r="I58" s="212">
        <f>+I56+I46+I41+I32+I17+I16+I10+I9</f>
        <v>684230</v>
      </c>
      <c r="J58" s="212">
        <f>+J56+J46+J41+J32+J17+J16+J10+J9</f>
        <v>323317</v>
      </c>
      <c r="K58" s="212">
        <f>+K56+K46+K41+K32+K17+K16+K10+K9</f>
        <v>464748</v>
      </c>
      <c r="L58" s="212">
        <f>+L56+L46+L41+L32+L17+L16+L10+L9</f>
        <v>7400</v>
      </c>
      <c r="M58" s="212">
        <f>+M56+M46+M41+M32+M17+M16+M10+M9</f>
        <v>7400</v>
      </c>
      <c r="N58" s="212">
        <f>+N56+N46+N41+N32+N17+N16+N10+N9</f>
        <v>0</v>
      </c>
      <c r="O58" s="212">
        <f>+O56+O46+O41+O32+O17+O16+O10+O9</f>
        <v>0</v>
      </c>
      <c r="P58" s="212">
        <f>+P56+P46+P41+P32+P17+P16+P10+P9</f>
        <v>0</v>
      </c>
      <c r="Q58" s="212">
        <f>+Q56+Q46+Q41+Q32+Q17+Q16+Q10+Q9</f>
        <v>0</v>
      </c>
      <c r="R58" s="212">
        <f>+R56+R46+R41+R32+R17+R16+R10+R9</f>
        <v>34315</v>
      </c>
      <c r="S58" s="212">
        <f>+S56+S46+S41+S32+S17+S16+S10+S9</f>
        <v>34315</v>
      </c>
      <c r="T58" s="212">
        <f>+T56+T46+T41+T32+T17+T16+T10+T9</f>
        <v>18846</v>
      </c>
      <c r="U58" s="212">
        <f>+U56+U46+U41+U32+U17+U16+U10+U9</f>
        <v>18846</v>
      </c>
      <c r="V58" s="212">
        <f>+V56+V46+V41+V32+V17+V16+V10+V9</f>
        <v>7874</v>
      </c>
      <c r="W58" s="212">
        <f>+W56+W46+W41+W32+W17+W16+W10+W9</f>
        <v>7874</v>
      </c>
      <c r="X58" s="212">
        <f>+X56+X46+X41+X32+X17+X16+X10+X9</f>
        <v>31204</v>
      </c>
      <c r="Y58" s="212">
        <f>+Y56+Y46+Y41+Y32+Y17+Y16+Y10+Y9</f>
        <v>31204</v>
      </c>
      <c r="Z58" s="212">
        <f>+Z56+Z46+Z41+Z32+Z17+Z16+Z10+Z9</f>
        <v>24448</v>
      </c>
      <c r="AA58" s="212">
        <f>+AA56+AA46+AA41+AA32+AA17+AA16+AA10+AA9</f>
        <v>24448</v>
      </c>
      <c r="AB58" s="212">
        <f>+AB56+AB46+AB41+AB32+AB17+AB16+AB10+AB9</f>
        <v>33782</v>
      </c>
      <c r="AC58" s="212">
        <f>+AC56+AC46+AC41+AC32+AC17+AC16+AC10+AC9</f>
        <v>45882</v>
      </c>
      <c r="AD58" s="212">
        <f>+AD56+AD46+AD41+AD32+AD17+AD16+AD10+AD9</f>
        <v>2884</v>
      </c>
      <c r="AE58" s="212">
        <f>+AE56+AE46+AE41+AE32+AE17+AE16+AE10+AE9</f>
        <v>2884</v>
      </c>
      <c r="AF58" s="212">
        <f>+AF56+AF46+AF41+AF32+AF17+AF16+AF10+AF9</f>
        <v>635</v>
      </c>
      <c r="AG58" s="212">
        <f>+AG56+AG46+AG41+AG32+AG17+AG16+AG10+AG9</f>
        <v>635</v>
      </c>
      <c r="AH58" s="212">
        <f>+AH56+AH46+AH41+AH32+AH17+AH16+AH10+AH9</f>
        <v>254</v>
      </c>
      <c r="AI58" s="212">
        <f>+AI56+AI46+AI41+AI32+AI17+AI16+AI10+AI9</f>
        <v>254</v>
      </c>
      <c r="AJ58" s="212">
        <f>+AJ56+AJ46+AJ41+AJ32+AJ17+AJ16+AJ10+AJ9</f>
        <v>2000</v>
      </c>
      <c r="AK58" s="212">
        <f>+AK56+AK46+AK41+AK32+AK17+AK16+AK10+AK9</f>
        <v>2000</v>
      </c>
      <c r="AL58" s="212">
        <f>+AL56+AL46+AL41+AL32+AL17+AL16+AL10+AL9</f>
        <v>11000</v>
      </c>
      <c r="AM58" s="212">
        <f>+AM56+AM46+AM41+AM32+AM17+AM16+AM10+AM9</f>
        <v>11000</v>
      </c>
      <c r="AN58" s="212">
        <f>+AN56+AN46+AN41+AN32+AN17+AN16+AN10+AN9</f>
        <v>950</v>
      </c>
      <c r="AO58" s="212">
        <f>+AO56+AO46+AO41+AO32+AO17+AO16+AO10+AO9</f>
        <v>950</v>
      </c>
      <c r="AP58" s="212">
        <f>+AP56+AP46+AP41+AP32+AP17+AP16+AP10+AP9</f>
        <v>7414</v>
      </c>
      <c r="AQ58" s="212">
        <f>+AQ56+AQ46+AQ41+AQ32+AQ17+AQ16+AQ10+AQ9</f>
        <v>7414</v>
      </c>
      <c r="AR58" s="212">
        <f>+AR56+AR46+AR41+AR32+AR17+AR16+AR10+AR9</f>
        <v>11300</v>
      </c>
      <c r="AS58" s="212">
        <f>+AS56+AS46+AS41+AS32+AS17+AS16+AS10+AS9</f>
        <v>11300</v>
      </c>
      <c r="AT58" s="212">
        <f>+AT56+AT46+AT41+AT32+AT17+AT16+AT10+AT9</f>
        <v>2454</v>
      </c>
      <c r="AU58" s="212">
        <f>+AU56+AU46+AU41+AU32+AU17+AU16+AU10+AU9</f>
        <v>2454</v>
      </c>
      <c r="AV58" s="212">
        <f>+AV56+AV46+AV41+AV32+AV17+AV16+AV10+AV9</f>
        <v>2000</v>
      </c>
      <c r="AW58" s="212">
        <f>+AW56+AW46+AW41+AW32+AW17+AW16+AW10+AW9</f>
        <v>2000</v>
      </c>
      <c r="AX58" s="212">
        <f>+AX56+AX46+AX41+AX32+AX17+AX16+AX10+AX9</f>
        <v>7600</v>
      </c>
      <c r="AY58" s="212">
        <f>+AY56+AY46+AY41+AY32+AY17+AY16+AY10+AY9</f>
        <v>8172</v>
      </c>
      <c r="AZ58" s="212">
        <f>+AZ56+AZ46+AZ41+AZ32+AZ17+AZ16+AZ10+AZ9</f>
        <v>450</v>
      </c>
      <c r="BA58" s="212">
        <f>+BA56+BA46+BA41+BA32+BA17+BA16+BA10+BA9</f>
        <v>450</v>
      </c>
    </row>
    <row r="59" spans="2:53" ht="12.75" hidden="1">
      <c r="B59" s="213" t="s">
        <v>582</v>
      </c>
      <c r="C59" s="190" t="s">
        <v>171</v>
      </c>
      <c r="D59" s="186">
        <f>+J59+L59+N59+P59+R59+T59+V59+X59+Z59+AB59+AD59+AF59+AH59+AJ59</f>
        <v>0</v>
      </c>
      <c r="E59" s="187">
        <f>+AL59+AN59+AP59+AR59+AV59+AX59+AZ59+AT59</f>
        <v>0</v>
      </c>
      <c r="F59" s="188">
        <f>+D59+E59</f>
        <v>0</v>
      </c>
      <c r="G59" s="186">
        <f>+M59+O59+Q59+S59+U59+W59+Y59+AA59+AC59+AE59+AG59+AI59+AK59+AM59</f>
        <v>0</v>
      </c>
      <c r="H59" s="187">
        <f>+AO59+AQ59+AS59+AU59+AY59+BA59+BC59+AW59</f>
        <v>0</v>
      </c>
      <c r="I59" s="188">
        <f>+G59+H59</f>
        <v>0</v>
      </c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</row>
    <row r="60" spans="2:53" ht="12.75" hidden="1">
      <c r="B60" s="213" t="s">
        <v>172</v>
      </c>
      <c r="C60" s="190" t="s">
        <v>173</v>
      </c>
      <c r="D60" s="186">
        <f>+J60+L60+N60+P60+R60+T60+V60+X60+Z60+AB60+AD60+AF60+AH60+AJ60</f>
        <v>0</v>
      </c>
      <c r="E60" s="187">
        <f>+AL60+AN60+AP60+AR60+AV60+AX60+AZ60+AT60</f>
        <v>0</v>
      </c>
      <c r="F60" s="188">
        <f>+D60+E60</f>
        <v>0</v>
      </c>
      <c r="G60" s="186">
        <f>+M60+O60+Q60+S60+U60+W60+Y60+AA60+AC60+AE60+AG60+AI60+AK60+AM60</f>
        <v>0</v>
      </c>
      <c r="H60" s="187">
        <f>+AO60+AQ60+AS60+AU60+AY60+BA60+BC60+AW60</f>
        <v>0</v>
      </c>
      <c r="I60" s="188">
        <f>+G60+H60</f>
        <v>0</v>
      </c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</row>
    <row r="61" spans="2:53" ht="12.75" hidden="1">
      <c r="B61" s="209" t="s">
        <v>174</v>
      </c>
      <c r="C61" s="190" t="s">
        <v>175</v>
      </c>
      <c r="D61" s="186">
        <f>+J61+L61+N61+P61+R61+T61+V61+X61+Z61+AB61+AD61+AF61+AH61+AJ61</f>
        <v>0</v>
      </c>
      <c r="E61" s="187">
        <f>+AL61+AN61+AP61+AR61+AV61+AX61+AZ61+AT61</f>
        <v>0</v>
      </c>
      <c r="F61" s="188">
        <f>+D61+E61</f>
        <v>0</v>
      </c>
      <c r="G61" s="186">
        <f>+M61+O61+Q61+S61+U61+W61+Y61+AA61+AC61+AE61+AG61+AI61+AK61+AM61</f>
        <v>0</v>
      </c>
      <c r="H61" s="187">
        <f>+AO61+AQ61+AS61+AU61+AY61+BA61+BC61+AW61</f>
        <v>0</v>
      </c>
      <c r="I61" s="188">
        <f>+G61+H61</f>
        <v>0</v>
      </c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</row>
    <row r="62" spans="2:53" ht="12.75" hidden="1">
      <c r="B62" s="209" t="s">
        <v>176</v>
      </c>
      <c r="C62" s="190" t="s">
        <v>177</v>
      </c>
      <c r="D62" s="186">
        <f>+J62+L62+N62+P62+R62+T62+V62+X62+Z62+AB62+AD62+AF62+AH62+AJ62</f>
        <v>0</v>
      </c>
      <c r="E62" s="187">
        <f>+AL62+AN62+AP62+AR62+AV62+AX62+AZ62+AT62</f>
        <v>0</v>
      </c>
      <c r="F62" s="188">
        <f>+D62+E62</f>
        <v>0</v>
      </c>
      <c r="G62" s="186">
        <f>+M62+O62+Q62+S62+U62+W62+Y62+AA62+AC62+AE62+AG62+AI62+AK62+AM62</f>
        <v>0</v>
      </c>
      <c r="H62" s="187">
        <f>+AO62+AQ62+AS62+AU62+AY62+BA62+BC62+AW62</f>
        <v>0</v>
      </c>
      <c r="I62" s="188">
        <f>+G62+H62</f>
        <v>0</v>
      </c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</row>
    <row r="63" spans="2:53" ht="12.75">
      <c r="B63" s="216" t="s">
        <v>178</v>
      </c>
      <c r="C63" s="217" t="s">
        <v>179</v>
      </c>
      <c r="D63" s="218">
        <f>+D61+D60+D59+D62</f>
        <v>0</v>
      </c>
      <c r="E63" s="218">
        <f>+E61+E60+E59+E62</f>
        <v>0</v>
      </c>
      <c r="F63" s="218">
        <f>+F61+F60+F59+F62</f>
        <v>0</v>
      </c>
      <c r="G63" s="218">
        <f>+G61+G60+G59+G62</f>
        <v>0</v>
      </c>
      <c r="H63" s="218">
        <f>+H61+H60+H59+H62</f>
        <v>0</v>
      </c>
      <c r="I63" s="218">
        <f>+I61+I60+I59+I62</f>
        <v>0</v>
      </c>
      <c r="J63" s="218">
        <f>+J61+J60+J59</f>
        <v>0</v>
      </c>
      <c r="K63" s="218">
        <f>+K61+K60+K59</f>
        <v>0</v>
      </c>
      <c r="L63" s="218">
        <f>+L61+L60+L59</f>
        <v>0</v>
      </c>
      <c r="M63" s="218">
        <f>+M61+M60+M59</f>
        <v>0</v>
      </c>
      <c r="N63" s="218">
        <f>+N61+N60+N59</f>
        <v>0</v>
      </c>
      <c r="O63" s="218">
        <f>+O61+O60+O59</f>
        <v>0</v>
      </c>
      <c r="P63" s="218">
        <f>+P61+P60+P59</f>
        <v>0</v>
      </c>
      <c r="Q63" s="218">
        <f>+Q61+Q60+Q59</f>
        <v>0</v>
      </c>
      <c r="R63" s="218">
        <f>+R61+R60+R59</f>
        <v>0</v>
      </c>
      <c r="S63" s="218">
        <f>+S61+S60+S59</f>
        <v>0</v>
      </c>
      <c r="T63" s="218">
        <f>+T61+T60+T59</f>
        <v>0</v>
      </c>
      <c r="U63" s="218">
        <f>+U61+U60+U59</f>
        <v>0</v>
      </c>
      <c r="V63" s="218">
        <f>+V61+V60+V59</f>
        <v>0</v>
      </c>
      <c r="W63" s="218">
        <f>+W61+W60+W59</f>
        <v>0</v>
      </c>
      <c r="X63" s="218">
        <f>+X61+X60+X59</f>
        <v>0</v>
      </c>
      <c r="Y63" s="218">
        <f>+Y61+Y60+Y59</f>
        <v>0</v>
      </c>
      <c r="Z63" s="218">
        <f>+Z61+Z60+Z59</f>
        <v>0</v>
      </c>
      <c r="AA63" s="218">
        <f>+AA61+AA60+AA59</f>
        <v>0</v>
      </c>
      <c r="AB63" s="218">
        <f>+AB61+AB60+AB59</f>
        <v>0</v>
      </c>
      <c r="AC63" s="218">
        <f>+AC61+AC60+AC59</f>
        <v>0</v>
      </c>
      <c r="AD63" s="218">
        <f>+AD61+AD60+AD59</f>
        <v>0</v>
      </c>
      <c r="AE63" s="218">
        <f>+AE61+AE60+AE59</f>
        <v>0</v>
      </c>
      <c r="AF63" s="218">
        <f>+AF61+AF60+AF59</f>
        <v>0</v>
      </c>
      <c r="AG63" s="218">
        <f>+AG61+AG60+AG59</f>
        <v>0</v>
      </c>
      <c r="AH63" s="218">
        <f>+AH61+AH60+AH59</f>
        <v>0</v>
      </c>
      <c r="AI63" s="218">
        <f>+AI61+AI60+AI59</f>
        <v>0</v>
      </c>
      <c r="AJ63" s="218">
        <f>+AJ61+AJ60+AJ59</f>
        <v>0</v>
      </c>
      <c r="AK63" s="218">
        <f>+AK61+AK60+AK59</f>
        <v>0</v>
      </c>
      <c r="AL63" s="218">
        <f>+AL61+AL60+AL59</f>
        <v>0</v>
      </c>
      <c r="AM63" s="218">
        <f>+AM61+AM60+AM59</f>
        <v>0</v>
      </c>
      <c r="AN63" s="218">
        <f>+AN61+AN60+AN59</f>
        <v>0</v>
      </c>
      <c r="AO63" s="218">
        <f>+AO61+AO60+AO59</f>
        <v>0</v>
      </c>
      <c r="AP63" s="218">
        <f>+AP61+AP60+AP59</f>
        <v>0</v>
      </c>
      <c r="AQ63" s="218">
        <f>+AQ61+AQ60+AQ59</f>
        <v>0</v>
      </c>
      <c r="AR63" s="218">
        <f>+AR61+AR60+AR59</f>
        <v>0</v>
      </c>
      <c r="AS63" s="218">
        <f>+AS61+AS60+AS59</f>
        <v>0</v>
      </c>
      <c r="AT63" s="218">
        <f>+AT61+AT60+AT59</f>
        <v>0</v>
      </c>
      <c r="AU63" s="218">
        <f>+AU61+AU60+AU59</f>
        <v>0</v>
      </c>
      <c r="AV63" s="218">
        <f>+AV61+AV60+AV59</f>
        <v>0</v>
      </c>
      <c r="AW63" s="218">
        <f>+AW61+AW60+AW59</f>
        <v>0</v>
      </c>
      <c r="AX63" s="218">
        <f>+AX61+AX60+AX59</f>
        <v>0</v>
      </c>
      <c r="AY63" s="218">
        <f>+AY61+AY60+AY59</f>
        <v>0</v>
      </c>
      <c r="AZ63" s="218">
        <f>+AZ61+AZ60+AZ59</f>
        <v>0</v>
      </c>
      <c r="BA63" s="218">
        <f>+BA61+BA60+BA59</f>
        <v>0</v>
      </c>
    </row>
    <row r="64" spans="2:53" ht="12.75">
      <c r="B64" s="219" t="s">
        <v>180</v>
      </c>
      <c r="C64" s="219" t="s">
        <v>181</v>
      </c>
      <c r="D64" s="220">
        <f>+D58+D63</f>
        <v>486959</v>
      </c>
      <c r="E64" s="220">
        <f>+E58+E63</f>
        <v>43168</v>
      </c>
      <c r="F64" s="220">
        <f>+F58+F63</f>
        <v>530127</v>
      </c>
      <c r="G64" s="220">
        <f>+G58+G63</f>
        <v>640490</v>
      </c>
      <c r="H64" s="220">
        <f>+H58+H63</f>
        <v>43740</v>
      </c>
      <c r="I64" s="220">
        <f>+I58+I63</f>
        <v>684230</v>
      </c>
      <c r="J64" s="220">
        <f>+J58+J63</f>
        <v>323317</v>
      </c>
      <c r="K64" s="220">
        <f>+K58+K63</f>
        <v>464748</v>
      </c>
      <c r="L64" s="220">
        <f>+L58+L63</f>
        <v>7400</v>
      </c>
      <c r="M64" s="220">
        <f>+M58+M63</f>
        <v>7400</v>
      </c>
      <c r="N64" s="220">
        <f>+N58+N63</f>
        <v>0</v>
      </c>
      <c r="O64" s="220">
        <f>+O58+O63</f>
        <v>0</v>
      </c>
      <c r="P64" s="220">
        <f>+P58+P63</f>
        <v>0</v>
      </c>
      <c r="Q64" s="220">
        <f>+Q58+Q63</f>
        <v>0</v>
      </c>
      <c r="R64" s="220">
        <f>+R58+R63</f>
        <v>34315</v>
      </c>
      <c r="S64" s="220">
        <f>+S58+S63</f>
        <v>34315</v>
      </c>
      <c r="T64" s="220">
        <f>+T58+T63</f>
        <v>18846</v>
      </c>
      <c r="U64" s="220">
        <f>+U58+U63</f>
        <v>18846</v>
      </c>
      <c r="V64" s="220">
        <f>+V58+V63</f>
        <v>7874</v>
      </c>
      <c r="W64" s="220">
        <f>+W58+W63</f>
        <v>7874</v>
      </c>
      <c r="X64" s="220">
        <f>+X58+X63</f>
        <v>31204</v>
      </c>
      <c r="Y64" s="220">
        <f>+Y58+Y63</f>
        <v>31204</v>
      </c>
      <c r="Z64" s="220">
        <f>+Z58+Z63</f>
        <v>24448</v>
      </c>
      <c r="AA64" s="220">
        <f>+AA58+AA63</f>
        <v>24448</v>
      </c>
      <c r="AB64" s="220">
        <f>+AB58+AB63</f>
        <v>33782</v>
      </c>
      <c r="AC64" s="220">
        <f>+AC58+AC63</f>
        <v>45882</v>
      </c>
      <c r="AD64" s="220">
        <f>+AD58+AD63</f>
        <v>2884</v>
      </c>
      <c r="AE64" s="220">
        <f>+AE58+AE63</f>
        <v>2884</v>
      </c>
      <c r="AF64" s="220">
        <f>+AF58+AF63</f>
        <v>635</v>
      </c>
      <c r="AG64" s="220">
        <f>+AG58+AG63</f>
        <v>635</v>
      </c>
      <c r="AH64" s="220">
        <f>+AH58+AH63</f>
        <v>254</v>
      </c>
      <c r="AI64" s="220">
        <f>+AI58+AI63</f>
        <v>254</v>
      </c>
      <c r="AJ64" s="220">
        <f>+AJ58+AJ63</f>
        <v>2000</v>
      </c>
      <c r="AK64" s="220">
        <f>+AK58+AK63</f>
        <v>2000</v>
      </c>
      <c r="AL64" s="220">
        <f>+AL58+AL63</f>
        <v>11000</v>
      </c>
      <c r="AM64" s="220">
        <f>+AM58+AM63</f>
        <v>11000</v>
      </c>
      <c r="AN64" s="220">
        <f>+AN58+AN63</f>
        <v>950</v>
      </c>
      <c r="AO64" s="220">
        <f>+AO58+AO63</f>
        <v>950</v>
      </c>
      <c r="AP64" s="220">
        <f>+AP58+AP63</f>
        <v>7414</v>
      </c>
      <c r="AQ64" s="220">
        <f>+AQ58+AQ63</f>
        <v>7414</v>
      </c>
      <c r="AR64" s="220">
        <f>+AR58+AR63</f>
        <v>11300</v>
      </c>
      <c r="AS64" s="220">
        <f>+AS58+AS63</f>
        <v>11300</v>
      </c>
      <c r="AT64" s="220">
        <f>+AT58+AT63</f>
        <v>2454</v>
      </c>
      <c r="AU64" s="220">
        <f>+AU58+AU63</f>
        <v>2454</v>
      </c>
      <c r="AV64" s="220">
        <f>+AV58+AV63</f>
        <v>2000</v>
      </c>
      <c r="AW64" s="220">
        <f>+AW58+AW63</f>
        <v>2000</v>
      </c>
      <c r="AX64" s="220">
        <f>+AX58+AX63</f>
        <v>7600</v>
      </c>
      <c r="AY64" s="220">
        <f>+AY58+AY63</f>
        <v>8172</v>
      </c>
      <c r="AZ64" s="220">
        <f>+AZ58+AZ63</f>
        <v>450</v>
      </c>
      <c r="BA64" s="220">
        <f>+BA58+BA63</f>
        <v>450</v>
      </c>
    </row>
    <row r="65" spans="2:53" s="221" customFormat="1" ht="12.75">
      <c r="B65" s="222"/>
      <c r="C65" s="222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</row>
    <row r="66" spans="2:54" s="175" customFormat="1" ht="13.5" customHeight="1">
      <c r="B66" s="224"/>
      <c r="R66" s="225"/>
      <c r="S66" s="225"/>
      <c r="T66" s="225"/>
      <c r="U66" s="225"/>
      <c r="V66" s="225"/>
      <c r="W66" s="225"/>
      <c r="Z66" s="225"/>
      <c r="AA66" s="225"/>
      <c r="AB66" s="225"/>
      <c r="AC66" s="225"/>
      <c r="AD66" s="225"/>
      <c r="AE66" s="225"/>
      <c r="AH66" s="225"/>
      <c r="AI66" s="225"/>
      <c r="AJ66" s="225"/>
      <c r="AK66" s="225"/>
      <c r="BB66" s="226"/>
    </row>
    <row r="67" spans="2:53" s="182" customFormat="1" ht="96.75" customHeight="1">
      <c r="B67" s="163" t="s">
        <v>15</v>
      </c>
      <c r="C67" s="164" t="s">
        <v>42</v>
      </c>
      <c r="D67" s="183" t="s">
        <v>547</v>
      </c>
      <c r="E67" s="183" t="s">
        <v>548</v>
      </c>
      <c r="F67" s="164" t="s">
        <v>549</v>
      </c>
      <c r="G67" s="183" t="s">
        <v>547</v>
      </c>
      <c r="H67" s="183" t="s">
        <v>548</v>
      </c>
      <c r="I67" s="164" t="s">
        <v>549</v>
      </c>
      <c r="J67" s="183" t="s">
        <v>550</v>
      </c>
      <c r="K67" s="183"/>
      <c r="L67" s="183" t="s">
        <v>551</v>
      </c>
      <c r="M67" s="183"/>
      <c r="N67" s="183" t="s">
        <v>552</v>
      </c>
      <c r="O67" s="183"/>
      <c r="P67" s="183" t="s">
        <v>553</v>
      </c>
      <c r="Q67" s="183"/>
      <c r="R67" s="183" t="s">
        <v>554</v>
      </c>
      <c r="S67" s="183"/>
      <c r="T67" s="183" t="s">
        <v>555</v>
      </c>
      <c r="U67" s="183"/>
      <c r="V67" s="183" t="s">
        <v>583</v>
      </c>
      <c r="W67" s="183"/>
      <c r="X67" s="183" t="s">
        <v>557</v>
      </c>
      <c r="Y67" s="183"/>
      <c r="Z67" s="183" t="s">
        <v>558</v>
      </c>
      <c r="AA67" s="183"/>
      <c r="AB67" s="183" t="s">
        <v>559</v>
      </c>
      <c r="AC67" s="183"/>
      <c r="AD67" s="183" t="s">
        <v>560</v>
      </c>
      <c r="AE67" s="183"/>
      <c r="AF67" s="183" t="s">
        <v>561</v>
      </c>
      <c r="AG67" s="183"/>
      <c r="AH67" s="183" t="s">
        <v>562</v>
      </c>
      <c r="AI67" s="183"/>
      <c r="AJ67" s="183" t="s">
        <v>563</v>
      </c>
      <c r="AK67" s="183"/>
      <c r="AL67" s="183" t="s">
        <v>564</v>
      </c>
      <c r="AM67" s="183"/>
      <c r="AN67" s="183" t="s">
        <v>565</v>
      </c>
      <c r="AO67" s="183"/>
      <c r="AP67" s="183" t="s">
        <v>566</v>
      </c>
      <c r="AQ67" s="183"/>
      <c r="AR67" s="183" t="s">
        <v>567</v>
      </c>
      <c r="AS67" s="183"/>
      <c r="AT67" s="183" t="s">
        <v>568</v>
      </c>
      <c r="AU67" s="183"/>
      <c r="AV67" s="183" t="s">
        <v>569</v>
      </c>
      <c r="AW67" s="183"/>
      <c r="AX67" s="183" t="s">
        <v>570</v>
      </c>
      <c r="AY67" s="183"/>
      <c r="AZ67" s="183" t="s">
        <v>571</v>
      </c>
      <c r="BA67" s="183"/>
    </row>
    <row r="68" spans="2:53" s="227" customFormat="1" ht="12.75">
      <c r="B68" s="190" t="s">
        <v>584</v>
      </c>
      <c r="C68" s="207" t="s">
        <v>196</v>
      </c>
      <c r="D68" s="228">
        <f>+J68+L68+N68+P68+R68+T68+V68+X68+Z68+AB68+AD68+AF68+AH68+AJ68</f>
        <v>0</v>
      </c>
      <c r="E68" s="187">
        <f>+AL68+AN68+AP68+AR68+AV68+AX68+AZ68+AT68</f>
        <v>0</v>
      </c>
      <c r="F68" s="188">
        <f>+E68+D68</f>
        <v>0</v>
      </c>
      <c r="G68" s="186">
        <f>+M68+O68+Q68+S68+U68+W68+Y68+AA68+AC68+AE68+AG68+AI68+AK68+K68</f>
        <v>0</v>
      </c>
      <c r="H68" s="187">
        <f>+BA68+AY68+AW68+AU68+AS68+AQ68+AO68+AM68</f>
        <v>0</v>
      </c>
      <c r="I68" s="188">
        <f>+H68+G68</f>
        <v>0</v>
      </c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</row>
    <row r="69" spans="2:53" ht="12.75">
      <c r="B69" s="190" t="s">
        <v>197</v>
      </c>
      <c r="C69" s="207" t="s">
        <v>198</v>
      </c>
      <c r="D69" s="186">
        <f>+J69+L69+N69+P69+R69+T69+V69+X69+Z69+AB69+AD69+AF69+AH69+AJ69</f>
        <v>0</v>
      </c>
      <c r="E69" s="187">
        <f>+AL69+AN69+AP69+AR69+AV69+AX69+AZ69+AT69</f>
        <v>0</v>
      </c>
      <c r="F69" s="188">
        <f>+E69+D69</f>
        <v>0</v>
      </c>
      <c r="G69" s="186">
        <f>+M69+O69+Q69+S69+U69+W69+Y69+AA69+AC69+AE69+AG69+AI69+AK69+K69</f>
        <v>0</v>
      </c>
      <c r="H69" s="187">
        <f>+BA69+AY69+AW69+AU69+AS69+AQ69+AO69+AM69</f>
        <v>0</v>
      </c>
      <c r="I69" s="188">
        <f>+H69+G69</f>
        <v>0</v>
      </c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</row>
    <row r="70" spans="2:53" ht="27.75" customHeight="1">
      <c r="B70" s="190" t="s">
        <v>199</v>
      </c>
      <c r="C70" s="207" t="s">
        <v>200</v>
      </c>
      <c r="D70" s="186">
        <f>+J70+L70+N70+P70+R70+T70+V70+X70+Z70+AB70+AD70+AF70+AH70+AJ70</f>
        <v>0</v>
      </c>
      <c r="E70" s="187">
        <f>+AL70+AN70+AP70+AR70+AV70+AX70+AZ70+AT70</f>
        <v>0</v>
      </c>
      <c r="F70" s="188">
        <f>+E70+D70</f>
        <v>0</v>
      </c>
      <c r="G70" s="186">
        <f>+M70+O70+Q70+S70+U70+W70+Y70+AA70+AC70+AE70+AG70+AI70+AK70+K70</f>
        <v>0</v>
      </c>
      <c r="H70" s="187">
        <f>+BA70+AY70+AW70+AU70+AS70+AQ70+AO70+AM70</f>
        <v>0</v>
      </c>
      <c r="I70" s="188">
        <f>+H70+G70</f>
        <v>0</v>
      </c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</row>
    <row r="71" spans="2:53" ht="27.75" customHeight="1">
      <c r="B71" s="190" t="s">
        <v>201</v>
      </c>
      <c r="C71" s="207" t="s">
        <v>202</v>
      </c>
      <c r="D71" s="186">
        <f>+J71+L71+N71+P71+R71+T71+V71+X71+Z71+AB71+AD71+AF71+AH71+AJ71</f>
        <v>0</v>
      </c>
      <c r="E71" s="187">
        <f>+AL71+AN71+AP71+AR71+AV71+AX71+AZ71+AT71</f>
        <v>0</v>
      </c>
      <c r="F71" s="188">
        <f>+E71+D71</f>
        <v>0</v>
      </c>
      <c r="G71" s="186">
        <f>+M71+O71+Q71+S71+U71+W71+Y71+AA71+AC71+AE71+AG71+AI71+AK71+K71</f>
        <v>0</v>
      </c>
      <c r="H71" s="187">
        <f>+BA71+AY71+AW71+AU71+AS71+AQ71+AO71+AM71</f>
        <v>0</v>
      </c>
      <c r="I71" s="188">
        <f>+H71+G71</f>
        <v>0</v>
      </c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</row>
    <row r="72" spans="2:53" ht="26.25" customHeight="1">
      <c r="B72" s="190" t="s">
        <v>203</v>
      </c>
      <c r="C72" s="207" t="s">
        <v>204</v>
      </c>
      <c r="D72" s="186">
        <f>+J72+L72+N72+P72+R72+T72+V72+X72+Z72+AB72+AD72+AF72+AH72+AJ72</f>
        <v>0</v>
      </c>
      <c r="E72" s="187">
        <f>+AL72+AN72+AP72+AR72+AV72+AX72+AZ72+AT72</f>
        <v>0</v>
      </c>
      <c r="F72" s="188">
        <f>+E72+D72</f>
        <v>0</v>
      </c>
      <c r="G72" s="186">
        <f>+M72+O72+Q72+S72+U72+W72+Y72+AA72+AC72+AE72+AG72+AI72+AK72+K72</f>
        <v>0</v>
      </c>
      <c r="H72" s="187">
        <f>+BA72+AY72+AW72+AU72+AS72+AQ72+AO72+AM72</f>
        <v>0</v>
      </c>
      <c r="I72" s="188">
        <f>+H72+G72</f>
        <v>0</v>
      </c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</row>
    <row r="73" spans="2:53" ht="12.75">
      <c r="B73" s="190" t="s">
        <v>205</v>
      </c>
      <c r="C73" s="207" t="s">
        <v>206</v>
      </c>
      <c r="D73" s="186">
        <f>+J73+L73+N73+P73+R73+T73+V73+X73+Z73+AB73+AD73+AF73+AH73+AJ73</f>
        <v>0</v>
      </c>
      <c r="E73" s="187">
        <f>+AL73+AN73+AP73+AR73+AV73+AX73+AZ73+AT73</f>
        <v>7043</v>
      </c>
      <c r="F73" s="188">
        <f>+E73+D73</f>
        <v>7043</v>
      </c>
      <c r="G73" s="186">
        <f>+M73+O73+Q73+S73+U73+W73+Y73+AA73+AC73+AE73+AG73+AI73+AK73+K73</f>
        <v>0</v>
      </c>
      <c r="H73" s="187">
        <f>+BA73+AY73+AW73+AU73+AS73+AQ73+AO73+AM73</f>
        <v>7043</v>
      </c>
      <c r="I73" s="188">
        <f>+H73+G73</f>
        <v>7043</v>
      </c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>
        <v>7043</v>
      </c>
      <c r="AQ73" s="186">
        <v>7043</v>
      </c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</row>
    <row r="74" spans="2:53" s="191" customFormat="1" ht="12.75">
      <c r="B74" s="195" t="s">
        <v>207</v>
      </c>
      <c r="C74" s="208" t="s">
        <v>208</v>
      </c>
      <c r="D74" s="194">
        <f>+D73+D72+D71+D70+D69+D68</f>
        <v>0</v>
      </c>
      <c r="E74" s="229">
        <f>+AL74+AN74+AP74+AR74+AV74+AX74+AZ74+AT74</f>
        <v>7043</v>
      </c>
      <c r="F74" s="194">
        <f>+F73+F72+F71+F70+F69+F68</f>
        <v>7043</v>
      </c>
      <c r="G74" s="194">
        <f>+G73+G72+G71+G70+G69+G68</f>
        <v>0</v>
      </c>
      <c r="H74" s="229">
        <f>+AO74+AQ74+AS74+AU74+AY74+BA74+BC74+AW74</f>
        <v>7043</v>
      </c>
      <c r="I74" s="194">
        <f>+I73+I72+I71+I70+I69+I68</f>
        <v>7043</v>
      </c>
      <c r="J74" s="194">
        <f>+J73+J72+J71+J70+J69+J68</f>
        <v>0</v>
      </c>
      <c r="K74" s="194">
        <f>+K73+K72+K71+K70+K69+K68</f>
        <v>0</v>
      </c>
      <c r="L74" s="194">
        <f>+L73+L72+L71+L70+L69+L68</f>
        <v>0</v>
      </c>
      <c r="M74" s="194">
        <f>+M73+M72+M71+M70+M69+M68</f>
        <v>0</v>
      </c>
      <c r="N74" s="194">
        <f>+N73+N72+N71+N70+N69+N68</f>
        <v>0</v>
      </c>
      <c r="O74" s="194">
        <f>+O73+O72+O71+O70+O69+O68</f>
        <v>0</v>
      </c>
      <c r="P74" s="194">
        <f>+P73+P72+P71+P70+P69+P68</f>
        <v>0</v>
      </c>
      <c r="Q74" s="194">
        <f>+Q73+Q72+Q71+Q70+Q69+Q68</f>
        <v>0</v>
      </c>
      <c r="R74" s="194">
        <f>+R73+R72+R71+R70+R69+R68</f>
        <v>0</v>
      </c>
      <c r="S74" s="194">
        <f>+S73+S72+S71+S70+S69+S68</f>
        <v>0</v>
      </c>
      <c r="T74" s="194">
        <f>+T73+T72+T71+T70+T69+T68</f>
        <v>0</v>
      </c>
      <c r="U74" s="194">
        <f>+U73+U72+U71+U70+U69+U68</f>
        <v>0</v>
      </c>
      <c r="V74" s="194">
        <f>+V73+V72+V71+V70+V69+V68</f>
        <v>0</v>
      </c>
      <c r="W74" s="194">
        <f>+W73+W72+W71+W70+W69+W68</f>
        <v>0</v>
      </c>
      <c r="X74" s="194">
        <f>+X73+X72+X71+X70+X69+X68</f>
        <v>0</v>
      </c>
      <c r="Y74" s="194">
        <f>+Y73+Y72+Y71+Y70+Y69+Y68</f>
        <v>0</v>
      </c>
      <c r="Z74" s="194">
        <f>+Z73+Z72+Z71+Z70+Z69+Z68</f>
        <v>0</v>
      </c>
      <c r="AA74" s="194">
        <f>+AA73+AA72+AA71+AA70+AA69+AA68</f>
        <v>0</v>
      </c>
      <c r="AB74" s="194">
        <f>+AB73+AB72+AB71+AB70+AB69+AB68</f>
        <v>0</v>
      </c>
      <c r="AC74" s="194">
        <f>+AC73+AC72+AC71+AC70+AC69+AC68</f>
        <v>0</v>
      </c>
      <c r="AD74" s="194">
        <f>+AD73+AD72+AD71+AD70+AD69+AD68</f>
        <v>0</v>
      </c>
      <c r="AE74" s="194">
        <f>+AE73+AE72+AE71+AE70+AE69+AE68</f>
        <v>0</v>
      </c>
      <c r="AF74" s="194">
        <f>+AF73+AF72+AF71+AF70+AF69+AF68</f>
        <v>0</v>
      </c>
      <c r="AG74" s="194">
        <f>+AG73+AG72+AG71+AG70+AG69+AG68</f>
        <v>0</v>
      </c>
      <c r="AH74" s="194">
        <f>+AH73+AH72+AH71+AH70+AH69+AH68</f>
        <v>0</v>
      </c>
      <c r="AI74" s="194">
        <f>+AI73+AI72+AI71+AI70+AI69+AI68</f>
        <v>0</v>
      </c>
      <c r="AJ74" s="194">
        <f>+AJ73+AJ72+AJ71+AJ70+AJ69+AJ68</f>
        <v>0</v>
      </c>
      <c r="AK74" s="194">
        <f>+AK73+AK72+AK71+AK70+AK69+AK68</f>
        <v>0</v>
      </c>
      <c r="AL74" s="194">
        <f>+AL73+AL72+AL71+AL70+AL69+AL68</f>
        <v>0</v>
      </c>
      <c r="AM74" s="194">
        <f>+AM73+AM72+AM71+AM70+AM69+AM68</f>
        <v>0</v>
      </c>
      <c r="AN74" s="194">
        <f>+AN73+AN72+AN71+AN70+AN69+AN68</f>
        <v>0</v>
      </c>
      <c r="AO74" s="194">
        <f>+AO73+AO72+AO71+AO70+AO69+AO68</f>
        <v>0</v>
      </c>
      <c r="AP74" s="194">
        <f>+AP73+AP72+AP71+AP70+AP69+AP68</f>
        <v>7043</v>
      </c>
      <c r="AQ74" s="194">
        <f>+AQ73+AQ72+AQ71+AQ70+AQ69+AQ68</f>
        <v>7043</v>
      </c>
      <c r="AR74" s="194">
        <f>+AR73+AR72+AR71+AR70+AR69+AR68</f>
        <v>0</v>
      </c>
      <c r="AS74" s="194">
        <f>+AS73+AS72+AS71+AS70+AS69+AS68</f>
        <v>0</v>
      </c>
      <c r="AT74" s="194">
        <f>+AT73+AT72+AT71+AT70+AT69+AT68</f>
        <v>0</v>
      </c>
      <c r="AU74" s="194">
        <f>+AU73+AU72+AU71+AU70+AU69+AU68</f>
        <v>0</v>
      </c>
      <c r="AV74" s="194">
        <f>+AV73+AV72+AV71+AV70+AV69+AV68</f>
        <v>0</v>
      </c>
      <c r="AW74" s="194">
        <f>+AW73+AW72+AW71+AW70+AW69+AW68</f>
        <v>0</v>
      </c>
      <c r="AX74" s="194">
        <f>+AX73+AX72+AX71+AX70+AX69+AX68</f>
        <v>0</v>
      </c>
      <c r="AY74" s="194">
        <f>+AY73+AY72+AY71+AY70+AY69+AY68</f>
        <v>0</v>
      </c>
      <c r="AZ74" s="194">
        <f>+AZ73+AZ72+AZ71+AZ70+AZ69+AZ68</f>
        <v>0</v>
      </c>
      <c r="BA74" s="194">
        <f>+BA73+BA72+BA71+BA70+BA69+BA68</f>
        <v>0</v>
      </c>
    </row>
    <row r="75" spans="2:53" s="191" customFormat="1" ht="12.75">
      <c r="B75" s="195" t="s">
        <v>209</v>
      </c>
      <c r="C75" s="208" t="s">
        <v>210</v>
      </c>
      <c r="D75" s="196">
        <f>+J75+L75+N75+P75+R75+T75+V75+X75+Z75+AB75+AD75+AF75+AH75+AJ75</f>
        <v>0</v>
      </c>
      <c r="E75" s="197">
        <f>+AL75+AN75+AP75+AR75+AV75+AX75+AZ75+AT75</f>
        <v>0</v>
      </c>
      <c r="F75" s="194">
        <f>+E75+D75</f>
        <v>0</v>
      </c>
      <c r="G75" s="198">
        <f>+M75+O75+Q75+S75+U75+W75+Y75+AA75+AC75+AE75+AG75+AI75+AK75+K75</f>
        <v>0</v>
      </c>
      <c r="H75" s="199">
        <f>+BA75+AY75+AW75+AU75+AS75+AQ75+AO75+AM75</f>
        <v>0</v>
      </c>
      <c r="I75" s="194">
        <f>+H75+G75</f>
        <v>0</v>
      </c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</row>
    <row r="76" spans="2:53" ht="12.75" hidden="1">
      <c r="B76" s="190" t="s">
        <v>211</v>
      </c>
      <c r="C76" s="207" t="s">
        <v>212</v>
      </c>
      <c r="D76" s="186">
        <f>+J76+L76+N76+P76+R76+T76+V76+X76+Z76+AB76+AD76+AF76+AH76+AJ76</f>
        <v>0</v>
      </c>
      <c r="E76" s="186">
        <f>+AL76+AN76+AP76+AR76+AV76+AX76+AZ76</f>
        <v>0</v>
      </c>
      <c r="F76" s="188">
        <f>+E76+D76</f>
        <v>0</v>
      </c>
      <c r="G76" s="186">
        <f>+M76+O76+Q76+S76+U76+W76+Y76+AA76+AC76+AE76+AG76+AI76+AK76+AM76</f>
        <v>0</v>
      </c>
      <c r="H76" s="186">
        <f>+AO76+AQ76+AS76+AU76+AY76+BA76+BC76</f>
        <v>0</v>
      </c>
      <c r="I76" s="188">
        <f>+H76+G76</f>
        <v>0</v>
      </c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</row>
    <row r="77" spans="2:53" ht="12.75" hidden="1">
      <c r="B77" s="190" t="s">
        <v>213</v>
      </c>
      <c r="C77" s="207" t="s">
        <v>214</v>
      </c>
      <c r="D77" s="186">
        <f>+J77+L77+N77+P77+R77+T77+V77+X77+Z77+AB77+AD77+AF77+AH77+AJ77</f>
        <v>0</v>
      </c>
      <c r="E77" s="186">
        <f>+AL77+AN77+AP77+AR77+AV77+AX77+AZ77</f>
        <v>0</v>
      </c>
      <c r="F77" s="188">
        <f>+E77+D77</f>
        <v>0</v>
      </c>
      <c r="G77" s="186">
        <f>+M77+O77+Q77+S77+U77+W77+Y77+AA77+AC77+AE77+AG77+AI77+AK77+AM77</f>
        <v>0</v>
      </c>
      <c r="H77" s="186">
        <f>+AO77+AQ77+AS77+AU77+AY77+BA77+BC77</f>
        <v>0</v>
      </c>
      <c r="I77" s="188">
        <f>+H77+G77</f>
        <v>0</v>
      </c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</row>
    <row r="78" spans="2:53" ht="12.75" hidden="1">
      <c r="B78" s="190" t="s">
        <v>215</v>
      </c>
      <c r="C78" s="207" t="s">
        <v>216</v>
      </c>
      <c r="D78" s="186">
        <f>+J78+L78+N78+P78+R78+T78+V78+X78+Z78+AB78+AD78+AF78+AH78+AJ78</f>
        <v>0</v>
      </c>
      <c r="E78" s="186">
        <f>+AL78+AN78+AP78+AR78+AV78+AX78+AZ78</f>
        <v>0</v>
      </c>
      <c r="F78" s="188">
        <f>+E78+D78</f>
        <v>0</v>
      </c>
      <c r="G78" s="186">
        <f>+M78+O78+Q78+S78+U78+W78+Y78+AA78+AC78+AE78+AG78+AI78+AK78+AM78</f>
        <v>0</v>
      </c>
      <c r="H78" s="186">
        <f>+AO78+AQ78+AS78+AU78+AY78+BA78+BC78</f>
        <v>0</v>
      </c>
      <c r="I78" s="188">
        <f>+H78+G78</f>
        <v>0</v>
      </c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</row>
    <row r="79" spans="2:53" ht="12.75" hidden="1">
      <c r="B79" s="190" t="s">
        <v>217</v>
      </c>
      <c r="C79" s="207" t="s">
        <v>218</v>
      </c>
      <c r="D79" s="186">
        <f>+J79+L79+N79+P79+R79+T79+V79+X79+Z79+AB79+AD79+AF79+AH79+AJ79</f>
        <v>0</v>
      </c>
      <c r="E79" s="186">
        <f>+AL79+AN79+AP79+AR79+AV79+AX79+AZ79</f>
        <v>0</v>
      </c>
      <c r="F79" s="188">
        <f>+E79+D79</f>
        <v>0</v>
      </c>
      <c r="G79" s="186">
        <f>+M79+O79+Q79+S79+U79+W79+Y79+AA79+AC79+AE79+AG79+AI79+AK79+AM79</f>
        <v>0</v>
      </c>
      <c r="H79" s="186">
        <f>+AO79+AQ79+AS79+AU79+AY79+BA79+BC79</f>
        <v>0</v>
      </c>
      <c r="I79" s="188">
        <f>+H79+G79</f>
        <v>0</v>
      </c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</row>
    <row r="80" spans="2:53" ht="12.75" hidden="1">
      <c r="B80" s="190" t="s">
        <v>219</v>
      </c>
      <c r="C80" s="207" t="s">
        <v>220</v>
      </c>
      <c r="D80" s="186">
        <f>+J80+L80+N80+P80+R80+T80+V80+X80+Z80+AB80+AD80+AF80+AH80+AJ80</f>
        <v>0</v>
      </c>
      <c r="E80" s="186">
        <f>+AL80+AN80+AP80+AR80+AV80+AX80+AZ80</f>
        <v>0</v>
      </c>
      <c r="F80" s="188">
        <f>+E80+D80</f>
        <v>0</v>
      </c>
      <c r="G80" s="186">
        <f>+M80+O80+Q80+S80+U80+W80+Y80+AA80+AC80+AE80+AG80+AI80+AK80+AM80</f>
        <v>0</v>
      </c>
      <c r="H80" s="186">
        <f>+AO80+AQ80+AS80+AU80+AY80+BA80+BC80</f>
        <v>0</v>
      </c>
      <c r="I80" s="188">
        <f>+H80+G80</f>
        <v>0</v>
      </c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</row>
    <row r="81" spans="2:53" ht="12.75" hidden="1">
      <c r="B81" s="190" t="s">
        <v>221</v>
      </c>
      <c r="C81" s="207" t="s">
        <v>222</v>
      </c>
      <c r="D81" s="186">
        <f>+J81+L81+N81+P81+R81+T81+V81+X81+Z81+AB81+AD81+AF81+AH81+AJ81</f>
        <v>0</v>
      </c>
      <c r="E81" s="186">
        <f>+AL81+AN81+AP81+AR81+AV81+AX81+AZ81</f>
        <v>0</v>
      </c>
      <c r="F81" s="188">
        <f>+E81+D81</f>
        <v>0</v>
      </c>
      <c r="G81" s="186">
        <f>+M81+O81+Q81+S81+U81+W81+Y81+AA81+AC81+AE81+AG81+AI81+AK81+AM81</f>
        <v>0</v>
      </c>
      <c r="H81" s="186">
        <f>+AO81+AQ81+AS81+AU81+AY81+BA81+BC81</f>
        <v>0</v>
      </c>
      <c r="I81" s="188">
        <f>+H81+G81</f>
        <v>0</v>
      </c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</row>
    <row r="82" spans="2:53" s="191" customFormat="1" ht="12.75">
      <c r="B82" s="195" t="s">
        <v>223</v>
      </c>
      <c r="C82" s="208" t="s">
        <v>224</v>
      </c>
      <c r="D82" s="194">
        <f>SUM(D76:D81)</f>
        <v>0</v>
      </c>
      <c r="E82" s="229">
        <f>+AL82+AN82+AP82+AR82+AV82+AX82+AZ82+AT82</f>
        <v>0</v>
      </c>
      <c r="F82" s="194">
        <f>SUM(F76:F81)</f>
        <v>0</v>
      </c>
      <c r="G82" s="194">
        <f>SUM(G76:G81)</f>
        <v>0</v>
      </c>
      <c r="H82" s="229">
        <f>+AO82+AQ82+AS82+AU82+AY82+BA82+BC82+AW82</f>
        <v>0</v>
      </c>
      <c r="I82" s="194">
        <f>SUM(I76:I81)</f>
        <v>0</v>
      </c>
      <c r="J82" s="194">
        <f>SUM(J76:J81)</f>
        <v>0</v>
      </c>
      <c r="K82" s="194">
        <f>SUM(K76:K81)</f>
        <v>0</v>
      </c>
      <c r="L82" s="194">
        <f>SUM(L76:L81)</f>
        <v>0</v>
      </c>
      <c r="M82" s="194">
        <f>SUM(M76:M81)</f>
        <v>0</v>
      </c>
      <c r="N82" s="194">
        <f>SUM(N76:N81)</f>
        <v>0</v>
      </c>
      <c r="O82" s="194">
        <f>SUM(O76:O81)</f>
        <v>0</v>
      </c>
      <c r="P82" s="194">
        <f>SUM(P76:P81)</f>
        <v>0</v>
      </c>
      <c r="Q82" s="194">
        <f>SUM(Q76:Q81)</f>
        <v>0</v>
      </c>
      <c r="R82" s="194">
        <f>SUM(R76:R81)</f>
        <v>0</v>
      </c>
      <c r="S82" s="194">
        <f>SUM(S76:S81)</f>
        <v>0</v>
      </c>
      <c r="T82" s="194">
        <f>SUM(T76:T81)</f>
        <v>0</v>
      </c>
      <c r="U82" s="194">
        <f>SUM(U76:U81)</f>
        <v>0</v>
      </c>
      <c r="V82" s="194">
        <f>SUM(V76:V81)</f>
        <v>0</v>
      </c>
      <c r="W82" s="194">
        <f>SUM(W76:W81)</f>
        <v>0</v>
      </c>
      <c r="X82" s="194">
        <f>SUM(X76:X81)</f>
        <v>0</v>
      </c>
      <c r="Y82" s="194">
        <f>SUM(Y76:Y81)</f>
        <v>0</v>
      </c>
      <c r="Z82" s="194">
        <f>SUM(Z76:Z81)</f>
        <v>0</v>
      </c>
      <c r="AA82" s="194">
        <f>SUM(AA76:AA81)</f>
        <v>0</v>
      </c>
      <c r="AB82" s="194">
        <f>SUM(AB76:AB81)</f>
        <v>0</v>
      </c>
      <c r="AC82" s="194">
        <f>SUM(AC76:AC81)</f>
        <v>0</v>
      </c>
      <c r="AD82" s="194">
        <f>SUM(AD76:AD81)</f>
        <v>0</v>
      </c>
      <c r="AE82" s="194">
        <f>SUM(AE76:AE81)</f>
        <v>0</v>
      </c>
      <c r="AF82" s="194">
        <f>SUM(AF76:AF81)</f>
        <v>0</v>
      </c>
      <c r="AG82" s="194">
        <f>SUM(AG76:AG81)</f>
        <v>0</v>
      </c>
      <c r="AH82" s="194">
        <f>SUM(AH76:AH81)</f>
        <v>0</v>
      </c>
      <c r="AI82" s="194">
        <f>SUM(AI76:AI81)</f>
        <v>0</v>
      </c>
      <c r="AJ82" s="194">
        <f>SUM(AJ76:AJ81)</f>
        <v>0</v>
      </c>
      <c r="AK82" s="194">
        <f>SUM(AK76:AK81)</f>
        <v>0</v>
      </c>
      <c r="AL82" s="194">
        <f>SUM(AL76:AL81)</f>
        <v>0</v>
      </c>
      <c r="AM82" s="194">
        <f>SUM(AM76:AM81)</f>
        <v>0</v>
      </c>
      <c r="AN82" s="194">
        <f>SUM(AN76:AN81)</f>
        <v>0</v>
      </c>
      <c r="AO82" s="194">
        <f>SUM(AO76:AO81)</f>
        <v>0</v>
      </c>
      <c r="AP82" s="194">
        <f>SUM(AP76:AP81)</f>
        <v>0</v>
      </c>
      <c r="AQ82" s="194">
        <f>SUM(AQ76:AQ81)</f>
        <v>0</v>
      </c>
      <c r="AR82" s="194">
        <f>SUM(AR76:AR81)</f>
        <v>0</v>
      </c>
      <c r="AS82" s="194">
        <f>SUM(AS76:AS81)</f>
        <v>0</v>
      </c>
      <c r="AT82" s="194">
        <f>SUM(AT76:AT81)</f>
        <v>0</v>
      </c>
      <c r="AU82" s="194">
        <f>SUM(AU76:AU81)</f>
        <v>0</v>
      </c>
      <c r="AV82" s="194">
        <f>SUM(AV76:AV81)</f>
        <v>0</v>
      </c>
      <c r="AW82" s="194">
        <f>SUM(AW76:AW81)</f>
        <v>0</v>
      </c>
      <c r="AX82" s="194">
        <f>SUM(AX76:AX81)</f>
        <v>0</v>
      </c>
      <c r="AY82" s="194">
        <f>SUM(AY76:AY81)</f>
        <v>0</v>
      </c>
      <c r="AZ82" s="194">
        <f>SUM(AZ76:AZ81)</f>
        <v>0</v>
      </c>
      <c r="BA82" s="194">
        <f>SUM(BA76:BA81)</f>
        <v>0</v>
      </c>
    </row>
    <row r="83" spans="2:53" ht="12.75">
      <c r="B83" s="209" t="s">
        <v>585</v>
      </c>
      <c r="C83" s="207" t="s">
        <v>226</v>
      </c>
      <c r="D83" s="186">
        <f>+J83+L83+N83+P83+R83+T83+V83+X83+Z83+AB83+AD83+AF83+AH83+AJ83</f>
        <v>0</v>
      </c>
      <c r="E83" s="187">
        <f>+AL83+AN83+AP83+AR83+AV83+AX83+AZ83+AT83</f>
        <v>0</v>
      </c>
      <c r="F83" s="188">
        <f>+E83+D83</f>
        <v>0</v>
      </c>
      <c r="G83" s="186">
        <f>+M83+O83+Q83+S83+U83+W83+Y83+AA83+AC83+AE83+AG83+AI83+AK83+K83</f>
        <v>0</v>
      </c>
      <c r="H83" s="187">
        <f>+BA83+AY83+AW83+AU83+AS83+AQ83+AO83+AM83</f>
        <v>0</v>
      </c>
      <c r="I83" s="188">
        <f>+H83+G83</f>
        <v>0</v>
      </c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</row>
    <row r="84" spans="2:53" ht="12.75">
      <c r="B84" s="209" t="s">
        <v>227</v>
      </c>
      <c r="C84" s="207" t="s">
        <v>228</v>
      </c>
      <c r="D84" s="186">
        <f>+J84+L84+N84+P84+R84+T84+V84+X84+Z84+AB84+AD84+AF84+AH84+AJ84</f>
        <v>2120</v>
      </c>
      <c r="E84" s="187">
        <f>+AL84+AN84+AP84+AR84+AV84+AX84+AZ84+AT84</f>
        <v>0</v>
      </c>
      <c r="F84" s="188">
        <f>+E84+D84</f>
        <v>2120</v>
      </c>
      <c r="G84" s="186">
        <f>+M84+O84+Q84+S84+U84+W84+Y84+AA84+AC84+AE84+AG84+AI84+AK84+K84</f>
        <v>2120</v>
      </c>
      <c r="H84" s="187">
        <f>+BA84+AY84+AW84+AU84+AS84+AQ84+AO84+AM84</f>
        <v>0</v>
      </c>
      <c r="I84" s="188">
        <f>+H84+G84</f>
        <v>2120</v>
      </c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>
        <f>1500+400</f>
        <v>1900</v>
      </c>
      <c r="W84" s="186">
        <f>1500+400</f>
        <v>1900</v>
      </c>
      <c r="X84" s="186"/>
      <c r="Y84" s="186"/>
      <c r="Z84" s="186"/>
      <c r="AA84" s="186"/>
      <c r="AB84" s="186"/>
      <c r="AC84" s="186"/>
      <c r="AD84" s="186">
        <v>220</v>
      </c>
      <c r="AE84" s="186">
        <v>220</v>
      </c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</row>
    <row r="85" spans="2:53" ht="12.75">
      <c r="B85" s="209" t="s">
        <v>229</v>
      </c>
      <c r="C85" s="207" t="s">
        <v>230</v>
      </c>
      <c r="D85" s="186">
        <f>+J85+L85+N85+P85+R85+T85+V85+X85+Z85+AB85+AD85+AF85+AH85+AJ85</f>
        <v>270</v>
      </c>
      <c r="E85" s="187">
        <f>+AL85+AN85+AP85+AR85+AV85+AX85+AZ85+AT85</f>
        <v>1000</v>
      </c>
      <c r="F85" s="188">
        <f>+E85+D85</f>
        <v>1270</v>
      </c>
      <c r="G85" s="186">
        <f>+M85+O85+Q85+S85+U85+W85+Y85+AA85+AC85+AE85+AG85+AI85+AK85+K85</f>
        <v>270</v>
      </c>
      <c r="H85" s="187">
        <f>+BA85+AY85+AW85+AU85+AS85+AQ85+AO85+AM85</f>
        <v>1000</v>
      </c>
      <c r="I85" s="188">
        <f>+H85+G85</f>
        <v>1270</v>
      </c>
      <c r="J85" s="186"/>
      <c r="K85" s="186"/>
      <c r="L85" s="186">
        <v>270</v>
      </c>
      <c r="M85" s="186">
        <v>270</v>
      </c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>
        <v>1000</v>
      </c>
      <c r="AU85" s="186">
        <v>1000</v>
      </c>
      <c r="AV85" s="186"/>
      <c r="AW85" s="186"/>
      <c r="AX85" s="186"/>
      <c r="AY85" s="186"/>
      <c r="AZ85" s="186"/>
      <c r="BA85" s="186"/>
    </row>
    <row r="86" spans="2:53" ht="15" customHeight="1">
      <c r="B86" s="209" t="s">
        <v>231</v>
      </c>
      <c r="C86" s="207" t="s">
        <v>232</v>
      </c>
      <c r="D86" s="186">
        <f>+J86+L86+N86+P86+R86+T86+V86+X86+Z86+AB86+AD86+AF86+AH86+AJ86</f>
        <v>4173</v>
      </c>
      <c r="E86" s="187">
        <f>+AL86+AN86+AP86+AR86+AV86+AX86+AZ86+AT86</f>
        <v>1000</v>
      </c>
      <c r="F86" s="188">
        <f>+E86+D86</f>
        <v>5173</v>
      </c>
      <c r="G86" s="186">
        <f>+M86+O86+Q86+S86+U86+W86+Y86+AA86+AC86+AE86+AG86+AI86+AK86+K86</f>
        <v>4173</v>
      </c>
      <c r="H86" s="187">
        <f>+BA86+AY86+AW86+AU86+AS86+AQ86+AO86+AM86</f>
        <v>1000</v>
      </c>
      <c r="I86" s="188">
        <f>+H86+G86</f>
        <v>5173</v>
      </c>
      <c r="J86" s="186"/>
      <c r="K86" s="186"/>
      <c r="L86" s="186">
        <f>2042+1565</f>
        <v>3607</v>
      </c>
      <c r="M86" s="186">
        <f>2042+1565</f>
        <v>3607</v>
      </c>
      <c r="N86" s="186"/>
      <c r="O86" s="186"/>
      <c r="P86" s="186">
        <v>566</v>
      </c>
      <c r="Q86" s="186">
        <v>566</v>
      </c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>
        <v>1000</v>
      </c>
      <c r="AY86" s="186">
        <v>1000</v>
      </c>
      <c r="AZ86" s="186"/>
      <c r="BA86" s="186"/>
    </row>
    <row r="87" spans="2:53" ht="15" customHeight="1">
      <c r="B87" s="209" t="s">
        <v>233</v>
      </c>
      <c r="C87" s="207" t="s">
        <v>234</v>
      </c>
      <c r="D87" s="186">
        <f>+J87+L87+N87+P87+R87+T87+V87+X87+Z87+AB87+AD87+AF87+AH87+AJ87</f>
        <v>0</v>
      </c>
      <c r="E87" s="187">
        <f>+AL87+AN87+AP87+AR87+AV87+AX87+AZ87+AT87</f>
        <v>0</v>
      </c>
      <c r="F87" s="188">
        <f>+E87+D87</f>
        <v>0</v>
      </c>
      <c r="G87" s="186">
        <f>+M87+O87+Q87+S87+U87+W87+Y87+AA87+AC87+AE87+AG87+AI87+AK87+K87</f>
        <v>0</v>
      </c>
      <c r="H87" s="187">
        <f>+BA87+AY87+AW87+AU87+AS87+AQ87+AO87+AM87</f>
        <v>0</v>
      </c>
      <c r="I87" s="188">
        <f>+H87+G87</f>
        <v>0</v>
      </c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</row>
    <row r="88" spans="2:53" ht="12.75">
      <c r="B88" s="209" t="s">
        <v>235</v>
      </c>
      <c r="C88" s="207" t="s">
        <v>236</v>
      </c>
      <c r="D88" s="186">
        <f>+J88+L88+N88+P88+R88+T88+V88+X88+Z88+AB88+AD88+AF88+AH88+AJ88</f>
        <v>1047</v>
      </c>
      <c r="E88" s="187">
        <f>+AL88+AN88+AP88+AR88+AV88+AX88+AZ88+AT88</f>
        <v>270</v>
      </c>
      <c r="F88" s="188">
        <f>+E88+D88</f>
        <v>1317</v>
      </c>
      <c r="G88" s="186">
        <f>+M88+O88+Q88+S88+U88+W88+Y88+AA88+AC88+AE88+AG88+AI88+AK88+K88</f>
        <v>1047</v>
      </c>
      <c r="H88" s="187">
        <f>+BA88+AY88+AW88+AU88+AS88+AQ88+AO88+AM88</f>
        <v>270</v>
      </c>
      <c r="I88" s="188">
        <f>+H88+G88</f>
        <v>1317</v>
      </c>
      <c r="J88" s="186"/>
      <c r="K88" s="186"/>
      <c r="L88" s="186">
        <v>1047</v>
      </c>
      <c r="M88" s="186">
        <v>1047</v>
      </c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>
        <v>270</v>
      </c>
      <c r="AU88" s="186">
        <v>270</v>
      </c>
      <c r="AV88" s="186"/>
      <c r="AW88" s="186"/>
      <c r="AX88" s="186"/>
      <c r="AY88" s="186"/>
      <c r="AZ88" s="186"/>
      <c r="BA88" s="186"/>
    </row>
    <row r="89" spans="2:53" ht="12.75">
      <c r="B89" s="209" t="s">
        <v>237</v>
      </c>
      <c r="C89" s="207" t="s">
        <v>238</v>
      </c>
      <c r="D89" s="186">
        <f>+J89+L89+N89+P89+R89+T89+V89+X89+Z89+AB89+AD89+AF89+AH89+AJ89</f>
        <v>0</v>
      </c>
      <c r="E89" s="187">
        <f>+AL89+AN89+AP89+AR89+AV89+AX89+AZ89+AT89</f>
        <v>0</v>
      </c>
      <c r="F89" s="188">
        <f>+E89+D89</f>
        <v>0</v>
      </c>
      <c r="G89" s="186">
        <f>+M89+O89+Q89+S89+U89+W89+Y89+AA89+AC89+AE89+AG89+AI89+AK89+K89</f>
        <v>0</v>
      </c>
      <c r="H89" s="187">
        <f>+BA89+AY89+AW89+AU89+AS89+AQ89+AO89+AM89</f>
        <v>0</v>
      </c>
      <c r="I89" s="188">
        <f>+H89+G89</f>
        <v>0</v>
      </c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</row>
    <row r="90" spans="2:53" ht="12.75">
      <c r="B90" s="209" t="s">
        <v>239</v>
      </c>
      <c r="C90" s="207" t="s">
        <v>240</v>
      </c>
      <c r="D90" s="186">
        <f>+J90+L90+N90+P90+R90+T90+V90+X90+Z90+AB90+AD90+AF90+AH90+AJ90</f>
        <v>2000</v>
      </c>
      <c r="E90" s="187">
        <f>+AL90+AN90+AP90+AR90+AV90+AX90+AZ90+AT90</f>
        <v>0</v>
      </c>
      <c r="F90" s="188">
        <f>+E90+D90</f>
        <v>2000</v>
      </c>
      <c r="G90" s="186">
        <f>+M90+O90+Q90+S90+U90+W90+Y90+AA90+AC90+AE90+AG90+AI90+AK90+K90</f>
        <v>2000</v>
      </c>
      <c r="H90" s="187">
        <f>+BA90+AY90+AW90+AU90+AS90+AQ90+AO90+AM90</f>
        <v>0</v>
      </c>
      <c r="I90" s="188">
        <f>+H90+G90</f>
        <v>2000</v>
      </c>
      <c r="J90" s="186">
        <v>2000</v>
      </c>
      <c r="K90" s="186">
        <v>2000</v>
      </c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</row>
    <row r="91" spans="2:53" ht="12.75">
      <c r="B91" s="209" t="s">
        <v>241</v>
      </c>
      <c r="C91" s="207" t="s">
        <v>242</v>
      </c>
      <c r="D91" s="186">
        <f>+J91+L91+N91+P91+R91+T91+V91+X91+Z91+AB91+AD91+AF91+AH91+AJ91</f>
        <v>0</v>
      </c>
      <c r="E91" s="187">
        <f>+AL91+AN91+AP91+AR91+AV91+AX91+AZ91+AT91</f>
        <v>0</v>
      </c>
      <c r="F91" s="188">
        <f>+E91+D91</f>
        <v>0</v>
      </c>
      <c r="G91" s="186">
        <f>+M91+O91+Q91+S91+U91+W91+Y91+AA91+AC91+AE91+AG91+AI91+AK91+K91</f>
        <v>0</v>
      </c>
      <c r="H91" s="187">
        <f>+BA91+AY91+AW91+AU91+AS91+AQ91+AO91+AM91</f>
        <v>0</v>
      </c>
      <c r="I91" s="188">
        <f>+H91+G91</f>
        <v>0</v>
      </c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</row>
    <row r="92" spans="2:53" ht="12.75">
      <c r="B92" s="209" t="s">
        <v>243</v>
      </c>
      <c r="C92" s="207" t="s">
        <v>244</v>
      </c>
      <c r="D92" s="186">
        <f>+J92+L92+N92+P92+R92+T92+V92+X92+Z92+AB92+AD92+AF92+AH92+AJ92</f>
        <v>0</v>
      </c>
      <c r="E92" s="187">
        <f>+AL92+AN92+AP92+AR92+AV92+AX92+AZ92+AT92</f>
        <v>0</v>
      </c>
      <c r="F92" s="188">
        <f>+E92+D92</f>
        <v>0</v>
      </c>
      <c r="G92" s="186">
        <f>+M92+O92+Q92+S92+U92+W92+Y92+AA92+AC92+AE92+AG92+AI92+AK92+K92</f>
        <v>0</v>
      </c>
      <c r="H92" s="187">
        <f>+BA92+AY92+AW92+AU92+AS92+AQ92+AO92+AM92</f>
        <v>0</v>
      </c>
      <c r="I92" s="188">
        <f>+H92+G92</f>
        <v>0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</row>
    <row r="93" spans="2:53" ht="12.75">
      <c r="B93" s="209" t="s">
        <v>245</v>
      </c>
      <c r="C93" s="207" t="s">
        <v>244</v>
      </c>
      <c r="D93" s="186">
        <f>+J93+L93+N93+P93+R93+T93+V93+X93+Z93+AB93+AD93+AF93+AH93+AJ93</f>
        <v>0</v>
      </c>
      <c r="E93" s="187">
        <f>+AL93+AN93+AP93+AR93+AV93+AX93+AZ93+AT93</f>
        <v>0</v>
      </c>
      <c r="F93" s="188">
        <f>+E93+D93</f>
        <v>0</v>
      </c>
      <c r="G93" s="186">
        <f>+M93+O93+Q93+S93+U93+W93+Y93+AA93+AC93+AE93+AG93+AI93+AK93+K93</f>
        <v>0</v>
      </c>
      <c r="H93" s="187">
        <f>+BA93+AY93+AW93+AU93+AS93+AQ93+AO93+AM93</f>
        <v>0</v>
      </c>
      <c r="I93" s="188">
        <f>+H93+G93</f>
        <v>0</v>
      </c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</row>
    <row r="94" spans="2:53" s="191" customFormat="1" ht="12.75">
      <c r="B94" s="200" t="s">
        <v>247</v>
      </c>
      <c r="C94" s="208" t="s">
        <v>248</v>
      </c>
      <c r="D94" s="194">
        <f>SUM(D83:D93)</f>
        <v>9610</v>
      </c>
      <c r="E94" s="194">
        <f>SUM(E83:E93)</f>
        <v>2270</v>
      </c>
      <c r="F94" s="194">
        <f>SUM(F83:F93)</f>
        <v>11880</v>
      </c>
      <c r="G94" s="194">
        <f>SUM(G83:G93)</f>
        <v>9610</v>
      </c>
      <c r="H94" s="194">
        <f>SUM(H83:H93)</f>
        <v>2270</v>
      </c>
      <c r="I94" s="194">
        <f>SUM(I83:I93)</f>
        <v>11880</v>
      </c>
      <c r="J94" s="194">
        <f>SUM(J83:J93)</f>
        <v>2000</v>
      </c>
      <c r="K94" s="194">
        <f>SUM(K83:K93)</f>
        <v>2000</v>
      </c>
      <c r="L94" s="194">
        <f>SUM(L83:L93)</f>
        <v>4924</v>
      </c>
      <c r="M94" s="194">
        <f>SUM(M83:M93)</f>
        <v>4924</v>
      </c>
      <c r="N94" s="194">
        <f>SUM(N83:N93)</f>
        <v>0</v>
      </c>
      <c r="O94" s="194">
        <f>SUM(O83:O93)</f>
        <v>0</v>
      </c>
      <c r="P94" s="194">
        <f>SUM(P83:P93)</f>
        <v>566</v>
      </c>
      <c r="Q94" s="194">
        <f>SUM(Q83:Q93)</f>
        <v>566</v>
      </c>
      <c r="R94" s="194">
        <f>SUM(R83:R93)</f>
        <v>0</v>
      </c>
      <c r="S94" s="194">
        <f>SUM(S83:S93)</f>
        <v>0</v>
      </c>
      <c r="T94" s="194">
        <f>SUM(T83:T93)</f>
        <v>0</v>
      </c>
      <c r="U94" s="194">
        <f>SUM(U83:U93)</f>
        <v>0</v>
      </c>
      <c r="V94" s="194">
        <f>SUM(V83:V93)</f>
        <v>1900</v>
      </c>
      <c r="W94" s="194">
        <f>SUM(W83:W93)</f>
        <v>1900</v>
      </c>
      <c r="X94" s="194">
        <f>SUM(X83:X93)</f>
        <v>0</v>
      </c>
      <c r="Y94" s="194">
        <f>SUM(Y83:Y93)</f>
        <v>0</v>
      </c>
      <c r="Z94" s="194">
        <f>SUM(Z83:Z93)</f>
        <v>0</v>
      </c>
      <c r="AA94" s="194">
        <f>SUM(AA83:AA93)</f>
        <v>0</v>
      </c>
      <c r="AB94" s="194">
        <f>SUM(AB83:AB93)</f>
        <v>0</v>
      </c>
      <c r="AC94" s="194">
        <f>SUM(AC83:AC93)</f>
        <v>0</v>
      </c>
      <c r="AD94" s="194">
        <f>SUM(AD83:AD93)</f>
        <v>220</v>
      </c>
      <c r="AE94" s="194">
        <f>SUM(AE83:AE93)</f>
        <v>220</v>
      </c>
      <c r="AF94" s="194">
        <f>SUM(AF83:AF93)</f>
        <v>0</v>
      </c>
      <c r="AG94" s="194">
        <f>SUM(AG83:AG93)</f>
        <v>0</v>
      </c>
      <c r="AH94" s="194">
        <f>SUM(AH83:AH93)</f>
        <v>0</v>
      </c>
      <c r="AI94" s="194">
        <f>SUM(AI83:AI93)</f>
        <v>0</v>
      </c>
      <c r="AJ94" s="194">
        <f>SUM(AJ83:AJ93)</f>
        <v>0</v>
      </c>
      <c r="AK94" s="194">
        <f>SUM(AK83:AK93)</f>
        <v>0</v>
      </c>
      <c r="AL94" s="194">
        <f>SUM(AL83:AL93)</f>
        <v>0</v>
      </c>
      <c r="AM94" s="194">
        <f>SUM(AM83:AM93)</f>
        <v>0</v>
      </c>
      <c r="AN94" s="194">
        <f>SUM(AN83:AN93)</f>
        <v>0</v>
      </c>
      <c r="AO94" s="194">
        <f>SUM(AO83:AO93)</f>
        <v>0</v>
      </c>
      <c r="AP94" s="194">
        <f>SUM(AP83:AP93)</f>
        <v>0</v>
      </c>
      <c r="AQ94" s="194">
        <f>SUM(AQ83:AQ93)</f>
        <v>0</v>
      </c>
      <c r="AR94" s="194">
        <f>SUM(AR83:AR93)</f>
        <v>0</v>
      </c>
      <c r="AS94" s="194">
        <f>SUM(AS83:AS93)</f>
        <v>0</v>
      </c>
      <c r="AT94" s="194">
        <f>SUM(AT83:AT93)</f>
        <v>1270</v>
      </c>
      <c r="AU94" s="194">
        <f>SUM(AU83:AU93)</f>
        <v>1270</v>
      </c>
      <c r="AV94" s="194">
        <f>SUM(AV83:AV93)</f>
        <v>0</v>
      </c>
      <c r="AW94" s="194">
        <f>SUM(AW83:AW93)</f>
        <v>0</v>
      </c>
      <c r="AX94" s="194">
        <f>SUM(AX83:AX93)</f>
        <v>1000</v>
      </c>
      <c r="AY94" s="194">
        <f>SUM(AY83:AY93)</f>
        <v>1000</v>
      </c>
      <c r="AZ94" s="194">
        <f>SUM(AZ83:AZ93)</f>
        <v>0</v>
      </c>
      <c r="BA94" s="194">
        <f>SUM(BA83:BA93)</f>
        <v>0</v>
      </c>
    </row>
    <row r="95" spans="2:53" ht="12.75">
      <c r="B95" s="209" t="s">
        <v>249</v>
      </c>
      <c r="C95" s="207" t="s">
        <v>250</v>
      </c>
      <c r="D95" s="186">
        <f>+J95+L95+N95+P95+R95+T95+V95+X95+Z95+AB95+AD95+AF95+AH95+AJ95</f>
        <v>0</v>
      </c>
      <c r="E95" s="187">
        <f>+AL95+AN95+AP95+AR95+AV95+AX95+AZ95+AT95</f>
        <v>0</v>
      </c>
      <c r="F95" s="188">
        <f>+E95+D95</f>
        <v>0</v>
      </c>
      <c r="G95" s="186">
        <f>+M95+O95+Q95+S95+U95+W95+Y95+AA95+AC95+AE95+AG95+AI95+AK95+K95</f>
        <v>0</v>
      </c>
      <c r="H95" s="187">
        <f>+BA95+AY95+AW95+AU95+AS95+AQ95+AO95+AM95</f>
        <v>0</v>
      </c>
      <c r="I95" s="188">
        <f>+H95+G95</f>
        <v>0</v>
      </c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</row>
    <row r="96" spans="2:53" ht="12.75">
      <c r="B96" s="209" t="s">
        <v>251</v>
      </c>
      <c r="C96" s="207" t="s">
        <v>252</v>
      </c>
      <c r="D96" s="186">
        <f>+J96+L96+N96+P96+R96+T96+V96+X96+Z96+AB96+AD96+AF96+AH96+AJ96</f>
        <v>0</v>
      </c>
      <c r="E96" s="187">
        <f>+AL96+AN96+AP96+AR96+AV96+AX96+AZ96+AT96</f>
        <v>0</v>
      </c>
      <c r="F96" s="188">
        <f>+E96+D96</f>
        <v>0</v>
      </c>
      <c r="G96" s="186">
        <f>+M96+O96+Q96+S96+U96+W96+Y96+AA96+AC96+AE96+AG96+AI96+AK96+K96</f>
        <v>0</v>
      </c>
      <c r="H96" s="187">
        <f>+BA96+AY96+AW96+AU96+AS96+AQ96+AO96+AM96</f>
        <v>0</v>
      </c>
      <c r="I96" s="188">
        <f>+H96+G96</f>
        <v>0</v>
      </c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</row>
    <row r="97" spans="2:53" ht="12.75">
      <c r="B97" s="209" t="s">
        <v>253</v>
      </c>
      <c r="C97" s="207" t="s">
        <v>254</v>
      </c>
      <c r="D97" s="186">
        <f>+J97+L97+N97+P97+R97+T97+V97+X97+Z97+AB97+AD97+AF97+AH97+AJ97</f>
        <v>0</v>
      </c>
      <c r="E97" s="187">
        <f>+AL97+AN97+AP97+AR97+AV97+AX97+AZ97+AT97</f>
        <v>0</v>
      </c>
      <c r="F97" s="188">
        <f>+E97+D97</f>
        <v>0</v>
      </c>
      <c r="G97" s="186">
        <f>+M97+O97+Q97+S97+U97+W97+Y97+AA97+AC97+AE97+AG97+AI97+AK97+K97</f>
        <v>0</v>
      </c>
      <c r="H97" s="187">
        <f>+BA97+AY97+AW97+AU97+AS97+AQ97+AO97+AM97</f>
        <v>0</v>
      </c>
      <c r="I97" s="188">
        <f>+H97+G97</f>
        <v>0</v>
      </c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</row>
    <row r="98" spans="2:53" ht="12.75">
      <c r="B98" s="209" t="s">
        <v>255</v>
      </c>
      <c r="C98" s="207" t="s">
        <v>256</v>
      </c>
      <c r="D98" s="186">
        <f>+J98+L98+N98+P98+R98+T98+V98+X98+Z98+AB98+AD98+AF98+AH98+AJ98</f>
        <v>0</v>
      </c>
      <c r="E98" s="187">
        <f>+AL98+AN98+AP98+AR98+AV98+AX98+AZ98+AT98</f>
        <v>0</v>
      </c>
      <c r="F98" s="188">
        <f>+E98+D98</f>
        <v>0</v>
      </c>
      <c r="G98" s="186">
        <f>+M98+O98+Q98+S98+U98+W98+Y98+AA98+AC98+AE98+AG98+AI98+AK98+K98</f>
        <v>0</v>
      </c>
      <c r="H98" s="187">
        <f>+BA98+AY98+AW98+AU98+AS98+AQ98+AO98+AM98</f>
        <v>0</v>
      </c>
      <c r="I98" s="188">
        <f>+H98+G98</f>
        <v>0</v>
      </c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</row>
    <row r="99" spans="2:53" ht="12.75">
      <c r="B99" s="209" t="s">
        <v>257</v>
      </c>
      <c r="C99" s="207" t="s">
        <v>258</v>
      </c>
      <c r="D99" s="186">
        <f>+J99+L99+N99+P99+R99+T99+V99+X99+Z99+AB99+AD99+AF99+AH99+AJ99</f>
        <v>0</v>
      </c>
      <c r="E99" s="187">
        <f>+AL99+AN99+AP99+AR99+AV99+AX99+AZ99+AT99</f>
        <v>0</v>
      </c>
      <c r="F99" s="188">
        <f>+E99+D99</f>
        <v>0</v>
      </c>
      <c r="G99" s="186">
        <f>+M99+O99+Q99+S99+U99+W99+Y99+AA99+AC99+AE99+AG99+AI99+AK99+K99</f>
        <v>0</v>
      </c>
      <c r="H99" s="187">
        <f>+BA99+AY99+AW99+AU99+AS99+AQ99+AO99+AM99</f>
        <v>0</v>
      </c>
      <c r="I99" s="188">
        <f>+H99+G99</f>
        <v>0</v>
      </c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</row>
    <row r="100" spans="2:53" s="191" customFormat="1" ht="12.75">
      <c r="B100" s="195" t="s">
        <v>259</v>
      </c>
      <c r="C100" s="208" t="s">
        <v>260</v>
      </c>
      <c r="D100" s="194">
        <f>SUM(D95:D99)</f>
        <v>0</v>
      </c>
      <c r="E100" s="194">
        <f>SUM(E95:E99)</f>
        <v>0</v>
      </c>
      <c r="F100" s="194">
        <f>SUM(F95:F99)</f>
        <v>0</v>
      </c>
      <c r="G100" s="230">
        <f>SUM(G95:G99)</f>
        <v>0</v>
      </c>
      <c r="H100" s="230">
        <f>SUM(H95:H99)</f>
        <v>0</v>
      </c>
      <c r="I100" s="194">
        <f>SUM(I95:I99)</f>
        <v>0</v>
      </c>
      <c r="J100" s="194">
        <f>SUM(J95:J99)</f>
        <v>0</v>
      </c>
      <c r="K100" s="194">
        <f>SUM(K95:K99)</f>
        <v>0</v>
      </c>
      <c r="L100" s="194">
        <f>SUM(L95:L99)</f>
        <v>0</v>
      </c>
      <c r="M100" s="194">
        <f>SUM(M95:M99)</f>
        <v>0</v>
      </c>
      <c r="N100" s="194">
        <f>SUM(N95:N99)</f>
        <v>0</v>
      </c>
      <c r="O100" s="194">
        <f>SUM(O95:O99)</f>
        <v>0</v>
      </c>
      <c r="P100" s="194">
        <f>SUM(P95:P99)</f>
        <v>0</v>
      </c>
      <c r="Q100" s="194">
        <f>SUM(Q95:Q99)</f>
        <v>0</v>
      </c>
      <c r="R100" s="194">
        <f>SUM(R95:R99)</f>
        <v>0</v>
      </c>
      <c r="S100" s="194">
        <f>SUM(S95:S99)</f>
        <v>0</v>
      </c>
      <c r="T100" s="194">
        <f>SUM(T95:T99)</f>
        <v>0</v>
      </c>
      <c r="U100" s="194">
        <f>SUM(U95:U99)</f>
        <v>0</v>
      </c>
      <c r="V100" s="194">
        <f>SUM(V95:V99)</f>
        <v>0</v>
      </c>
      <c r="W100" s="194">
        <f>SUM(W95:W99)</f>
        <v>0</v>
      </c>
      <c r="X100" s="194">
        <f>SUM(X95:X99)</f>
        <v>0</v>
      </c>
      <c r="Y100" s="194">
        <f>SUM(Y95:Y99)</f>
        <v>0</v>
      </c>
      <c r="Z100" s="194">
        <f>SUM(Z95:Z99)</f>
        <v>0</v>
      </c>
      <c r="AA100" s="194">
        <f>SUM(AA95:AA99)</f>
        <v>0</v>
      </c>
      <c r="AB100" s="194">
        <f>SUM(AB95:AB99)</f>
        <v>0</v>
      </c>
      <c r="AC100" s="194">
        <f>SUM(AC95:AC99)</f>
        <v>0</v>
      </c>
      <c r="AD100" s="194">
        <f>SUM(AD95:AD99)</f>
        <v>0</v>
      </c>
      <c r="AE100" s="194">
        <f>SUM(AE95:AE99)</f>
        <v>0</v>
      </c>
      <c r="AF100" s="194">
        <f>SUM(AF95:AF99)</f>
        <v>0</v>
      </c>
      <c r="AG100" s="194">
        <f>SUM(AG95:AG99)</f>
        <v>0</v>
      </c>
      <c r="AH100" s="194">
        <f>SUM(AH95:AH99)</f>
        <v>0</v>
      </c>
      <c r="AI100" s="194">
        <f>SUM(AI95:AI99)</f>
        <v>0</v>
      </c>
      <c r="AJ100" s="194">
        <f>SUM(AJ95:AJ99)</f>
        <v>0</v>
      </c>
      <c r="AK100" s="194">
        <f>SUM(AK95:AK99)</f>
        <v>0</v>
      </c>
      <c r="AL100" s="194">
        <f>SUM(AL95:AL99)</f>
        <v>0</v>
      </c>
      <c r="AM100" s="194">
        <f>SUM(AM95:AM99)</f>
        <v>0</v>
      </c>
      <c r="AN100" s="194">
        <f>SUM(AN95:AN99)</f>
        <v>0</v>
      </c>
      <c r="AO100" s="194">
        <f>SUM(AO95:AO99)</f>
        <v>0</v>
      </c>
      <c r="AP100" s="194">
        <f>SUM(AP95:AP99)</f>
        <v>0</v>
      </c>
      <c r="AQ100" s="194">
        <f>SUM(AQ95:AQ99)</f>
        <v>0</v>
      </c>
      <c r="AR100" s="194">
        <f>SUM(AR95:AR99)</f>
        <v>0</v>
      </c>
      <c r="AS100" s="194">
        <f>SUM(AS95:AS99)</f>
        <v>0</v>
      </c>
      <c r="AT100" s="194">
        <f>SUM(AT95:AT99)</f>
        <v>0</v>
      </c>
      <c r="AU100" s="194">
        <f>SUM(AU95:AU99)</f>
        <v>0</v>
      </c>
      <c r="AV100" s="194">
        <f>SUM(AV95:AV99)</f>
        <v>0</v>
      </c>
      <c r="AW100" s="194">
        <f>SUM(AW95:AW99)</f>
        <v>0</v>
      </c>
      <c r="AX100" s="194">
        <f>SUM(AX95:AX99)</f>
        <v>0</v>
      </c>
      <c r="AY100" s="194">
        <f>SUM(AY95:AY99)</f>
        <v>0</v>
      </c>
      <c r="AZ100" s="194">
        <f>SUM(AZ95:AZ99)</f>
        <v>0</v>
      </c>
      <c r="BA100" s="194">
        <f>SUM(BA95:BA99)</f>
        <v>0</v>
      </c>
    </row>
    <row r="101" spans="2:53" s="191" customFormat="1" ht="12.75">
      <c r="B101" s="195" t="s">
        <v>261</v>
      </c>
      <c r="C101" s="208" t="s">
        <v>262</v>
      </c>
      <c r="D101" s="196">
        <f>+J101+L101+N101+P101+R101+T101+V101+X101+Z101+AB101+AD101+AF101+AH101+AJ101</f>
        <v>0</v>
      </c>
      <c r="E101" s="229">
        <f>+AL101+AN101+AP101+AR101+AV101+AX101+AZ101+AT101</f>
        <v>0</v>
      </c>
      <c r="F101" s="194">
        <f>+E101+D101</f>
        <v>0</v>
      </c>
      <c r="G101" s="198">
        <f>+M101+O101+Q101+S101+U101+W101+Y101+AA101+AC101+AE101+AG101+AI101+AK101+K101</f>
        <v>0</v>
      </c>
      <c r="H101" s="199">
        <f>+BA101+AY101+AW101+AU101+AS101+AQ101+AO101+AM101</f>
        <v>0</v>
      </c>
      <c r="I101" s="194">
        <f>+H101+G101</f>
        <v>0</v>
      </c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</row>
    <row r="102" spans="2:53" ht="27" customHeight="1">
      <c r="B102" s="209" t="s">
        <v>263</v>
      </c>
      <c r="C102" s="207" t="s">
        <v>264</v>
      </c>
      <c r="D102" s="186">
        <f>+J102+L102+N102+P102+R102+T102+V102+X102+Z102+AB102+AD102+AF102+AH102+AJ102</f>
        <v>0</v>
      </c>
      <c r="E102" s="187">
        <f>+AL102+AN102+AP102+AR102+AV102+AX102+AZ102+AT102</f>
        <v>0</v>
      </c>
      <c r="F102" s="188">
        <f>+E102+D102</f>
        <v>0</v>
      </c>
      <c r="G102" s="186">
        <f>+M102+O102+Q102+S102+U102+W102+Y102+AA102+AC102+AE102+AG102+AI102+AK102+K102</f>
        <v>0</v>
      </c>
      <c r="H102" s="187">
        <f>+BA102+AY102+AW102+AU102+AS102+AQ102+AO102+AM102</f>
        <v>0</v>
      </c>
      <c r="I102" s="188">
        <f>+H102+G102</f>
        <v>0</v>
      </c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</row>
    <row r="103" spans="2:53" ht="27" customHeight="1">
      <c r="B103" s="190" t="s">
        <v>265</v>
      </c>
      <c r="C103" s="207" t="s">
        <v>266</v>
      </c>
      <c r="D103" s="186">
        <f>+J103+L103+N103+P103+R103+T103+V103+X103+Z103+AB103+AD103+AF103+AH103+AJ103</f>
        <v>0</v>
      </c>
      <c r="E103" s="187">
        <f>+AL103+AN103+AP103+AR103+AV103+AX103+AZ103+AT103</f>
        <v>0</v>
      </c>
      <c r="F103" s="188">
        <f>+E103+D103</f>
        <v>0</v>
      </c>
      <c r="G103" s="186">
        <f>+M103+O103+Q103+S103+U103+W103+Y103+AA103+AC103+AE103+AG103+AI103+AK103+K103</f>
        <v>0</v>
      </c>
      <c r="H103" s="187">
        <f>+BA103+AY103+AW103+AU103+AS103+AQ103+AO103+AM103</f>
        <v>0</v>
      </c>
      <c r="I103" s="188">
        <f>+H103+G103</f>
        <v>0</v>
      </c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</row>
    <row r="104" spans="2:53" ht="27" customHeight="1">
      <c r="B104" s="209" t="s">
        <v>267</v>
      </c>
      <c r="C104" s="207" t="s">
        <v>268</v>
      </c>
      <c r="D104" s="186">
        <f>+J104+L104+N104+P104+R104+T104+V104+X104+Z104+AB104+AD104+AF104+AH104+AJ104</f>
        <v>0</v>
      </c>
      <c r="E104" s="187">
        <f>+AL104+AN104+AP104+AR104+AV104+AX104+AZ104+AT104</f>
        <v>0</v>
      </c>
      <c r="F104" s="188">
        <f>+E104+D104</f>
        <v>0</v>
      </c>
      <c r="G104" s="186">
        <f>+M104+O104+Q104+S104+U104+W104+Y104+AA104+AC104+AE104+AG104+AI104+AK104+K104</f>
        <v>0</v>
      </c>
      <c r="H104" s="187">
        <f>+BA104+AY104+AW104+AU104+AS104+AQ104+AO104+AM104</f>
        <v>0</v>
      </c>
      <c r="I104" s="188">
        <f>+H104+G104</f>
        <v>0</v>
      </c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</row>
    <row r="105" spans="2:53" ht="27" customHeight="1">
      <c r="B105" s="209" t="s">
        <v>269</v>
      </c>
      <c r="C105" s="207" t="s">
        <v>270</v>
      </c>
      <c r="D105" s="186">
        <f>+J105+L105+N105+P105+R105+T105+V105+X105+Z105+AB105+AD105+AF105+AH105+AJ105</f>
        <v>0</v>
      </c>
      <c r="E105" s="187">
        <f>+AL105+AN105+AP105+AR105+AV105+AX105+AZ105+AT105</f>
        <v>0</v>
      </c>
      <c r="F105" s="188">
        <f>+E105+D105</f>
        <v>0</v>
      </c>
      <c r="G105" s="186">
        <f>+M105+O105+Q105+S105+U105+W105+Y105+AA105+AC105+AE105+AG105+AI105+AK105+K105</f>
        <v>0</v>
      </c>
      <c r="H105" s="187">
        <f>+BA105+AY105+AW105+AU105+AS105+AQ105+AO105+AM105</f>
        <v>0</v>
      </c>
      <c r="I105" s="188">
        <f>+H105+G105</f>
        <v>0</v>
      </c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</row>
    <row r="106" spans="2:53" ht="15" customHeight="1">
      <c r="B106" s="209" t="s">
        <v>271</v>
      </c>
      <c r="C106" s="207" t="s">
        <v>272</v>
      </c>
      <c r="D106" s="186">
        <f>+J106+L106+N106+P106+R106+T106+V106+X106+Z106+AB106+AD106+AF106+AH106+AJ106</f>
        <v>25400</v>
      </c>
      <c r="E106" s="187">
        <f>+AL106+AN106+AP106+AR106+AV106+AX106+AZ106+AT106</f>
        <v>0</v>
      </c>
      <c r="F106" s="188">
        <f>+E106+D106</f>
        <v>25400</v>
      </c>
      <c r="G106" s="186">
        <f>+M106+O106+Q106+S106+U106+W106+Y106+AA106+AC106+AE106+AG106+AI106+AK106+K106</f>
        <v>25400</v>
      </c>
      <c r="H106" s="187">
        <f>+BA106+AY106+AW106+AU106+AS106+AQ106+AO106+AM106</f>
        <v>0</v>
      </c>
      <c r="I106" s="188">
        <f>+H106+G106</f>
        <v>25400</v>
      </c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>
        <v>25400</v>
      </c>
      <c r="Y106" s="186">
        <v>25400</v>
      </c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</row>
    <row r="107" spans="2:53" s="191" customFormat="1" ht="12.75">
      <c r="B107" s="195" t="s">
        <v>273</v>
      </c>
      <c r="C107" s="208" t="s">
        <v>274</v>
      </c>
      <c r="D107" s="194">
        <f>SUM(D102:D106)</f>
        <v>25400</v>
      </c>
      <c r="E107" s="194">
        <f>SUM(E102:E106)</f>
        <v>0</v>
      </c>
      <c r="F107" s="194">
        <f>SUM(F102:F106)</f>
        <v>25400</v>
      </c>
      <c r="G107" s="194">
        <f>SUM(G102:G106)</f>
        <v>25400</v>
      </c>
      <c r="H107" s="194">
        <f>SUM(H102:H106)</f>
        <v>0</v>
      </c>
      <c r="I107" s="194">
        <f>SUM(I102:I106)</f>
        <v>25400</v>
      </c>
      <c r="J107" s="194">
        <f>SUM(J102:J106)</f>
        <v>0</v>
      </c>
      <c r="K107" s="194">
        <f>SUM(K102:K106)</f>
        <v>0</v>
      </c>
      <c r="L107" s="194">
        <f>SUM(L102:L106)</f>
        <v>0</v>
      </c>
      <c r="M107" s="194">
        <f>SUM(M102:M106)</f>
        <v>0</v>
      </c>
      <c r="N107" s="194">
        <f>SUM(N102:N106)</f>
        <v>0</v>
      </c>
      <c r="O107" s="194">
        <f>SUM(O102:O106)</f>
        <v>0</v>
      </c>
      <c r="P107" s="194">
        <f>SUM(P102:P106)</f>
        <v>0</v>
      </c>
      <c r="Q107" s="194">
        <f>SUM(Q102:Q106)</f>
        <v>0</v>
      </c>
      <c r="R107" s="194">
        <f>SUM(R102:R106)</f>
        <v>0</v>
      </c>
      <c r="S107" s="194">
        <f>SUM(S102:S106)</f>
        <v>0</v>
      </c>
      <c r="T107" s="194">
        <f>SUM(T102:T106)</f>
        <v>0</v>
      </c>
      <c r="U107" s="194">
        <f>SUM(U102:U106)</f>
        <v>0</v>
      </c>
      <c r="V107" s="194">
        <f>SUM(V102:V106)</f>
        <v>0</v>
      </c>
      <c r="W107" s="194">
        <f>SUM(W102:W106)</f>
        <v>0</v>
      </c>
      <c r="X107" s="194">
        <f>SUM(X102:X106)</f>
        <v>25400</v>
      </c>
      <c r="Y107" s="194">
        <f>SUM(Y102:Y106)</f>
        <v>25400</v>
      </c>
      <c r="Z107" s="194">
        <f>SUM(Z102:Z106)</f>
        <v>0</v>
      </c>
      <c r="AA107" s="194">
        <f>SUM(AA102:AA106)</f>
        <v>0</v>
      </c>
      <c r="AB107" s="194">
        <f>SUM(AB102:AB106)</f>
        <v>0</v>
      </c>
      <c r="AC107" s="194">
        <f>SUM(AC102:AC106)</f>
        <v>0</v>
      </c>
      <c r="AD107" s="194">
        <f>SUM(AD102:AD106)</f>
        <v>0</v>
      </c>
      <c r="AE107" s="194">
        <f>SUM(AE102:AE106)</f>
        <v>0</v>
      </c>
      <c r="AF107" s="194">
        <f>SUM(AF102:AF106)</f>
        <v>0</v>
      </c>
      <c r="AG107" s="194">
        <f>SUM(AG102:AG106)</f>
        <v>0</v>
      </c>
      <c r="AH107" s="194">
        <f>SUM(AH102:AH106)</f>
        <v>0</v>
      </c>
      <c r="AI107" s="194">
        <f>SUM(AI102:AI106)</f>
        <v>0</v>
      </c>
      <c r="AJ107" s="194">
        <f>SUM(AJ102:AJ106)</f>
        <v>0</v>
      </c>
      <c r="AK107" s="194">
        <f>SUM(AK102:AK106)</f>
        <v>0</v>
      </c>
      <c r="AL107" s="194">
        <f>SUM(AL102:AL106)</f>
        <v>0</v>
      </c>
      <c r="AM107" s="194">
        <f>SUM(AM102:AM106)</f>
        <v>0</v>
      </c>
      <c r="AN107" s="194">
        <f>SUM(AN102:AN106)</f>
        <v>0</v>
      </c>
      <c r="AO107" s="194">
        <f>SUM(AO102:AO106)</f>
        <v>0</v>
      </c>
      <c r="AP107" s="194">
        <f>SUM(AP102:AP106)</f>
        <v>0</v>
      </c>
      <c r="AQ107" s="194">
        <f>SUM(AQ102:AQ106)</f>
        <v>0</v>
      </c>
      <c r="AR107" s="194">
        <f>SUM(AR102:AR106)</f>
        <v>0</v>
      </c>
      <c r="AS107" s="194">
        <f>SUM(AS102:AS106)</f>
        <v>0</v>
      </c>
      <c r="AT107" s="194">
        <f>SUM(AT102:AT106)</f>
        <v>0</v>
      </c>
      <c r="AU107" s="194">
        <f>SUM(AU102:AU106)</f>
        <v>0</v>
      </c>
      <c r="AV107" s="194">
        <f>SUM(AV102:AV106)</f>
        <v>0</v>
      </c>
      <c r="AW107" s="194">
        <f>SUM(AW102:AW106)</f>
        <v>0</v>
      </c>
      <c r="AX107" s="194">
        <f>SUM(AX102:AX106)</f>
        <v>0</v>
      </c>
      <c r="AY107" s="194">
        <f>SUM(AY102:AY106)</f>
        <v>0</v>
      </c>
      <c r="AZ107" s="194">
        <f>SUM(AZ102:AZ106)</f>
        <v>0</v>
      </c>
      <c r="BA107" s="194">
        <f>SUM(BA102:BA106)</f>
        <v>0</v>
      </c>
    </row>
    <row r="108" spans="2:53" ht="12.75">
      <c r="B108" s="231" t="s">
        <v>275</v>
      </c>
      <c r="C108" s="210" t="s">
        <v>276</v>
      </c>
      <c r="D108" s="212">
        <f>+D107+D101+D100+D94+D82+D75+D74</f>
        <v>35010</v>
      </c>
      <c r="E108" s="212">
        <f>+E107+E101+E100+E94+E82+E75+E74</f>
        <v>9313</v>
      </c>
      <c r="F108" s="212">
        <f>+F107+F101+F100+F94+F82+F75+F74</f>
        <v>44323</v>
      </c>
      <c r="G108" s="212">
        <f>+G107+G101+G100+G94+G82+G75+G74</f>
        <v>35010</v>
      </c>
      <c r="H108" s="212">
        <f>+H107+H101+H100+H94+H82+H75+H74</f>
        <v>9313</v>
      </c>
      <c r="I108" s="212">
        <f>+I107+I101+I100+I94+I82+I75+I74</f>
        <v>44323</v>
      </c>
      <c r="J108" s="212">
        <f>+J107+J101+J100+J94+J82+J75+J74</f>
        <v>2000</v>
      </c>
      <c r="K108" s="212">
        <f>+K107+K101+K100+K94+K82+K75+K74</f>
        <v>2000</v>
      </c>
      <c r="L108" s="212">
        <f>+L107+L101+L100+L94+L82+L75+L74</f>
        <v>4924</v>
      </c>
      <c r="M108" s="212">
        <f>+M107+M101+M100+M94+M82+M75+M74</f>
        <v>4924</v>
      </c>
      <c r="N108" s="212">
        <f>+N107+N101+N100+N94+N82+N75+N74</f>
        <v>0</v>
      </c>
      <c r="O108" s="212">
        <f>+O107+O101+O100+O94+O82+O75+O74</f>
        <v>0</v>
      </c>
      <c r="P108" s="212">
        <f>+P107+P101+P100+P94+P82+P75+P74</f>
        <v>566</v>
      </c>
      <c r="Q108" s="212">
        <f>+Q107+Q101+Q100+Q94+Q82+Q75+Q74</f>
        <v>566</v>
      </c>
      <c r="R108" s="212">
        <f>+R107+R101+R100+R94+R82+R75+R74</f>
        <v>0</v>
      </c>
      <c r="S108" s="212">
        <f>+S107+S101+S100+S94+S82+S75+S74</f>
        <v>0</v>
      </c>
      <c r="T108" s="212">
        <f>+T107+T101+T100+T94+T82+T75+T74</f>
        <v>0</v>
      </c>
      <c r="U108" s="212">
        <f>+U107+U101+U100+U94+U82+U75+U74</f>
        <v>0</v>
      </c>
      <c r="V108" s="212">
        <f>+V107+V101+V100+V94+V82+V75+V74</f>
        <v>1900</v>
      </c>
      <c r="W108" s="212">
        <f>+W107+W101+W100+W94+W82+W75+W74</f>
        <v>1900</v>
      </c>
      <c r="X108" s="212">
        <f>+X107+X101+X100+X94+X82+X75+X74</f>
        <v>25400</v>
      </c>
      <c r="Y108" s="212">
        <f>+Y107+Y101+Y100+Y94+Y82+Y75+Y74</f>
        <v>25400</v>
      </c>
      <c r="Z108" s="212">
        <f>+Z107+Z101+Z100+Z94+Z82+Z75+Z74</f>
        <v>0</v>
      </c>
      <c r="AA108" s="212">
        <f>+AA107+AA101+AA100+AA94+AA82+AA75+AA74</f>
        <v>0</v>
      </c>
      <c r="AB108" s="212">
        <f>+AB107+AB101+AB100+AB94+AB82+AB75+AB74</f>
        <v>0</v>
      </c>
      <c r="AC108" s="212">
        <f>+AC107+AC101+AC100+AC94+AC82+AC75+AC74</f>
        <v>0</v>
      </c>
      <c r="AD108" s="212">
        <f>+AD107+AD101+AD100+AD94+AD82+AD75+AD74</f>
        <v>220</v>
      </c>
      <c r="AE108" s="212">
        <f>+AE107+AE101+AE100+AE94+AE82+AE75+AE74</f>
        <v>220</v>
      </c>
      <c r="AF108" s="212">
        <f>+AF107+AF101+AF100+AF94+AF82+AF75+AF74</f>
        <v>0</v>
      </c>
      <c r="AG108" s="212">
        <f>+AG107+AG101+AG100+AG94+AG82+AG75+AG74</f>
        <v>0</v>
      </c>
      <c r="AH108" s="212">
        <f>+AH107+AH101+AH100+AH94+AH82+AH75+AH74</f>
        <v>0</v>
      </c>
      <c r="AI108" s="212">
        <f>+AI107+AI101+AI100+AI94+AI82+AI75+AI74</f>
        <v>0</v>
      </c>
      <c r="AJ108" s="212">
        <f>+AJ107+AJ101+AJ100+AJ94+AJ82+AJ75+AJ74</f>
        <v>0</v>
      </c>
      <c r="AK108" s="212">
        <f>+AK107+AK101+AK100+AK94+AK82+AK75+AK74</f>
        <v>0</v>
      </c>
      <c r="AL108" s="212">
        <f>+AL107+AL101+AL100+AL94+AL82+AL75+AL74</f>
        <v>0</v>
      </c>
      <c r="AM108" s="212">
        <f>+AM107+AM101+AM100+AM94+AM82+AM75+AM74</f>
        <v>0</v>
      </c>
      <c r="AN108" s="212">
        <f>+AN107+AN101+AN100+AN94+AN82+AN75+AN74</f>
        <v>0</v>
      </c>
      <c r="AO108" s="212">
        <f>+AO107+AO101+AO100+AO94+AO82+AO75+AO74</f>
        <v>0</v>
      </c>
      <c r="AP108" s="212">
        <f>+AP107+AP101+AP100+AP94+AP82+AP75+AP74</f>
        <v>7043</v>
      </c>
      <c r="AQ108" s="212">
        <f>+AQ107+AQ101+AQ100+AQ94+AQ82+AQ75+AQ74</f>
        <v>7043</v>
      </c>
      <c r="AR108" s="212">
        <f>+AR107+AR101+AR100+AR94+AR82+AR75+AR74</f>
        <v>0</v>
      </c>
      <c r="AS108" s="212">
        <f>+AS107+AS101+AS100+AS94+AS82+AS75+AS74</f>
        <v>0</v>
      </c>
      <c r="AT108" s="212">
        <f>+AT107+AT101+AT100+AT94+AT82+AT75+AT74</f>
        <v>1270</v>
      </c>
      <c r="AU108" s="212">
        <f>+AU107+AU101+AU100+AU94+AU82+AU75+AU74</f>
        <v>1270</v>
      </c>
      <c r="AV108" s="212">
        <f>+AV107+AV101+AV100+AV94+AV82+AV75+AV74</f>
        <v>0</v>
      </c>
      <c r="AW108" s="212">
        <f>+AW107+AW101+AW100+AW94+AW82+AW75+AW74</f>
        <v>0</v>
      </c>
      <c r="AX108" s="212">
        <f>+AX107+AX101+AX100+AX94+AX82+AX75+AX74</f>
        <v>1000</v>
      </c>
      <c r="AY108" s="212">
        <f>+AY107+AY101+AY100+AY94+AY82+AY75+AY74</f>
        <v>1000</v>
      </c>
      <c r="AZ108" s="212">
        <f>+AZ107+AZ101+AZ100+AZ94+AZ82+AZ75+AZ74</f>
        <v>0</v>
      </c>
      <c r="BA108" s="212">
        <f>+BA107+BA101+BA100+BA94+BA82+BA75+BA74</f>
        <v>0</v>
      </c>
    </row>
    <row r="109" spans="2:53" ht="12.75">
      <c r="B109" s="232" t="s">
        <v>277</v>
      </c>
      <c r="C109" s="233"/>
      <c r="D109" s="234">
        <f>+D101+D94+D82+D74-D33</f>
        <v>-392817</v>
      </c>
      <c r="E109" s="234">
        <f>+E101+E94+E82+E74-E33</f>
        <v>-30652</v>
      </c>
      <c r="F109" s="234">
        <f>+E109+D109</f>
        <v>-423469</v>
      </c>
      <c r="G109" s="234">
        <f>+G101+G94+G82+G74-G33</f>
        <v>-546348</v>
      </c>
      <c r="H109" s="234">
        <f>+H101+H94+H82+H74-H33</f>
        <v>-31224</v>
      </c>
      <c r="I109" s="234">
        <f>+H109+G109</f>
        <v>-577572</v>
      </c>
      <c r="J109" s="234">
        <f>+J101+J94+J82+J74-J33</f>
        <v>-262185</v>
      </c>
      <c r="K109" s="234">
        <f>+K101+K94+K82+K74-K33</f>
        <v>-403616</v>
      </c>
      <c r="L109" s="234">
        <f>+L101+L94+L82+L74-L33</f>
        <v>-2476</v>
      </c>
      <c r="M109" s="234">
        <f>+M101+M94+M82+M74-M33</f>
        <v>-2476</v>
      </c>
      <c r="N109" s="234">
        <f>+N101+N94+N82+N74-N33</f>
        <v>0</v>
      </c>
      <c r="O109" s="234">
        <f>+O101+O94+O82+O74-O33</f>
        <v>0</v>
      </c>
      <c r="P109" s="234">
        <f>+P101+P94+P82+P74-P33</f>
        <v>566</v>
      </c>
      <c r="Q109" s="234">
        <f>+Q101+Q94+Q82+Q74-Q33</f>
        <v>566</v>
      </c>
      <c r="R109" s="234">
        <f>+R101+R94+R82+R74-R33</f>
        <v>-34315</v>
      </c>
      <c r="S109" s="234">
        <f>+S101+S94+S82+S74-S33</f>
        <v>-34315</v>
      </c>
      <c r="T109" s="234">
        <f>+T101+T94+T82+T74-T33</f>
        <v>-18846</v>
      </c>
      <c r="U109" s="234">
        <f>+U101+U94+U82+U74-U33</f>
        <v>-18846</v>
      </c>
      <c r="V109" s="234">
        <f>+V101+V94+V82+V74-V33</f>
        <v>-5974</v>
      </c>
      <c r="W109" s="234">
        <f>+W101+W94+W82+W74-W33</f>
        <v>-5974</v>
      </c>
      <c r="X109" s="234">
        <f>+X101+X94+X82+X74-X33</f>
        <v>-5804</v>
      </c>
      <c r="Y109" s="234">
        <f>+Y101+Y94+Y82+Y74-Y33</f>
        <v>-5804</v>
      </c>
      <c r="Z109" s="234">
        <f>+Z101+Z94+Z82+Z74-Z33</f>
        <v>-24448</v>
      </c>
      <c r="AA109" s="234">
        <f>+AA101+AA94+AA82+AA74-AA33</f>
        <v>-24448</v>
      </c>
      <c r="AB109" s="234">
        <f>+AB101+AB94+AB82+AB74-AB33</f>
        <v>-33782</v>
      </c>
      <c r="AC109" s="234">
        <f>+AC101+AC94+AC82+AC74-AC33</f>
        <v>-45882</v>
      </c>
      <c r="AD109" s="234">
        <f>+AD101+AD94+AD82+AD74-AD33</f>
        <v>-2664</v>
      </c>
      <c r="AE109" s="234">
        <f>+AE101+AE94+AE82+AE74-AE33</f>
        <v>-2664</v>
      </c>
      <c r="AF109" s="234">
        <f>+AF101+AF94+AF82+AF74-AF33</f>
        <v>-635</v>
      </c>
      <c r="AG109" s="234">
        <f>+AG101+AG94+AG82+AG74-AG33</f>
        <v>-635</v>
      </c>
      <c r="AH109" s="234">
        <f>+AH101+AH94+AH82+AH74-AH33</f>
        <v>-254</v>
      </c>
      <c r="AI109" s="234">
        <f>+AI101+AI94+AI82+AI74-AI33</f>
        <v>-254</v>
      </c>
      <c r="AJ109" s="234">
        <f>+AJ101+AJ94+AJ82+AJ74-AJ33</f>
        <v>-2000</v>
      </c>
      <c r="AK109" s="234">
        <f>+AK101+AK94+AK82+AK74-AK33</f>
        <v>-2000</v>
      </c>
      <c r="AL109" s="234">
        <f>+AL101+AL94+AL82+AL74-AL33</f>
        <v>-11000</v>
      </c>
      <c r="AM109" s="234">
        <f>+AM101+AM94+AM82+AM74-AM33</f>
        <v>-11000</v>
      </c>
      <c r="AN109" s="234">
        <f>+AN101+AN94+AN82+AN74-AN33</f>
        <v>-950</v>
      </c>
      <c r="AO109" s="234">
        <f>+AO101+AO94+AO82+AO74-AO33</f>
        <v>-950</v>
      </c>
      <c r="AP109" s="234">
        <f>+AP101+AP94+AP82+AP74-AP33</f>
        <v>-168</v>
      </c>
      <c r="AQ109" s="234">
        <f>+AQ101+AQ94+AQ82+AQ74-AQ33</f>
        <v>-168</v>
      </c>
      <c r="AR109" s="234">
        <f>+AR101+AR94+AR82+AR74-AR33</f>
        <v>-8300</v>
      </c>
      <c r="AS109" s="234">
        <f>+AS101+AS94+AS82+AS74-AS33</f>
        <v>-8300</v>
      </c>
      <c r="AT109" s="234">
        <f>+AT101+AT94+AT82+AT74-AT33</f>
        <v>-1184</v>
      </c>
      <c r="AU109" s="234">
        <f>+AU101+AU94+AU82+AU74-AU33</f>
        <v>-1184</v>
      </c>
      <c r="AV109" s="234">
        <f>+AV101+AV94+AV82+AV74-AV33</f>
        <v>-2000</v>
      </c>
      <c r="AW109" s="234">
        <f>+AW101+AW94+AW82+AW74-AW33</f>
        <v>-2000</v>
      </c>
      <c r="AX109" s="234">
        <f>+AX101+AX94+AX82+AX74-AX33</f>
        <v>-6600</v>
      </c>
      <c r="AY109" s="234">
        <f>+AY101+AY94+AY82+AY74-AY33</f>
        <v>-7172</v>
      </c>
      <c r="AZ109" s="234">
        <f>+AZ101+AZ94+AZ82+AZ74-AZ33</f>
        <v>-450</v>
      </c>
      <c r="BA109" s="234">
        <f>+BA101+BA94+BA82+BA74-BA33</f>
        <v>-450</v>
      </c>
    </row>
    <row r="110" spans="2:53" ht="12.75">
      <c r="B110" s="232" t="s">
        <v>278</v>
      </c>
      <c r="C110" s="233"/>
      <c r="D110" s="234">
        <f>+D107+D100+D75-D57</f>
        <v>-59132</v>
      </c>
      <c r="E110" s="234">
        <f>+E107+E100+E75-E57</f>
        <v>-3203</v>
      </c>
      <c r="F110" s="234">
        <f>+E110+D110</f>
        <v>-62335</v>
      </c>
      <c r="G110" s="234">
        <f>+G107+G100+G75-G57</f>
        <v>-59132</v>
      </c>
      <c r="H110" s="234">
        <f>+H107+H100+H75-H57</f>
        <v>-3203</v>
      </c>
      <c r="I110" s="234">
        <f>+H110+G110</f>
        <v>-62335</v>
      </c>
      <c r="J110" s="234">
        <f>+J107+J100+J75-J57</f>
        <v>-59132</v>
      </c>
      <c r="K110" s="234">
        <f>+K107+K100+K75-K57</f>
        <v>-59132</v>
      </c>
      <c r="L110" s="234">
        <f>+L107+L100+L75-L57</f>
        <v>0</v>
      </c>
      <c r="M110" s="234">
        <f>+M107+M100+M75-M57</f>
        <v>0</v>
      </c>
      <c r="N110" s="234">
        <f>+N107+N100+N75-N57</f>
        <v>0</v>
      </c>
      <c r="O110" s="234">
        <f>+O107+O100+O75-O57</f>
        <v>0</v>
      </c>
      <c r="P110" s="234">
        <f>+P107+P100+P75-P57</f>
        <v>0</v>
      </c>
      <c r="Q110" s="234">
        <f>+Q107+Q100+Q75-Q57</f>
        <v>0</v>
      </c>
      <c r="R110" s="234">
        <f>+R107+R100+R75-R57</f>
        <v>0</v>
      </c>
      <c r="S110" s="234">
        <f>+S107+S100+S75-S57</f>
        <v>0</v>
      </c>
      <c r="T110" s="234">
        <f>+T107+T100+T75-T57</f>
        <v>0</v>
      </c>
      <c r="U110" s="234">
        <f>+U107+U100+U75-U57</f>
        <v>0</v>
      </c>
      <c r="V110" s="234">
        <f>+V107+V100+V75-V57</f>
        <v>0</v>
      </c>
      <c r="W110" s="234">
        <f>+W107+W100+W75-W57</f>
        <v>0</v>
      </c>
      <c r="X110" s="234">
        <f>+X107+X100+X75-X57</f>
        <v>0</v>
      </c>
      <c r="Y110" s="234">
        <f>+Y107+Y100+Y75-Y57</f>
        <v>0</v>
      </c>
      <c r="Z110" s="234">
        <f>+Z107+Z100+Z75-Z57</f>
        <v>0</v>
      </c>
      <c r="AA110" s="234">
        <f>+AA107+AA100+AA75-AA57</f>
        <v>0</v>
      </c>
      <c r="AB110" s="234">
        <f>+AB107+AB100+AB75-AB57</f>
        <v>0</v>
      </c>
      <c r="AC110" s="234">
        <f>+AC107+AC100+AC75-AC57</f>
        <v>0</v>
      </c>
      <c r="AD110" s="234">
        <f>+AD107+AD100+AD75-AD57</f>
        <v>0</v>
      </c>
      <c r="AE110" s="234">
        <f>+AE107+AE100+AE75-AE57</f>
        <v>0</v>
      </c>
      <c r="AF110" s="234">
        <f>+AF107+AF100+AF75-AF57</f>
        <v>0</v>
      </c>
      <c r="AG110" s="234">
        <f>+AG107+AG100+AG75-AG57</f>
        <v>0</v>
      </c>
      <c r="AH110" s="234">
        <f>+AH107+AH100+AH75-AH57</f>
        <v>0</v>
      </c>
      <c r="AI110" s="234">
        <f>+AI107+AI100+AI75-AI57</f>
        <v>0</v>
      </c>
      <c r="AJ110" s="234">
        <f>+AJ107+AJ100+AJ75-AJ57</f>
        <v>0</v>
      </c>
      <c r="AK110" s="234">
        <f>+AK107+AK100+AK75-AK57</f>
        <v>0</v>
      </c>
      <c r="AL110" s="234">
        <f>+AL107+AL100+AL75-AL57</f>
        <v>0</v>
      </c>
      <c r="AM110" s="234">
        <f>+AM107+AM100+AM75-AM57</f>
        <v>0</v>
      </c>
      <c r="AN110" s="234">
        <f>+AN107+AN100+AN75-AN57</f>
        <v>0</v>
      </c>
      <c r="AO110" s="234">
        <f>+AO107+AO100+AO75-AO57</f>
        <v>0</v>
      </c>
      <c r="AP110" s="234">
        <f>+AP107+AP100+AP75-AP57</f>
        <v>-203</v>
      </c>
      <c r="AQ110" s="234">
        <f>+AQ107+AQ100+AQ75-AQ57</f>
        <v>-203</v>
      </c>
      <c r="AR110" s="234">
        <f>+AR107+AR100+AR75-AR57</f>
        <v>-3000</v>
      </c>
      <c r="AS110" s="234">
        <f>+AS107+AS100+AS75-AS57</f>
        <v>-3000</v>
      </c>
      <c r="AT110" s="234">
        <f>+AT107+AT100+AT75-AT57</f>
        <v>0</v>
      </c>
      <c r="AU110" s="234">
        <f>+AU107+AU100+AU75-AU57</f>
        <v>0</v>
      </c>
      <c r="AV110" s="234">
        <f>+AV107+AV100+AV75-AV57</f>
        <v>0</v>
      </c>
      <c r="AW110" s="234">
        <f>+AW107+AW100+AW75-AW57</f>
        <v>0</v>
      </c>
      <c r="AX110" s="234">
        <f>+AX107+AX100+AX75-AX57</f>
        <v>0</v>
      </c>
      <c r="AY110" s="234">
        <f>+AY107+AY100+AY75-AY57</f>
        <v>0</v>
      </c>
      <c r="AZ110" s="234">
        <f>+AZ107+AZ100+AZ75-AZ57</f>
        <v>0</v>
      </c>
      <c r="BA110" s="234">
        <f>+BA107+BA100+BA75-BA57</f>
        <v>0</v>
      </c>
    </row>
    <row r="111" spans="2:53" ht="12.75">
      <c r="B111" s="235" t="s">
        <v>586</v>
      </c>
      <c r="C111" s="236" t="s">
        <v>286</v>
      </c>
      <c r="D111" s="186">
        <f>+J111+L111+N111+P111+R111+T111+V111+X111+Z111+AB111+AD111+AF111+AH111+AJ111</f>
        <v>0</v>
      </c>
      <c r="E111" s="187">
        <f>+AL111+AN111+AP111+AR111+AV111+AX111+AZ111+AT111</f>
        <v>0</v>
      </c>
      <c r="F111" s="188">
        <f>+E111+D111</f>
        <v>0</v>
      </c>
      <c r="G111" s="186">
        <f>+M111+O111+Q111+S111+U111+W111+Y111+AA111+AC111+AE111+AG111+AI111+AK111+K111</f>
        <v>0</v>
      </c>
      <c r="H111" s="187">
        <f>+BA111+AY111+AW111+AU111+AS111+AQ111+AO111+AM111</f>
        <v>0</v>
      </c>
      <c r="I111" s="188">
        <f>+H111+G111</f>
        <v>0</v>
      </c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</row>
    <row r="112" spans="2:53" ht="12.75">
      <c r="B112" s="237" t="s">
        <v>587</v>
      </c>
      <c r="C112" s="236" t="s">
        <v>296</v>
      </c>
      <c r="D112" s="186">
        <f>+J112+L112+N112+P112+R112+T112+V112+X112+Z112+AB112+AD112+AF112+AH112+AJ112</f>
        <v>0</v>
      </c>
      <c r="E112" s="187">
        <f>+AL112+AN112+AP112+AR112+AV112+AX112+AZ112+AT112</f>
        <v>0</v>
      </c>
      <c r="F112" s="188">
        <f>+E112+D112</f>
        <v>0</v>
      </c>
      <c r="G112" s="186">
        <f>+M112+O112+Q112+S112+U112+W112+Y112+AA112+AC112+AE112+AG112+AI112+AK112+K112</f>
        <v>0</v>
      </c>
      <c r="H112" s="187">
        <f>+BA112+AY112+AW112+AU112+AS112+AQ112+AO112+AM112</f>
        <v>0</v>
      </c>
      <c r="I112" s="188">
        <f>+H112+G112</f>
        <v>0</v>
      </c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</row>
    <row r="113" spans="2:53" ht="14.25" customHeight="1">
      <c r="B113" s="190" t="s">
        <v>297</v>
      </c>
      <c r="C113" s="190" t="s">
        <v>298</v>
      </c>
      <c r="D113" s="186">
        <f>+J113+L113+N113+P113+R113+T113+V113+X113+Z113+AB113+AD113+AF113+AH113+AJ113</f>
        <v>117137</v>
      </c>
      <c r="E113" s="187">
        <f>+AL113+AN113+AP113+AR113+AV113+AX113+AZ113+AT113</f>
        <v>0</v>
      </c>
      <c r="F113" s="188">
        <f>+E113+D113</f>
        <v>117137</v>
      </c>
      <c r="G113" s="186">
        <f>+M113+O113+Q113+S113+U113+W113+Y113+AA113+AC113+AE113+AG113+AI113+AK113+K113</f>
        <v>156456</v>
      </c>
      <c r="H113" s="187">
        <f>+BA113+AY113+AW113+AU113+AS113+AQ113+AO113+AM113</f>
        <v>0</v>
      </c>
      <c r="I113" s="188">
        <f>+H113+G113</f>
        <v>156456</v>
      </c>
      <c r="J113" s="186">
        <v>117137</v>
      </c>
      <c r="K113" s="186">
        <v>156456</v>
      </c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</row>
    <row r="114" spans="2:53" ht="12.75">
      <c r="B114" s="190" t="s">
        <v>588</v>
      </c>
      <c r="C114" s="190" t="s">
        <v>298</v>
      </c>
      <c r="D114" s="186">
        <f>+J114+L114+N114+P114+R114+T114+V114+X114+Z114+AB114+AD114+AF114+AH114+AJ114</f>
        <v>0</v>
      </c>
      <c r="E114" s="187">
        <f>+AL114+AN114+AP114+AR114+AV114+AX114+AZ114+AT114</f>
        <v>0</v>
      </c>
      <c r="F114" s="188">
        <f>+E114+D114</f>
        <v>0</v>
      </c>
      <c r="G114" s="186">
        <f>+M114+O114+Q114+S114+U114+W114+Y114+AA114+AC114+AE114+AG114+AI114+AK114+K114</f>
        <v>0</v>
      </c>
      <c r="H114" s="187">
        <f>+BA114+AY114+AW114+AU114+AS114+AQ114+AO114+AM114</f>
        <v>0</v>
      </c>
      <c r="I114" s="188">
        <f>+H114+G114</f>
        <v>0</v>
      </c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</row>
    <row r="115" spans="2:53" ht="12.75">
      <c r="B115" s="190" t="s">
        <v>300</v>
      </c>
      <c r="C115" s="190" t="s">
        <v>301</v>
      </c>
      <c r="D115" s="186">
        <f>+J115+L115+N115+P115+R115+T115+V115+X115+Z115+AB115+AD115+AF115+AH115+AJ115</f>
        <v>0</v>
      </c>
      <c r="E115" s="187">
        <f>+AL115+AN115+AP115+AR115+AV115+AX115+AZ115+AT115</f>
        <v>0</v>
      </c>
      <c r="F115" s="188">
        <f>+E115+D115</f>
        <v>0</v>
      </c>
      <c r="G115" s="186">
        <f>+M115+O115+Q115+S115+U115+W115+Y115+AA115+AC115+AE115+AG115+AI115+AK115+K115</f>
        <v>0</v>
      </c>
      <c r="H115" s="187">
        <f>+BA115+AY115+AW115+AU115+AS115+AQ115+AO115+AM115</f>
        <v>0</v>
      </c>
      <c r="I115" s="188">
        <f>+H115+G115</f>
        <v>0</v>
      </c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</row>
    <row r="116" spans="2:53" ht="12.75">
      <c r="B116" s="190" t="s">
        <v>589</v>
      </c>
      <c r="C116" s="190" t="s">
        <v>301</v>
      </c>
      <c r="D116" s="186">
        <f>+J116+L116+N116+P116+R116+T116+V116+X116+Z116+AB116+AD116+AF116+AH116+AJ116</f>
        <v>0</v>
      </c>
      <c r="E116" s="187">
        <f>+AL116+AN116+AP116+AR116+AV116+AX116+AZ116+AT116</f>
        <v>0</v>
      </c>
      <c r="F116" s="188">
        <f>+E116+D116</f>
        <v>0</v>
      </c>
      <c r="G116" s="186">
        <f>+M116+O116+Q116+S116+U116+W116+Y116+AA116+AC116+AE116+AG116+AI116+AK116+K116</f>
        <v>0</v>
      </c>
      <c r="H116" s="187">
        <f>+BA116+AY116+AW116+AU116+AS116+AQ116+AO116+AM116</f>
        <v>0</v>
      </c>
      <c r="I116" s="188">
        <f>+H116+G116</f>
        <v>0</v>
      </c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</row>
    <row r="117" spans="2:53" ht="12.75">
      <c r="B117" s="236" t="s">
        <v>303</v>
      </c>
      <c r="C117" s="236" t="s">
        <v>304</v>
      </c>
      <c r="D117" s="188">
        <f>SUM(D113:D116)</f>
        <v>117137</v>
      </c>
      <c r="E117" s="188">
        <f>SUM(E113:E116)</f>
        <v>0</v>
      </c>
      <c r="F117" s="188">
        <f>SUM(F113:F116)</f>
        <v>117137</v>
      </c>
      <c r="G117" s="188">
        <f>SUM(G113:G116)</f>
        <v>156456</v>
      </c>
      <c r="H117" s="188">
        <f>SUM(H113:H116)</f>
        <v>0</v>
      </c>
      <c r="I117" s="188">
        <f>SUM(I113:I116)</f>
        <v>156456</v>
      </c>
      <c r="J117" s="188">
        <f>SUM(J113:J116)</f>
        <v>117137</v>
      </c>
      <c r="K117" s="188">
        <f>SUM(K113:K116)</f>
        <v>156456</v>
      </c>
      <c r="L117" s="188">
        <f>SUM(L113:L116)</f>
        <v>0</v>
      </c>
      <c r="M117" s="188">
        <f>SUM(M113:M116)</f>
        <v>0</v>
      </c>
      <c r="N117" s="188">
        <f>SUM(N113:N116)</f>
        <v>0</v>
      </c>
      <c r="O117" s="188">
        <f>SUM(O113:O116)</f>
        <v>0</v>
      </c>
      <c r="P117" s="188">
        <f>SUM(P113:P116)</f>
        <v>0</v>
      </c>
      <c r="Q117" s="188">
        <f>SUM(Q113:Q116)</f>
        <v>0</v>
      </c>
      <c r="R117" s="188">
        <f>SUM(R113:R116)</f>
        <v>0</v>
      </c>
      <c r="S117" s="188">
        <f>SUM(S113:S116)</f>
        <v>0</v>
      </c>
      <c r="T117" s="188">
        <f>SUM(T113:T116)</f>
        <v>0</v>
      </c>
      <c r="U117" s="188">
        <f>SUM(U113:U116)</f>
        <v>0</v>
      </c>
      <c r="V117" s="188">
        <f>SUM(V113:V116)</f>
        <v>0</v>
      </c>
      <c r="W117" s="188">
        <f>SUM(W113:W116)</f>
        <v>0</v>
      </c>
      <c r="X117" s="188">
        <f>SUM(X113:X116)</f>
        <v>0</v>
      </c>
      <c r="Y117" s="188">
        <f>SUM(Y113:Y116)</f>
        <v>0</v>
      </c>
      <c r="Z117" s="188">
        <f>SUM(Z113:Z116)</f>
        <v>0</v>
      </c>
      <c r="AA117" s="188">
        <f>SUM(AA113:AA116)</f>
        <v>0</v>
      </c>
      <c r="AB117" s="188">
        <f>SUM(AB113:AB116)</f>
        <v>0</v>
      </c>
      <c r="AC117" s="188">
        <f>SUM(AC113:AC116)</f>
        <v>0</v>
      </c>
      <c r="AD117" s="188">
        <f>SUM(AD113:AD116)</f>
        <v>0</v>
      </c>
      <c r="AE117" s="188">
        <f>SUM(AE113:AE116)</f>
        <v>0</v>
      </c>
      <c r="AF117" s="188">
        <f>SUM(AF113:AF116)</f>
        <v>0</v>
      </c>
      <c r="AG117" s="188">
        <f>SUM(AG113:AG116)</f>
        <v>0</v>
      </c>
      <c r="AH117" s="188">
        <f>SUM(AH113:AH116)</f>
        <v>0</v>
      </c>
      <c r="AI117" s="188">
        <f>SUM(AI113:AI116)</f>
        <v>0</v>
      </c>
      <c r="AJ117" s="188">
        <f>SUM(AJ113:AJ116)</f>
        <v>0</v>
      </c>
      <c r="AK117" s="188">
        <f>SUM(AK113:AK116)</f>
        <v>0</v>
      </c>
      <c r="AL117" s="188">
        <f>SUM(AL113:AL116)</f>
        <v>0</v>
      </c>
      <c r="AM117" s="188">
        <f>SUM(AM113:AM116)</f>
        <v>0</v>
      </c>
      <c r="AN117" s="188">
        <f>SUM(AN113:AN116)</f>
        <v>0</v>
      </c>
      <c r="AO117" s="188">
        <f>SUM(AO113:AO116)</f>
        <v>0</v>
      </c>
      <c r="AP117" s="188">
        <f>SUM(AP113:AP116)</f>
        <v>0</v>
      </c>
      <c r="AQ117" s="188">
        <f>SUM(AQ113:AQ116)</f>
        <v>0</v>
      </c>
      <c r="AR117" s="188">
        <f>SUM(AR113:AR116)</f>
        <v>0</v>
      </c>
      <c r="AS117" s="188">
        <f>SUM(AS113:AS116)</f>
        <v>0</v>
      </c>
      <c r="AT117" s="188">
        <f>SUM(AT113:AT116)</f>
        <v>0</v>
      </c>
      <c r="AU117" s="188">
        <f>SUM(AU113:AU116)</f>
        <v>0</v>
      </c>
      <c r="AV117" s="188">
        <f>SUM(AV113:AV116)</f>
        <v>0</v>
      </c>
      <c r="AW117" s="188">
        <f>SUM(AW113:AW116)</f>
        <v>0</v>
      </c>
      <c r="AX117" s="188">
        <f>SUM(AX113:AX116)</f>
        <v>0</v>
      </c>
      <c r="AY117" s="188">
        <f>SUM(AY113:AY116)</f>
        <v>0</v>
      </c>
      <c r="AZ117" s="188">
        <f>SUM(AZ113:AZ116)</f>
        <v>0</v>
      </c>
      <c r="BA117" s="188">
        <f>SUM(BA113:BA116)</f>
        <v>0</v>
      </c>
    </row>
    <row r="118" spans="2:53" ht="12.75">
      <c r="B118" s="213" t="s">
        <v>305</v>
      </c>
      <c r="C118" s="190" t="s">
        <v>306</v>
      </c>
      <c r="D118" s="186">
        <f>+J118+L118+N118+P118+R118+T118+V118+X118+Z118+AB118+AD118+AF118+AH118+AJ118</f>
        <v>0</v>
      </c>
      <c r="E118" s="187">
        <f>+AL118+AN118+AP118+AR118+AV118+AX118+AZ118+AT118</f>
        <v>0</v>
      </c>
      <c r="F118" s="188">
        <f>+E118+D118</f>
        <v>0</v>
      </c>
      <c r="G118" s="186">
        <f>+M118+O118+Q118+S118+U118+W118+Y118+AA118+AC118+AE118+AG118+AI118+AK118+K118</f>
        <v>0</v>
      </c>
      <c r="H118" s="187">
        <f>+BA118+AY118+AW118+AU118+AS118+AQ118+AO118+AM118</f>
        <v>0</v>
      </c>
      <c r="I118" s="188">
        <f>+H118+G118</f>
        <v>0</v>
      </c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</row>
    <row r="119" spans="2:53" ht="12.75">
      <c r="B119" s="213" t="s">
        <v>307</v>
      </c>
      <c r="C119" s="190" t="s">
        <v>308</v>
      </c>
      <c r="D119" s="186">
        <f>+J119+L119+N119+P119+R119+T119+V119+X119+Z119+AB119+AD119+AF119+AH119+AJ119</f>
        <v>0</v>
      </c>
      <c r="E119" s="187">
        <f>+AL119+AN119+AP119+AR119+AV119+AX119+AZ119+AT119</f>
        <v>0</v>
      </c>
      <c r="F119" s="188">
        <f>+E119+D119</f>
        <v>0</v>
      </c>
      <c r="G119" s="186">
        <f>+M119+O119+Q119+S119+U119+W119+Y119+AA119+AC119+AE119+AG119+AI119+AK119+K119</f>
        <v>0</v>
      </c>
      <c r="H119" s="187">
        <f>+BA119+AY119+AW119+AU119+AS119+AQ119+AO119+AM119</f>
        <v>0</v>
      </c>
      <c r="I119" s="188">
        <f>+H119+G119</f>
        <v>0</v>
      </c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</row>
    <row r="120" spans="2:53" ht="12.75">
      <c r="B120" s="213" t="s">
        <v>309</v>
      </c>
      <c r="C120" s="190" t="s">
        <v>310</v>
      </c>
      <c r="D120" s="186">
        <f>+J120+L120+N120+P120+R120+T120+V120+X120+Z120+AB120+AD120+AF120+AH120+AJ120</f>
        <v>0</v>
      </c>
      <c r="E120" s="187">
        <f>+AL120+AN120+AP120+AR120+AV120+AX120+AZ120+AT120</f>
        <v>0</v>
      </c>
      <c r="F120" s="188">
        <f>+E120+D120</f>
        <v>0</v>
      </c>
      <c r="G120" s="186">
        <f>+M120+O120+Q120+S120+U120+W120+Y120+AA120+AC120+AE120+AG120+AI120+AK120+K120</f>
        <v>0</v>
      </c>
      <c r="H120" s="187">
        <f>+BA120+AY120+AW120+AU120+AS120+AQ120+AO120+AM120</f>
        <v>0</v>
      </c>
      <c r="I120" s="188">
        <f>+H120+G120</f>
        <v>0</v>
      </c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</row>
    <row r="121" spans="2:53" ht="12.75" hidden="1">
      <c r="B121" s="238" t="s">
        <v>590</v>
      </c>
      <c r="C121" s="190"/>
      <c r="D121" s="186"/>
      <c r="E121" s="187">
        <f>+AL121+AN121+AP121+AR121+AV121+AX121+AZ121+AT121</f>
        <v>0</v>
      </c>
      <c r="F121" s="188">
        <f>+E121+D121</f>
        <v>0</v>
      </c>
      <c r="G121" s="186"/>
      <c r="H121" s="187">
        <f>+AO121+AQ121+AS121+AU121+AY121+BA121+BC121+AW121</f>
        <v>0</v>
      </c>
      <c r="I121" s="188">
        <f>+H121+G121</f>
        <v>0</v>
      </c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</row>
    <row r="122" spans="2:53" ht="12.75" hidden="1">
      <c r="B122" s="239" t="s">
        <v>591</v>
      </c>
      <c r="C122" s="190"/>
      <c r="D122" s="186">
        <f>+D120-D121</f>
        <v>0</v>
      </c>
      <c r="E122" s="187">
        <f>+AL122+AN122+AP122+AR122+AV122+AX122+AZ122+AT122</f>
        <v>0</v>
      </c>
      <c r="F122" s="188">
        <f>+E122+D122</f>
        <v>0</v>
      </c>
      <c r="G122" s="186">
        <f>+G120-G121</f>
        <v>0</v>
      </c>
      <c r="H122" s="187">
        <f>+AO122+AQ122+AS122+AU122+AY122+BA122+BC122+AW122</f>
        <v>0</v>
      </c>
      <c r="I122" s="188">
        <f>+H122+G122</f>
        <v>0</v>
      </c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</row>
    <row r="123" spans="2:53" ht="12.75" hidden="1">
      <c r="B123" s="213" t="s">
        <v>311</v>
      </c>
      <c r="C123" s="190" t="s">
        <v>312</v>
      </c>
      <c r="D123" s="186">
        <f>+J123+L123+N123+P123+R123+T123+V123+X123+Z123+AB123+AD123+AF123+AH123+AJ123</f>
        <v>0</v>
      </c>
      <c r="E123" s="187">
        <f>+AL123+AN123+AP123+AR123+AV123+AX123+AZ123+AT123</f>
        <v>0</v>
      </c>
      <c r="F123" s="188">
        <f>+E123+D123</f>
        <v>0</v>
      </c>
      <c r="G123" s="186">
        <f>+M123+O123+Q123+S123+U123+W123+Y123+AA123+AC123+AE123+AG123+AI123+AK123+AM123</f>
        <v>0</v>
      </c>
      <c r="H123" s="187">
        <f>+AO123+AQ123+AS123+AU123+AY123+BA123+BC123+AW123</f>
        <v>0</v>
      </c>
      <c r="I123" s="188">
        <f>+H123+G123</f>
        <v>0</v>
      </c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</row>
    <row r="124" spans="2:53" ht="12.75" hidden="1">
      <c r="B124" s="209" t="s">
        <v>313</v>
      </c>
      <c r="C124" s="190" t="s">
        <v>314</v>
      </c>
      <c r="D124" s="186">
        <f>+J124+L124+N124+P124+R124+T124+V124+X124+Z124+AB124+AD124+AF124+AH124+AJ124</f>
        <v>0</v>
      </c>
      <c r="E124" s="187">
        <f>+AL124+AN124+AP124+AR124+AV124+AX124+AZ124+AT124</f>
        <v>0</v>
      </c>
      <c r="F124" s="188">
        <f>+E124+D124</f>
        <v>0</v>
      </c>
      <c r="G124" s="186">
        <f>+M124+O124+Q124+S124+U124+W124+Y124+AA124+AC124+AE124+AG124+AI124+AK124+AM124</f>
        <v>0</v>
      </c>
      <c r="H124" s="187">
        <f>+AO124+AQ124+AS124+AU124+AY124+BA124+BC124+AW124</f>
        <v>0</v>
      </c>
      <c r="I124" s="188">
        <f>+H124+G124</f>
        <v>0</v>
      </c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</row>
    <row r="125" spans="2:53" ht="12.75" hidden="1">
      <c r="B125" s="209" t="s">
        <v>315</v>
      </c>
      <c r="C125" s="190" t="s">
        <v>316</v>
      </c>
      <c r="D125" s="186">
        <f>+J125+L125+N125+P125+R125+T125+V125+X125+Z125+AB125+AD125+AF125+AH125+AJ125</f>
        <v>0</v>
      </c>
      <c r="E125" s="187">
        <f>+AL125+AN125+AP125+AR125+AV125+AX125+AZ125+AT125</f>
        <v>0</v>
      </c>
      <c r="F125" s="188">
        <f>+E125+D125</f>
        <v>0</v>
      </c>
      <c r="G125" s="186">
        <f>+M125+O125+Q125+S125+U125+W125+Y125+AA125+AC125+AE125+AG125+AI125+AK125+AM125</f>
        <v>0</v>
      </c>
      <c r="H125" s="187">
        <f>+AO125+AQ125+AS125+AU125+AY125+BA125+BC125+AW125</f>
        <v>0</v>
      </c>
      <c r="I125" s="188">
        <f>+H125+G125</f>
        <v>0</v>
      </c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</row>
    <row r="126" spans="2:53" s="191" customFormat="1" ht="12.75">
      <c r="B126" s="200" t="s">
        <v>317</v>
      </c>
      <c r="C126" s="195" t="s">
        <v>318</v>
      </c>
      <c r="D126" s="194">
        <f>SUM(D118:D125)+D117+D112+D111</f>
        <v>117137</v>
      </c>
      <c r="E126" s="194">
        <f>SUM(E118:E125)+E117+E112+E111</f>
        <v>0</v>
      </c>
      <c r="F126" s="194">
        <f>SUM(F118:F125)+F117+F112+F111</f>
        <v>117137</v>
      </c>
      <c r="G126" s="194">
        <f>SUM(G118:G125)+G117+G112+G111</f>
        <v>156456</v>
      </c>
      <c r="H126" s="194">
        <f>SUM(H118:H125)+H117+H112+H111</f>
        <v>0</v>
      </c>
      <c r="I126" s="194">
        <f>SUM(I118:I125)+I117+I112+I111</f>
        <v>156456</v>
      </c>
      <c r="J126" s="194">
        <f>SUM(J118:J124)+J117+J112+J111</f>
        <v>117137</v>
      </c>
      <c r="K126" s="194">
        <f>SUM(K118:K124)+K117+K112+K111</f>
        <v>156456</v>
      </c>
      <c r="L126" s="194">
        <f>SUM(L118:L124)+L117+L112+L111</f>
        <v>0</v>
      </c>
      <c r="M126" s="194">
        <f>SUM(M118:M124)+M117+M112+M111</f>
        <v>0</v>
      </c>
      <c r="N126" s="194">
        <f>SUM(N118:N124)+N117+N112+N111</f>
        <v>0</v>
      </c>
      <c r="O126" s="194">
        <f>SUM(O118:O124)+O117+O112+O111</f>
        <v>0</v>
      </c>
      <c r="P126" s="194">
        <f>SUM(P118:P124)+P117+P112+P111</f>
        <v>0</v>
      </c>
      <c r="Q126" s="194">
        <f>SUM(Q118:Q124)+Q117+Q112+Q111</f>
        <v>0</v>
      </c>
      <c r="R126" s="194">
        <f>SUM(R118:R124)+R117+R112+R111</f>
        <v>0</v>
      </c>
      <c r="S126" s="194">
        <f>SUM(S118:S124)+S117+S112+S111</f>
        <v>0</v>
      </c>
      <c r="T126" s="194">
        <f>SUM(T118:T124)+T117+T112+T111</f>
        <v>0</v>
      </c>
      <c r="U126" s="194">
        <f>SUM(U118:U124)+U117+U112+U111</f>
        <v>0</v>
      </c>
      <c r="V126" s="194">
        <f>SUM(V118:V124)+V117+V112+V111</f>
        <v>0</v>
      </c>
      <c r="W126" s="194">
        <f>SUM(W118:W124)+W117+W112+W111</f>
        <v>0</v>
      </c>
      <c r="X126" s="194">
        <f>SUM(X118:X124)+X117+X112+X111</f>
        <v>0</v>
      </c>
      <c r="Y126" s="194">
        <f>SUM(Y118:Y124)+Y117+Y112+Y111</f>
        <v>0</v>
      </c>
      <c r="Z126" s="194">
        <f>SUM(Z118:Z124)+Z117+Z112+Z111</f>
        <v>0</v>
      </c>
      <c r="AA126" s="194">
        <f>SUM(AA118:AA124)+AA117+AA112+AA111</f>
        <v>0</v>
      </c>
      <c r="AB126" s="194">
        <f>SUM(AB118:AB124)+AB117+AB112+AB111</f>
        <v>0</v>
      </c>
      <c r="AC126" s="194">
        <f>SUM(AC118:AC124)+AC117+AC112+AC111</f>
        <v>0</v>
      </c>
      <c r="AD126" s="194">
        <f>SUM(AD118:AD124)+AD117+AD112+AD111</f>
        <v>0</v>
      </c>
      <c r="AE126" s="194">
        <f>SUM(AE118:AE124)+AE117+AE112+AE111</f>
        <v>0</v>
      </c>
      <c r="AF126" s="194">
        <f>SUM(AF118:AF124)+AF117+AF112+AF111</f>
        <v>0</v>
      </c>
      <c r="AG126" s="194">
        <f>SUM(AG118:AG124)+AG117+AG112+AG111</f>
        <v>0</v>
      </c>
      <c r="AH126" s="194">
        <f>SUM(AH118:AH124)+AH117+AH112+AH111</f>
        <v>0</v>
      </c>
      <c r="AI126" s="194">
        <f>SUM(AI118:AI124)+AI117+AI112+AI111</f>
        <v>0</v>
      </c>
      <c r="AJ126" s="194">
        <f>SUM(AJ118:AJ124)+AJ117+AJ112+AJ111</f>
        <v>0</v>
      </c>
      <c r="AK126" s="194">
        <f>SUM(AK118:AK124)+AK117+AK112+AK111</f>
        <v>0</v>
      </c>
      <c r="AL126" s="194">
        <f>SUM(AL118:AL124)+AL117+AL112+AL111</f>
        <v>0</v>
      </c>
      <c r="AM126" s="194">
        <f>SUM(AM118:AM124)+AM117+AM112+AM111</f>
        <v>0</v>
      </c>
      <c r="AN126" s="194">
        <f>SUM(AN118:AN124)+AN117+AN112+AN111</f>
        <v>0</v>
      </c>
      <c r="AO126" s="194">
        <f>SUM(AO118:AO124)+AO117+AO112+AO111</f>
        <v>0</v>
      </c>
      <c r="AP126" s="194">
        <f>SUM(AP118:AP124)+AP117+AP112+AP111</f>
        <v>0</v>
      </c>
      <c r="AQ126" s="194">
        <f>SUM(AQ118:AQ124)+AQ117+AQ112+AQ111</f>
        <v>0</v>
      </c>
      <c r="AR126" s="194">
        <f>SUM(AR118:AR124)+AR117+AR112+AR111</f>
        <v>0</v>
      </c>
      <c r="AS126" s="194">
        <f>SUM(AS118:AS124)+AS117+AS112+AS111</f>
        <v>0</v>
      </c>
      <c r="AT126" s="194">
        <f>SUM(AT118:AT124)+AT117+AT112+AT111</f>
        <v>0</v>
      </c>
      <c r="AU126" s="194">
        <f>SUM(AU118:AU124)+AU117+AU112+AU111</f>
        <v>0</v>
      </c>
      <c r="AV126" s="194">
        <f>SUM(AV118:AV124)+AV117+AV112+AV111</f>
        <v>0</v>
      </c>
      <c r="AW126" s="194">
        <f>SUM(AW118:AW124)+AW117+AW112+AW111</f>
        <v>0</v>
      </c>
      <c r="AX126" s="194">
        <f>SUM(AX118:AX124)+AX117+AX112+AX111</f>
        <v>0</v>
      </c>
      <c r="AY126" s="194">
        <f>SUM(AY118:AY124)+AY117+AY112+AY111</f>
        <v>0</v>
      </c>
      <c r="AZ126" s="194">
        <f>SUM(AZ118:AZ124)+AZ117+AZ112+AZ111</f>
        <v>0</v>
      </c>
      <c r="BA126" s="194">
        <f>SUM(BA118:BA124)+BA117+BA112+BA111</f>
        <v>0</v>
      </c>
    </row>
    <row r="127" spans="2:53" ht="12.75" hidden="1">
      <c r="B127" s="213" t="s">
        <v>319</v>
      </c>
      <c r="C127" s="190" t="s">
        <v>320</v>
      </c>
      <c r="D127" s="186">
        <f>+J127+L127+N127+P127+R127+T127+V127+X127+Z127+AB127+AD127+AF127+AH127+AJ127</f>
        <v>0</v>
      </c>
      <c r="E127" s="186">
        <f>+AL127+AN127+AP127+AR127+AV127+AX127+AZ127</f>
        <v>0</v>
      </c>
      <c r="F127" s="188">
        <f>+E127+D127</f>
        <v>0</v>
      </c>
      <c r="G127" s="186">
        <f>+M127+O127+Q127+S127+U127+W127+Y127+AA127+AC127+AE127+AG127+AI127+AK127+AM127</f>
        <v>0</v>
      </c>
      <c r="H127" s="186">
        <f>+AO127+AQ127+AS127+AU127+AY127+BA127+BC127</f>
        <v>0</v>
      </c>
      <c r="I127" s="188">
        <f>+H127+G127</f>
        <v>0</v>
      </c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</row>
    <row r="128" spans="2:53" ht="12.75" hidden="1">
      <c r="B128" s="209" t="s">
        <v>321</v>
      </c>
      <c r="C128" s="190" t="s">
        <v>322</v>
      </c>
      <c r="D128" s="186">
        <f>+J128+L128+N128+P128+R128+T128+V128+X128+Z128+AB128+AD128+AF128+AH128+AJ128</f>
        <v>0</v>
      </c>
      <c r="E128" s="186">
        <f>+AL128+AN128+AP128+AR128+AV128+AX128+AZ128</f>
        <v>0</v>
      </c>
      <c r="F128" s="188">
        <f>+E128+D128</f>
        <v>0</v>
      </c>
      <c r="G128" s="186">
        <f>+M128+O128+Q128+S128+U128+W128+Y128+AA128+AC128+AE128+AG128+AI128+AK128+AM128</f>
        <v>0</v>
      </c>
      <c r="H128" s="186">
        <f>+AO128+AQ128+AS128+AU128+AY128+BA128+BC128</f>
        <v>0</v>
      </c>
      <c r="I128" s="188">
        <f>+H128+G128</f>
        <v>0</v>
      </c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</row>
    <row r="129" spans="2:53" ht="12.75" hidden="1">
      <c r="B129" s="209" t="s">
        <v>323</v>
      </c>
      <c r="C129" s="190" t="s">
        <v>324</v>
      </c>
      <c r="D129" s="186">
        <f>+J129+L129+N129+P129+R129+T129+V129+X129+Z129+AB129+AD129+AF129+AH129+AJ129</f>
        <v>0</v>
      </c>
      <c r="E129" s="186">
        <f>+AL129+AN129+AP129+AR129+AV129+AX129+AZ129</f>
        <v>0</v>
      </c>
      <c r="F129" s="188">
        <f>+E129+D129</f>
        <v>0</v>
      </c>
      <c r="G129" s="186">
        <f>+M129+O129+Q129+S129+U129+W129+Y129+AA129+AC129+AE129+AG129+AI129+AK129+AM129</f>
        <v>0</v>
      </c>
      <c r="H129" s="186">
        <f>+AO129+AQ129+AS129+AU129+AY129+BA129+BC129</f>
        <v>0</v>
      </c>
      <c r="I129" s="188">
        <f>+H129+G129</f>
        <v>0</v>
      </c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</row>
    <row r="130" spans="2:53" ht="12.75">
      <c r="B130" s="216" t="s">
        <v>325</v>
      </c>
      <c r="C130" s="217" t="s">
        <v>326</v>
      </c>
      <c r="D130" s="212">
        <f>+D128+D127+D126+D129</f>
        <v>117137</v>
      </c>
      <c r="E130" s="212">
        <f>+E128+E127+E126+E129</f>
        <v>0</v>
      </c>
      <c r="F130" s="212">
        <f>+F128+F127+F126+F129</f>
        <v>117137</v>
      </c>
      <c r="G130" s="212">
        <f>+G128+G127+G126+G129</f>
        <v>156456</v>
      </c>
      <c r="H130" s="212">
        <f>+H128+H127+H126+H129</f>
        <v>0</v>
      </c>
      <c r="I130" s="212">
        <f>+I128+I127+I126+I129</f>
        <v>156456</v>
      </c>
      <c r="J130" s="212">
        <f>+J128+J127+J126</f>
        <v>117137</v>
      </c>
      <c r="K130" s="212">
        <f>+K128+K127+K126</f>
        <v>156456</v>
      </c>
      <c r="L130" s="212">
        <f>+L128+L127+L126</f>
        <v>0</v>
      </c>
      <c r="M130" s="212">
        <f>+M128+M127+M126</f>
        <v>0</v>
      </c>
      <c r="N130" s="212">
        <f>+N128+N127+N126</f>
        <v>0</v>
      </c>
      <c r="O130" s="212">
        <f>+O128+O127+O126</f>
        <v>0</v>
      </c>
      <c r="P130" s="212">
        <f>+P128+P127+P126</f>
        <v>0</v>
      </c>
      <c r="Q130" s="212">
        <f>+Q128+Q127+Q126</f>
        <v>0</v>
      </c>
      <c r="R130" s="212">
        <f>+R128+R127+R126</f>
        <v>0</v>
      </c>
      <c r="S130" s="212">
        <f>+S128+S127+S126</f>
        <v>0</v>
      </c>
      <c r="T130" s="212">
        <f>+T128+T127+T126</f>
        <v>0</v>
      </c>
      <c r="U130" s="212">
        <f>+U128+U127+U126</f>
        <v>0</v>
      </c>
      <c r="V130" s="212">
        <f>+V128+V127+V126</f>
        <v>0</v>
      </c>
      <c r="W130" s="212">
        <f>+W128+W127+W126</f>
        <v>0</v>
      </c>
      <c r="X130" s="212">
        <f>+X128+X127+X126</f>
        <v>0</v>
      </c>
      <c r="Y130" s="212">
        <f>+Y128+Y127+Y126</f>
        <v>0</v>
      </c>
      <c r="Z130" s="212">
        <f>+Z128+Z127+Z126</f>
        <v>0</v>
      </c>
      <c r="AA130" s="212">
        <f>+AA128+AA127+AA126</f>
        <v>0</v>
      </c>
      <c r="AB130" s="212">
        <f>+AB128+AB127+AB126</f>
        <v>0</v>
      </c>
      <c r="AC130" s="212">
        <f>+AC128+AC127+AC126</f>
        <v>0</v>
      </c>
      <c r="AD130" s="212">
        <f>+AD128+AD127+AD126</f>
        <v>0</v>
      </c>
      <c r="AE130" s="212">
        <f>+AE128+AE127+AE126</f>
        <v>0</v>
      </c>
      <c r="AF130" s="212">
        <f>+AF128+AF127+AF126</f>
        <v>0</v>
      </c>
      <c r="AG130" s="212">
        <f>+AG128+AG127+AG126</f>
        <v>0</v>
      </c>
      <c r="AH130" s="212">
        <f>+AH128+AH127+AH126</f>
        <v>0</v>
      </c>
      <c r="AI130" s="212">
        <f>+AI128+AI127+AI126</f>
        <v>0</v>
      </c>
      <c r="AJ130" s="212">
        <f>+AJ128+AJ127+AJ126</f>
        <v>0</v>
      </c>
      <c r="AK130" s="212">
        <f>+AK128+AK127+AK126</f>
        <v>0</v>
      </c>
      <c r="AL130" s="212">
        <f>+AL128+AL127+AL126</f>
        <v>0</v>
      </c>
      <c r="AM130" s="212">
        <f>+AM128+AM127+AM126</f>
        <v>0</v>
      </c>
      <c r="AN130" s="212">
        <f>+AN128+AN127+AN126</f>
        <v>0</v>
      </c>
      <c r="AO130" s="212">
        <f>+AO128+AO127+AO126</f>
        <v>0</v>
      </c>
      <c r="AP130" s="212">
        <f>+AP128+AP127+AP126</f>
        <v>0</v>
      </c>
      <c r="AQ130" s="212">
        <f>+AQ128+AQ127+AQ126</f>
        <v>0</v>
      </c>
      <c r="AR130" s="212">
        <f>+AR128+AR127+AR126</f>
        <v>0</v>
      </c>
      <c r="AS130" s="212">
        <f>+AS128+AS127+AS126</f>
        <v>0</v>
      </c>
      <c r="AT130" s="212">
        <f>+AT128+AT127+AT126</f>
        <v>0</v>
      </c>
      <c r="AU130" s="212">
        <f>+AU128+AU127+AU126</f>
        <v>0</v>
      </c>
      <c r="AV130" s="212">
        <f>+AV128+AV127+AV126</f>
        <v>0</v>
      </c>
      <c r="AW130" s="212">
        <f>+AW128+AW127+AW126</f>
        <v>0</v>
      </c>
      <c r="AX130" s="212">
        <f>+AX128+AX127+AX126</f>
        <v>0</v>
      </c>
      <c r="AY130" s="212">
        <f>+AY128+AY127+AY126</f>
        <v>0</v>
      </c>
      <c r="AZ130" s="212">
        <f>+AZ128+AZ127+AZ126</f>
        <v>0</v>
      </c>
      <c r="BA130" s="212">
        <f>+BA128+BA127+BA126</f>
        <v>0</v>
      </c>
    </row>
    <row r="131" spans="2:53" s="226" customFormat="1" ht="12.75">
      <c r="B131" s="219" t="s">
        <v>327</v>
      </c>
      <c r="C131" s="219" t="s">
        <v>328</v>
      </c>
      <c r="D131" s="220">
        <f>+D108+D130</f>
        <v>152147</v>
      </c>
      <c r="E131" s="220">
        <f>+E108+E130</f>
        <v>9313</v>
      </c>
      <c r="F131" s="220">
        <f>+F108+F130</f>
        <v>161460</v>
      </c>
      <c r="G131" s="220">
        <f>+G108+G130</f>
        <v>191466</v>
      </c>
      <c r="H131" s="220">
        <f>+H108+H130</f>
        <v>9313</v>
      </c>
      <c r="I131" s="220">
        <f>+I108+I130</f>
        <v>200779</v>
      </c>
      <c r="J131" s="220">
        <f>+J108+J130</f>
        <v>119137</v>
      </c>
      <c r="K131" s="220">
        <f>+K108+K130</f>
        <v>158456</v>
      </c>
      <c r="L131" s="220">
        <f>+L108+L130</f>
        <v>4924</v>
      </c>
      <c r="M131" s="220">
        <f>+M108+M130</f>
        <v>4924</v>
      </c>
      <c r="N131" s="220">
        <f>+N108+N130</f>
        <v>0</v>
      </c>
      <c r="O131" s="220">
        <f>+O108+O130</f>
        <v>0</v>
      </c>
      <c r="P131" s="220">
        <f>+P108+P130</f>
        <v>566</v>
      </c>
      <c r="Q131" s="220">
        <f>+Q108+Q130</f>
        <v>566</v>
      </c>
      <c r="R131" s="220">
        <f>+R108+R130</f>
        <v>0</v>
      </c>
      <c r="S131" s="220">
        <f>+S108+S130</f>
        <v>0</v>
      </c>
      <c r="T131" s="220">
        <f>+T108+T130</f>
        <v>0</v>
      </c>
      <c r="U131" s="220">
        <f>+U108+U130</f>
        <v>0</v>
      </c>
      <c r="V131" s="220">
        <f>+V108+V130</f>
        <v>1900</v>
      </c>
      <c r="W131" s="220">
        <f>+W108+W130</f>
        <v>1900</v>
      </c>
      <c r="X131" s="220">
        <f>+X108+X130</f>
        <v>25400</v>
      </c>
      <c r="Y131" s="220">
        <f>+Y108+Y130</f>
        <v>25400</v>
      </c>
      <c r="Z131" s="220">
        <f>+Z108+Z130</f>
        <v>0</v>
      </c>
      <c r="AA131" s="220">
        <f>+AA108+AA130</f>
        <v>0</v>
      </c>
      <c r="AB131" s="220">
        <f>+AB108+AB130</f>
        <v>0</v>
      </c>
      <c r="AC131" s="220">
        <f>+AC108+AC130</f>
        <v>0</v>
      </c>
      <c r="AD131" s="220">
        <f>+AD108+AD130</f>
        <v>220</v>
      </c>
      <c r="AE131" s="220">
        <f>+AE108+AE130</f>
        <v>220</v>
      </c>
      <c r="AF131" s="220">
        <f>+AF108+AF130</f>
        <v>0</v>
      </c>
      <c r="AG131" s="220">
        <f>+AG108+AG130</f>
        <v>0</v>
      </c>
      <c r="AH131" s="220">
        <f>+AH108+AH130</f>
        <v>0</v>
      </c>
      <c r="AI131" s="220">
        <f>+AI108+AI130</f>
        <v>0</v>
      </c>
      <c r="AJ131" s="220">
        <f>+AJ108+AJ130</f>
        <v>0</v>
      </c>
      <c r="AK131" s="220">
        <f>+AK108+AK130</f>
        <v>0</v>
      </c>
      <c r="AL131" s="220">
        <f>+AL108+AL130</f>
        <v>0</v>
      </c>
      <c r="AM131" s="220">
        <f>+AM108+AM130</f>
        <v>0</v>
      </c>
      <c r="AN131" s="220">
        <f>+AN108+AN130</f>
        <v>0</v>
      </c>
      <c r="AO131" s="220">
        <f>+AO108+AO130</f>
        <v>0</v>
      </c>
      <c r="AP131" s="220">
        <f>+AP108+AP130</f>
        <v>7043</v>
      </c>
      <c r="AQ131" s="220">
        <f>+AQ108+AQ130</f>
        <v>7043</v>
      </c>
      <c r="AR131" s="220">
        <f>+AR108+AR130</f>
        <v>0</v>
      </c>
      <c r="AS131" s="220">
        <f>+AS108+AS130</f>
        <v>0</v>
      </c>
      <c r="AT131" s="220">
        <f>+AT108+AT130</f>
        <v>1270</v>
      </c>
      <c r="AU131" s="220">
        <f>+AU108+AU130</f>
        <v>1270</v>
      </c>
      <c r="AV131" s="220">
        <f>+AV108+AV130</f>
        <v>0</v>
      </c>
      <c r="AW131" s="220">
        <f>+AW108+AW130</f>
        <v>0</v>
      </c>
      <c r="AX131" s="220">
        <f>+AX108+AX130</f>
        <v>1000</v>
      </c>
      <c r="AY131" s="220">
        <f>+AY108+AY130</f>
        <v>1000</v>
      </c>
      <c r="AZ131" s="220">
        <f>+AZ108+AZ130</f>
        <v>0</v>
      </c>
      <c r="BA131" s="220">
        <f>+BA108+BA130</f>
        <v>0</v>
      </c>
    </row>
    <row r="132" spans="2:9" s="226" customFormat="1" ht="12.75">
      <c r="B132" s="173"/>
      <c r="C132" s="173"/>
      <c r="D132" s="173"/>
      <c r="E132" s="173"/>
      <c r="F132" s="173"/>
      <c r="G132" s="173"/>
      <c r="H132" s="173"/>
      <c r="I132" s="173"/>
    </row>
    <row r="133" spans="2:9" s="226" customFormat="1" ht="12.75">
      <c r="B133" s="173"/>
      <c r="C133" s="173"/>
      <c r="D133" s="173"/>
      <c r="E133" s="173"/>
      <c r="F133" s="173"/>
      <c r="G133" s="173"/>
      <c r="H133" s="173"/>
      <c r="I133" s="173"/>
    </row>
    <row r="134" spans="2:9" s="226" customFormat="1" ht="12.75">
      <c r="B134" s="173"/>
      <c r="C134" s="173"/>
      <c r="D134" s="173"/>
      <c r="E134" s="173"/>
      <c r="F134" s="173"/>
      <c r="G134" s="173"/>
      <c r="H134" s="173"/>
      <c r="I134" s="173"/>
    </row>
    <row r="135" spans="2:9" s="226" customFormat="1" ht="12.75">
      <c r="B135" s="173"/>
      <c r="C135" s="173"/>
      <c r="D135" s="173"/>
      <c r="E135" s="173"/>
      <c r="F135" s="173"/>
      <c r="G135" s="173"/>
      <c r="H135" s="173"/>
      <c r="I135" s="173"/>
    </row>
    <row r="136" spans="2:9" s="226" customFormat="1" ht="12.75">
      <c r="B136" s="173"/>
      <c r="C136" s="173"/>
      <c r="D136" s="173"/>
      <c r="E136" s="173"/>
      <c r="F136" s="173"/>
      <c r="G136" s="173"/>
      <c r="H136" s="173"/>
      <c r="I136" s="173"/>
    </row>
    <row r="137" spans="2:9" s="226" customFormat="1" ht="12.75">
      <c r="B137" s="173"/>
      <c r="C137" s="173"/>
      <c r="D137" s="173"/>
      <c r="E137" s="173"/>
      <c r="F137" s="173"/>
      <c r="G137" s="173"/>
      <c r="H137" s="173"/>
      <c r="I137" s="173"/>
    </row>
    <row r="138" spans="2:9" s="226" customFormat="1" ht="12.75">
      <c r="B138" s="173"/>
      <c r="C138" s="173"/>
      <c r="D138" s="173"/>
      <c r="E138" s="173"/>
      <c r="F138" s="173"/>
      <c r="G138" s="173"/>
      <c r="H138" s="173"/>
      <c r="I138" s="173"/>
    </row>
    <row r="139" spans="2:9" s="226" customFormat="1" ht="12.75">
      <c r="B139" s="173"/>
      <c r="C139" s="173"/>
      <c r="D139" s="173"/>
      <c r="E139" s="173"/>
      <c r="F139" s="173"/>
      <c r="G139" s="173"/>
      <c r="H139" s="173"/>
      <c r="I139" s="173"/>
    </row>
    <row r="140" spans="2:9" s="226" customFormat="1" ht="12.75">
      <c r="B140" s="173"/>
      <c r="C140" s="173"/>
      <c r="D140" s="173"/>
      <c r="E140" s="173"/>
      <c r="F140" s="173"/>
      <c r="G140" s="173"/>
      <c r="H140" s="173"/>
      <c r="I140" s="173"/>
    </row>
    <row r="141" spans="2:9" s="226" customFormat="1" ht="12.75">
      <c r="B141" s="173"/>
      <c r="C141" s="173"/>
      <c r="D141" s="173"/>
      <c r="E141" s="173"/>
      <c r="F141" s="173"/>
      <c r="G141" s="173"/>
      <c r="H141" s="173"/>
      <c r="I141" s="173"/>
    </row>
    <row r="142" spans="2:9" s="226" customFormat="1" ht="12.75">
      <c r="B142" s="173"/>
      <c r="C142" s="173"/>
      <c r="D142" s="173"/>
      <c r="E142" s="173"/>
      <c r="F142" s="173"/>
      <c r="G142" s="173"/>
      <c r="H142" s="173"/>
      <c r="I142" s="173"/>
    </row>
    <row r="143" spans="2:9" s="226" customFormat="1" ht="12.75">
      <c r="B143" s="173"/>
      <c r="C143" s="173"/>
      <c r="D143" s="173"/>
      <c r="E143" s="173"/>
      <c r="F143" s="173"/>
      <c r="G143" s="173"/>
      <c r="H143" s="173"/>
      <c r="I143" s="173"/>
    </row>
    <row r="144" spans="2:9" s="226" customFormat="1" ht="12.75">
      <c r="B144" s="173"/>
      <c r="C144" s="173"/>
      <c r="D144" s="173"/>
      <c r="E144" s="173"/>
      <c r="F144" s="173"/>
      <c r="G144" s="173"/>
      <c r="H144" s="173"/>
      <c r="I144" s="173"/>
    </row>
    <row r="145" spans="2:9" s="226" customFormat="1" ht="12.75">
      <c r="B145" s="173"/>
      <c r="C145" s="173"/>
      <c r="D145" s="173"/>
      <c r="E145" s="173"/>
      <c r="F145" s="173"/>
      <c r="G145" s="173"/>
      <c r="H145" s="173"/>
      <c r="I145" s="173"/>
    </row>
    <row r="146" spans="2:9" s="226" customFormat="1" ht="12.75">
      <c r="B146" s="173"/>
      <c r="C146" s="173"/>
      <c r="D146" s="173"/>
      <c r="E146" s="173"/>
      <c r="F146" s="173"/>
      <c r="G146" s="173"/>
      <c r="H146" s="173"/>
      <c r="I146" s="173"/>
    </row>
    <row r="147" spans="2:9" s="226" customFormat="1" ht="12.75">
      <c r="B147" s="173"/>
      <c r="C147" s="173"/>
      <c r="D147" s="173"/>
      <c r="E147" s="173"/>
      <c r="F147" s="173"/>
      <c r="G147" s="173"/>
      <c r="H147" s="173"/>
      <c r="I147" s="173"/>
    </row>
    <row r="148" spans="2:9" s="226" customFormat="1" ht="12.75">
      <c r="B148" s="173"/>
      <c r="C148" s="173"/>
      <c r="D148" s="173"/>
      <c r="E148" s="173"/>
      <c r="F148" s="173"/>
      <c r="G148" s="173"/>
      <c r="H148" s="173"/>
      <c r="I148" s="173"/>
    </row>
    <row r="149" spans="2:9" s="226" customFormat="1" ht="12.75">
      <c r="B149" s="173"/>
      <c r="C149" s="173"/>
      <c r="D149" s="173"/>
      <c r="E149" s="173"/>
      <c r="F149" s="173"/>
      <c r="G149" s="173"/>
      <c r="H149" s="173"/>
      <c r="I149" s="173"/>
    </row>
    <row r="150" spans="2:9" s="226" customFormat="1" ht="12.75">
      <c r="B150" s="173"/>
      <c r="C150" s="173"/>
      <c r="D150" s="173"/>
      <c r="E150" s="173"/>
      <c r="F150" s="173"/>
      <c r="G150" s="173"/>
      <c r="H150" s="173"/>
      <c r="I150" s="173"/>
    </row>
    <row r="151" spans="2:9" s="226" customFormat="1" ht="12.75">
      <c r="B151" s="173"/>
      <c r="C151" s="173"/>
      <c r="D151" s="173"/>
      <c r="E151" s="173"/>
      <c r="F151" s="173"/>
      <c r="G151" s="173"/>
      <c r="H151" s="173"/>
      <c r="I151" s="173"/>
    </row>
    <row r="152" spans="2:9" s="226" customFormat="1" ht="12.75">
      <c r="B152" s="173"/>
      <c r="C152" s="173"/>
      <c r="D152" s="173"/>
      <c r="E152" s="173"/>
      <c r="F152" s="173"/>
      <c r="G152" s="173"/>
      <c r="H152" s="173"/>
      <c r="I152" s="173"/>
    </row>
    <row r="153" spans="2:9" s="226" customFormat="1" ht="12.75">
      <c r="B153" s="173"/>
      <c r="C153" s="173"/>
      <c r="D153" s="173"/>
      <c r="E153" s="173"/>
      <c r="F153" s="173"/>
      <c r="G153" s="173"/>
      <c r="H153" s="173"/>
      <c r="I153" s="173"/>
    </row>
    <row r="154" spans="2:9" s="226" customFormat="1" ht="12.75">
      <c r="B154" s="173"/>
      <c r="C154" s="173"/>
      <c r="D154" s="173"/>
      <c r="E154" s="173"/>
      <c r="F154" s="173"/>
      <c r="G154" s="173"/>
      <c r="H154" s="173"/>
      <c r="I154" s="173"/>
    </row>
    <row r="155" spans="2:9" s="226" customFormat="1" ht="12.75">
      <c r="B155" s="173"/>
      <c r="C155" s="173"/>
      <c r="D155" s="173"/>
      <c r="E155" s="173"/>
      <c r="F155" s="173"/>
      <c r="G155" s="173"/>
      <c r="H155" s="173"/>
      <c r="I155" s="173"/>
    </row>
    <row r="156" spans="2:9" s="226" customFormat="1" ht="12.75">
      <c r="B156" s="173"/>
      <c r="C156" s="173"/>
      <c r="D156" s="173"/>
      <c r="E156" s="173"/>
      <c r="F156" s="173"/>
      <c r="G156" s="173"/>
      <c r="H156" s="173"/>
      <c r="I156" s="173"/>
    </row>
    <row r="157" spans="2:9" s="226" customFormat="1" ht="12.75">
      <c r="B157" s="173"/>
      <c r="C157" s="173"/>
      <c r="D157" s="173"/>
      <c r="E157" s="173"/>
      <c r="F157" s="173"/>
      <c r="G157" s="173"/>
      <c r="H157" s="173"/>
      <c r="I157" s="173"/>
    </row>
    <row r="158" spans="2:9" s="226" customFormat="1" ht="12.75">
      <c r="B158" s="173"/>
      <c r="C158" s="173"/>
      <c r="D158" s="173"/>
      <c r="E158" s="173"/>
      <c r="F158" s="173"/>
      <c r="G158" s="173"/>
      <c r="H158" s="173"/>
      <c r="I158" s="173"/>
    </row>
    <row r="159" spans="2:9" s="226" customFormat="1" ht="12.75">
      <c r="B159" s="173"/>
      <c r="C159" s="173"/>
      <c r="D159" s="173"/>
      <c r="E159" s="173"/>
      <c r="F159" s="173"/>
      <c r="G159" s="173"/>
      <c r="H159" s="173"/>
      <c r="I159" s="173"/>
    </row>
    <row r="160" spans="2:9" s="226" customFormat="1" ht="12.75">
      <c r="B160" s="173"/>
      <c r="C160" s="173"/>
      <c r="D160" s="173"/>
      <c r="E160" s="173"/>
      <c r="F160" s="173"/>
      <c r="G160" s="173"/>
      <c r="H160" s="173"/>
      <c r="I160" s="173"/>
    </row>
    <row r="161" spans="2:9" s="226" customFormat="1" ht="12.75">
      <c r="B161" s="173"/>
      <c r="C161" s="173"/>
      <c r="D161" s="173"/>
      <c r="E161" s="173"/>
      <c r="F161" s="173"/>
      <c r="G161" s="173"/>
      <c r="H161" s="173"/>
      <c r="I161" s="173"/>
    </row>
    <row r="162" spans="2:9" s="226" customFormat="1" ht="12.75">
      <c r="B162" s="173"/>
      <c r="C162" s="173"/>
      <c r="D162" s="173"/>
      <c r="E162" s="173"/>
      <c r="F162" s="173"/>
      <c r="G162" s="173"/>
      <c r="H162" s="173"/>
      <c r="I162" s="173"/>
    </row>
    <row r="163" spans="2:9" s="226" customFormat="1" ht="12.75">
      <c r="B163" s="173"/>
      <c r="C163" s="173"/>
      <c r="D163" s="173"/>
      <c r="E163" s="173"/>
      <c r="F163" s="173"/>
      <c r="G163" s="173"/>
      <c r="H163" s="173"/>
      <c r="I163" s="173"/>
    </row>
    <row r="164" spans="2:9" s="226" customFormat="1" ht="12.75">
      <c r="B164" s="173"/>
      <c r="C164" s="173"/>
      <c r="D164" s="173"/>
      <c r="E164" s="173"/>
      <c r="F164" s="173"/>
      <c r="G164" s="173"/>
      <c r="H164" s="173"/>
      <c r="I164" s="173"/>
    </row>
    <row r="165" spans="2:9" s="226" customFormat="1" ht="12.75">
      <c r="B165" s="173"/>
      <c r="C165" s="173"/>
      <c r="D165" s="173"/>
      <c r="E165" s="173"/>
      <c r="F165" s="173"/>
      <c r="G165" s="173"/>
      <c r="H165" s="173"/>
      <c r="I165" s="173"/>
    </row>
    <row r="166" spans="2:9" s="226" customFormat="1" ht="12.75">
      <c r="B166" s="173"/>
      <c r="C166" s="173"/>
      <c r="D166" s="173"/>
      <c r="E166" s="173"/>
      <c r="F166" s="173"/>
      <c r="G166" s="173"/>
      <c r="H166" s="173"/>
      <c r="I166" s="173"/>
    </row>
    <row r="167" spans="2:9" s="226" customFormat="1" ht="12.75">
      <c r="B167" s="173"/>
      <c r="C167" s="173"/>
      <c r="D167" s="173"/>
      <c r="E167" s="173"/>
      <c r="F167" s="173"/>
      <c r="G167" s="173"/>
      <c r="H167" s="173"/>
      <c r="I167" s="173"/>
    </row>
    <row r="168" spans="2:9" s="226" customFormat="1" ht="12.75">
      <c r="B168" s="173"/>
      <c r="C168" s="173"/>
      <c r="D168" s="173"/>
      <c r="E168" s="173"/>
      <c r="F168" s="173"/>
      <c r="G168" s="173"/>
      <c r="H168" s="173"/>
      <c r="I168" s="173"/>
    </row>
    <row r="169" spans="2:9" s="226" customFormat="1" ht="12.75">
      <c r="B169" s="173"/>
      <c r="C169" s="173"/>
      <c r="D169" s="173"/>
      <c r="E169" s="173"/>
      <c r="F169" s="173"/>
      <c r="G169" s="173"/>
      <c r="H169" s="173"/>
      <c r="I169" s="173"/>
    </row>
    <row r="170" spans="2:9" s="226" customFormat="1" ht="12.75">
      <c r="B170" s="173"/>
      <c r="C170" s="173"/>
      <c r="D170" s="173"/>
      <c r="E170" s="173"/>
      <c r="F170" s="173"/>
      <c r="G170" s="173"/>
      <c r="H170" s="173"/>
      <c r="I170" s="173"/>
    </row>
    <row r="171" spans="2:9" s="226" customFormat="1" ht="12.75">
      <c r="B171" s="173"/>
      <c r="C171" s="173"/>
      <c r="D171" s="173"/>
      <c r="E171" s="173"/>
      <c r="F171" s="173"/>
      <c r="G171" s="173"/>
      <c r="H171" s="173"/>
      <c r="I171" s="173"/>
    </row>
    <row r="172" spans="2:9" s="226" customFormat="1" ht="12.75">
      <c r="B172" s="173"/>
      <c r="C172" s="173"/>
      <c r="D172" s="173"/>
      <c r="E172" s="173"/>
      <c r="F172" s="173"/>
      <c r="G172" s="173"/>
      <c r="H172" s="173"/>
      <c r="I172" s="173"/>
    </row>
    <row r="173" spans="2:9" s="226" customFormat="1" ht="12.75">
      <c r="B173" s="173"/>
      <c r="C173" s="173"/>
      <c r="D173" s="173"/>
      <c r="E173" s="173"/>
      <c r="F173" s="173"/>
      <c r="G173" s="173"/>
      <c r="H173" s="173"/>
      <c r="I173" s="173"/>
    </row>
    <row r="174" spans="2:9" s="226" customFormat="1" ht="12.75">
      <c r="B174" s="173"/>
      <c r="C174" s="173"/>
      <c r="D174" s="173"/>
      <c r="E174" s="173"/>
      <c r="F174" s="173"/>
      <c r="G174" s="173"/>
      <c r="H174" s="173"/>
      <c r="I174" s="173"/>
    </row>
    <row r="175" spans="2:9" s="226" customFormat="1" ht="12.75">
      <c r="B175" s="173"/>
      <c r="C175" s="173"/>
      <c r="D175" s="173"/>
      <c r="E175" s="173"/>
      <c r="F175" s="173"/>
      <c r="G175" s="173"/>
      <c r="H175" s="173"/>
      <c r="I175" s="173"/>
    </row>
    <row r="176" spans="2:9" s="226" customFormat="1" ht="12.75">
      <c r="B176" s="173"/>
      <c r="C176" s="173"/>
      <c r="D176" s="173"/>
      <c r="E176" s="173"/>
      <c r="F176" s="173"/>
      <c r="G176" s="173"/>
      <c r="H176" s="173"/>
      <c r="I176" s="173"/>
    </row>
    <row r="177" spans="2:9" s="226" customFormat="1" ht="12.75">
      <c r="B177" s="173"/>
      <c r="C177" s="173"/>
      <c r="D177" s="173"/>
      <c r="E177" s="173"/>
      <c r="F177" s="173"/>
      <c r="G177" s="173"/>
      <c r="H177" s="173"/>
      <c r="I177" s="173"/>
    </row>
    <row r="178" spans="2:9" s="226" customFormat="1" ht="12.75">
      <c r="B178" s="173"/>
      <c r="C178" s="173"/>
      <c r="D178" s="173"/>
      <c r="E178" s="173"/>
      <c r="F178" s="173"/>
      <c r="G178" s="173"/>
      <c r="H178" s="173"/>
      <c r="I178" s="173"/>
    </row>
    <row r="179" spans="2:9" s="226" customFormat="1" ht="12.75">
      <c r="B179" s="173"/>
      <c r="C179" s="173"/>
      <c r="D179" s="173"/>
      <c r="E179" s="173"/>
      <c r="F179" s="173"/>
      <c r="G179" s="173"/>
      <c r="H179" s="173"/>
      <c r="I179" s="173"/>
    </row>
    <row r="180" spans="2:9" s="226" customFormat="1" ht="12.75">
      <c r="B180" s="173"/>
      <c r="C180" s="173"/>
      <c r="D180" s="173"/>
      <c r="E180" s="173"/>
      <c r="F180" s="173"/>
      <c r="G180" s="173"/>
      <c r="H180" s="173"/>
      <c r="I180" s="173"/>
    </row>
    <row r="181" spans="2:9" s="226" customFormat="1" ht="12.75">
      <c r="B181" s="173"/>
      <c r="C181" s="173"/>
      <c r="D181" s="173"/>
      <c r="E181" s="173"/>
      <c r="F181" s="173"/>
      <c r="G181" s="173"/>
      <c r="H181" s="173"/>
      <c r="I181" s="173"/>
    </row>
    <row r="182" spans="2:9" s="226" customFormat="1" ht="12.75">
      <c r="B182" s="173"/>
      <c r="C182" s="173"/>
      <c r="D182" s="173"/>
      <c r="E182" s="173"/>
      <c r="F182" s="173"/>
      <c r="G182" s="173"/>
      <c r="H182" s="173"/>
      <c r="I182" s="173"/>
    </row>
    <row r="183" spans="2:9" s="226" customFormat="1" ht="12.75">
      <c r="B183" s="173"/>
      <c r="C183" s="173"/>
      <c r="D183" s="173"/>
      <c r="E183" s="173"/>
      <c r="F183" s="173"/>
      <c r="G183" s="173"/>
      <c r="H183" s="173"/>
      <c r="I183" s="173"/>
    </row>
    <row r="184" spans="2:9" s="226" customFormat="1" ht="12.75">
      <c r="B184" s="173"/>
      <c r="C184" s="173"/>
      <c r="D184" s="173"/>
      <c r="E184" s="173"/>
      <c r="F184" s="173"/>
      <c r="G184" s="173"/>
      <c r="H184" s="173"/>
      <c r="I184" s="173"/>
    </row>
    <row r="185" spans="2:9" s="226" customFormat="1" ht="12.75">
      <c r="B185" s="173"/>
      <c r="C185" s="173"/>
      <c r="D185" s="173"/>
      <c r="E185" s="173"/>
      <c r="F185" s="173"/>
      <c r="G185" s="173"/>
      <c r="H185" s="173"/>
      <c r="I185" s="173"/>
    </row>
    <row r="186" spans="2:9" s="226" customFormat="1" ht="12.75">
      <c r="B186" s="173"/>
      <c r="C186" s="173"/>
      <c r="D186" s="173"/>
      <c r="E186" s="173"/>
      <c r="F186" s="173"/>
      <c r="G186" s="173"/>
      <c r="H186" s="173"/>
      <c r="I186" s="173"/>
    </row>
    <row r="187" spans="2:9" s="226" customFormat="1" ht="12.75">
      <c r="B187" s="173"/>
      <c r="C187" s="173"/>
      <c r="D187" s="173"/>
      <c r="E187" s="173"/>
      <c r="F187" s="173"/>
      <c r="G187" s="173"/>
      <c r="H187" s="173"/>
      <c r="I187" s="173"/>
    </row>
    <row r="188" spans="2:9" s="226" customFormat="1" ht="12.75">
      <c r="B188" s="173"/>
      <c r="C188" s="173"/>
      <c r="D188" s="173"/>
      <c r="E188" s="173"/>
      <c r="F188" s="173"/>
      <c r="G188" s="173"/>
      <c r="H188" s="173"/>
      <c r="I188" s="173"/>
    </row>
    <row r="189" spans="2:9" s="226" customFormat="1" ht="12.75">
      <c r="B189" s="173"/>
      <c r="C189" s="173"/>
      <c r="D189" s="173"/>
      <c r="E189" s="173"/>
      <c r="F189" s="173"/>
      <c r="G189" s="173"/>
      <c r="H189" s="173"/>
      <c r="I189" s="173"/>
    </row>
    <row r="190" spans="2:9" s="226" customFormat="1" ht="12.75">
      <c r="B190" s="173"/>
      <c r="C190" s="173"/>
      <c r="D190" s="173"/>
      <c r="E190" s="173"/>
      <c r="F190" s="173"/>
      <c r="G190" s="173"/>
      <c r="H190" s="173"/>
      <c r="I190" s="173"/>
    </row>
    <row r="191" spans="2:9" s="226" customFormat="1" ht="12.75">
      <c r="B191" s="173"/>
      <c r="C191" s="173"/>
      <c r="D191" s="173"/>
      <c r="E191" s="173"/>
      <c r="F191" s="173"/>
      <c r="G191" s="173"/>
      <c r="H191" s="173"/>
      <c r="I191" s="173"/>
    </row>
    <row r="192" spans="2:9" s="226" customFormat="1" ht="12.75">
      <c r="B192" s="173"/>
      <c r="C192" s="173"/>
      <c r="D192" s="173"/>
      <c r="E192" s="173"/>
      <c r="F192" s="173"/>
      <c r="G192" s="173"/>
      <c r="H192" s="173"/>
      <c r="I192" s="173"/>
    </row>
    <row r="193" spans="2:9" s="226" customFormat="1" ht="12.75">
      <c r="B193" s="173"/>
      <c r="C193" s="173"/>
      <c r="D193" s="173"/>
      <c r="E193" s="173"/>
      <c r="F193" s="173"/>
      <c r="G193" s="173"/>
      <c r="H193" s="173"/>
      <c r="I193" s="173"/>
    </row>
    <row r="194" spans="2:9" s="226" customFormat="1" ht="12.75">
      <c r="B194" s="173"/>
      <c r="C194" s="173"/>
      <c r="D194" s="173"/>
      <c r="E194" s="173"/>
      <c r="F194" s="173"/>
      <c r="G194" s="173"/>
      <c r="H194" s="173"/>
      <c r="I194" s="173"/>
    </row>
    <row r="195" spans="2:9" s="226" customFormat="1" ht="12.75">
      <c r="B195" s="173"/>
      <c r="C195" s="173"/>
      <c r="D195" s="173"/>
      <c r="E195" s="173"/>
      <c r="F195" s="173"/>
      <c r="G195" s="173"/>
      <c r="H195" s="173"/>
      <c r="I195" s="173"/>
    </row>
    <row r="196" spans="2:9" s="226" customFormat="1" ht="12.75">
      <c r="B196" s="173"/>
      <c r="C196" s="173"/>
      <c r="D196" s="173"/>
      <c r="E196" s="173"/>
      <c r="F196" s="173"/>
      <c r="G196" s="173"/>
      <c r="H196" s="173"/>
      <c r="I196" s="173"/>
    </row>
    <row r="197" spans="2:9" s="226" customFormat="1" ht="12.75">
      <c r="B197" s="173"/>
      <c r="C197" s="173"/>
      <c r="D197" s="173"/>
      <c r="E197" s="173"/>
      <c r="F197" s="173"/>
      <c r="G197" s="173"/>
      <c r="H197" s="173"/>
      <c r="I197" s="173"/>
    </row>
    <row r="198" spans="2:9" s="226" customFormat="1" ht="12.75">
      <c r="B198" s="173"/>
      <c r="C198" s="173"/>
      <c r="D198" s="173"/>
      <c r="E198" s="173"/>
      <c r="F198" s="173"/>
      <c r="G198" s="173"/>
      <c r="H198" s="173"/>
      <c r="I198" s="173"/>
    </row>
    <row r="199" spans="2:9" s="226" customFormat="1" ht="12.75">
      <c r="B199" s="173"/>
      <c r="C199" s="173"/>
      <c r="D199" s="173"/>
      <c r="E199" s="173"/>
      <c r="F199" s="173"/>
      <c r="G199" s="173"/>
      <c r="H199" s="173"/>
      <c r="I199" s="173"/>
    </row>
    <row r="200" spans="2:9" s="226" customFormat="1" ht="12.75">
      <c r="B200" s="173"/>
      <c r="C200" s="173"/>
      <c r="D200" s="173"/>
      <c r="E200" s="173"/>
      <c r="F200" s="173"/>
      <c r="G200" s="173"/>
      <c r="H200" s="173"/>
      <c r="I200" s="173"/>
    </row>
    <row r="201" spans="2:9" s="226" customFormat="1" ht="12.75">
      <c r="B201" s="173"/>
      <c r="C201" s="173"/>
      <c r="D201" s="173"/>
      <c r="E201" s="173"/>
      <c r="F201" s="173"/>
      <c r="G201" s="173"/>
      <c r="H201" s="173"/>
      <c r="I201" s="173"/>
    </row>
    <row r="202" spans="2:9" s="226" customFormat="1" ht="12.75">
      <c r="B202" s="173"/>
      <c r="C202" s="173"/>
      <c r="D202" s="173"/>
      <c r="E202" s="173"/>
      <c r="F202" s="173"/>
      <c r="G202" s="173"/>
      <c r="H202" s="173"/>
      <c r="I202" s="173"/>
    </row>
    <row r="203" spans="2:9" s="226" customFormat="1" ht="12.75">
      <c r="B203" s="173"/>
      <c r="C203" s="173"/>
      <c r="D203" s="173"/>
      <c r="E203" s="173"/>
      <c r="F203" s="173"/>
      <c r="G203" s="173"/>
      <c r="H203" s="173"/>
      <c r="I203" s="173"/>
    </row>
    <row r="204" spans="2:9" s="226" customFormat="1" ht="12.75">
      <c r="B204" s="173"/>
      <c r="C204" s="173"/>
      <c r="D204" s="173"/>
      <c r="E204" s="173"/>
      <c r="F204" s="173"/>
      <c r="G204" s="173"/>
      <c r="H204" s="173"/>
      <c r="I204" s="173"/>
    </row>
    <row r="205" spans="2:9" s="226" customFormat="1" ht="12.75">
      <c r="B205" s="173"/>
      <c r="C205" s="173"/>
      <c r="D205" s="173"/>
      <c r="E205" s="173"/>
      <c r="F205" s="173"/>
      <c r="G205" s="173"/>
      <c r="H205" s="173"/>
      <c r="I205" s="173"/>
    </row>
    <row r="206" spans="2:9" s="226" customFormat="1" ht="12.75">
      <c r="B206" s="173"/>
      <c r="C206" s="173"/>
      <c r="D206" s="173"/>
      <c r="E206" s="173"/>
      <c r="F206" s="173"/>
      <c r="G206" s="173"/>
      <c r="H206" s="173"/>
      <c r="I206" s="173"/>
    </row>
    <row r="207" spans="2:9" s="226" customFormat="1" ht="12.75">
      <c r="B207" s="173"/>
      <c r="C207" s="173"/>
      <c r="D207" s="173"/>
      <c r="E207" s="173"/>
      <c r="F207" s="173"/>
      <c r="G207" s="173"/>
      <c r="H207" s="173"/>
      <c r="I207" s="173"/>
    </row>
    <row r="208" spans="2:9" s="226" customFormat="1" ht="12.75">
      <c r="B208" s="173"/>
      <c r="C208" s="173"/>
      <c r="D208" s="173"/>
      <c r="E208" s="173"/>
      <c r="F208" s="173"/>
      <c r="G208" s="173"/>
      <c r="H208" s="173"/>
      <c r="I208" s="173"/>
    </row>
    <row r="209" spans="2:9" s="226" customFormat="1" ht="12.75">
      <c r="B209" s="173"/>
      <c r="C209" s="173"/>
      <c r="D209" s="173"/>
      <c r="E209" s="173"/>
      <c r="F209" s="173"/>
      <c r="G209" s="173"/>
      <c r="H209" s="173"/>
      <c r="I209" s="173"/>
    </row>
    <row r="210" spans="2:9" s="226" customFormat="1" ht="12.75">
      <c r="B210" s="173"/>
      <c r="C210" s="173"/>
      <c r="D210" s="173"/>
      <c r="E210" s="173"/>
      <c r="F210" s="173"/>
      <c r="G210" s="173"/>
      <c r="H210" s="173"/>
      <c r="I210" s="173"/>
    </row>
    <row r="211" spans="2:9" s="226" customFormat="1" ht="12.75">
      <c r="B211" s="173"/>
      <c r="C211" s="173"/>
      <c r="D211" s="173"/>
      <c r="E211" s="173"/>
      <c r="F211" s="173"/>
      <c r="G211" s="173"/>
      <c r="H211" s="173"/>
      <c r="I211" s="173"/>
    </row>
    <row r="212" spans="2:9" s="226" customFormat="1" ht="12.75">
      <c r="B212" s="173"/>
      <c r="C212" s="173"/>
      <c r="D212" s="173"/>
      <c r="E212" s="173"/>
      <c r="F212" s="173"/>
      <c r="G212" s="173"/>
      <c r="H212" s="173"/>
      <c r="I212" s="173"/>
    </row>
    <row r="213" spans="2:9" s="226" customFormat="1" ht="12.75">
      <c r="B213" s="173"/>
      <c r="C213" s="173"/>
      <c r="D213" s="173"/>
      <c r="E213" s="173"/>
      <c r="F213" s="173"/>
      <c r="G213" s="173"/>
      <c r="H213" s="173"/>
      <c r="I213" s="173"/>
    </row>
    <row r="214" spans="2:9" s="226" customFormat="1" ht="12.75">
      <c r="B214" s="173"/>
      <c r="C214" s="173"/>
      <c r="D214" s="173"/>
      <c r="E214" s="173"/>
      <c r="F214" s="173"/>
      <c r="G214" s="173"/>
      <c r="H214" s="173"/>
      <c r="I214" s="173"/>
    </row>
    <row r="215" spans="2:9" s="226" customFormat="1" ht="12.75">
      <c r="B215" s="173"/>
      <c r="C215" s="173"/>
      <c r="D215" s="173"/>
      <c r="E215" s="173"/>
      <c r="F215" s="173"/>
      <c r="G215" s="173"/>
      <c r="H215" s="173"/>
      <c r="I215" s="173"/>
    </row>
    <row r="216" spans="2:9" s="226" customFormat="1" ht="12.75">
      <c r="B216" s="173"/>
      <c r="C216" s="173"/>
      <c r="D216" s="173"/>
      <c r="E216" s="173"/>
      <c r="F216" s="173"/>
      <c r="G216" s="173"/>
      <c r="H216" s="173"/>
      <c r="I216" s="173"/>
    </row>
    <row r="217" spans="2:9" s="226" customFormat="1" ht="12.75">
      <c r="B217" s="173"/>
      <c r="C217" s="173"/>
      <c r="D217" s="173"/>
      <c r="E217" s="173"/>
      <c r="F217" s="173"/>
      <c r="G217" s="173"/>
      <c r="H217" s="173"/>
      <c r="I217" s="173"/>
    </row>
    <row r="218" spans="2:9" s="226" customFormat="1" ht="12.75">
      <c r="B218" s="173"/>
      <c r="C218" s="173"/>
      <c r="D218" s="173"/>
      <c r="E218" s="173"/>
      <c r="F218" s="173"/>
      <c r="G218" s="173"/>
      <c r="H218" s="173"/>
      <c r="I218" s="173"/>
    </row>
    <row r="219" spans="2:9" s="226" customFormat="1" ht="12.75">
      <c r="B219" s="173"/>
      <c r="C219" s="173"/>
      <c r="D219" s="173"/>
      <c r="E219" s="173"/>
      <c r="F219" s="173"/>
      <c r="G219" s="173"/>
      <c r="H219" s="173"/>
      <c r="I219" s="173"/>
    </row>
    <row r="220" spans="2:9" s="226" customFormat="1" ht="12.75">
      <c r="B220" s="173"/>
      <c r="C220" s="173"/>
      <c r="D220" s="173"/>
      <c r="E220" s="173"/>
      <c r="F220" s="173"/>
      <c r="G220" s="173"/>
      <c r="H220" s="173"/>
      <c r="I220" s="173"/>
    </row>
    <row r="221" spans="2:9" s="226" customFormat="1" ht="12.75">
      <c r="B221" s="173"/>
      <c r="C221" s="173"/>
      <c r="D221" s="173"/>
      <c r="E221" s="173"/>
      <c r="F221" s="173"/>
      <c r="G221" s="173"/>
      <c r="H221" s="173"/>
      <c r="I221" s="173"/>
    </row>
    <row r="222" spans="2:9" s="226" customFormat="1" ht="12.75">
      <c r="B222" s="173"/>
      <c r="C222" s="173"/>
      <c r="D222" s="173"/>
      <c r="E222" s="173"/>
      <c r="F222" s="173"/>
      <c r="G222" s="173"/>
      <c r="H222" s="173"/>
      <c r="I222" s="173"/>
    </row>
    <row r="223" spans="2:9" s="226" customFormat="1" ht="12.75">
      <c r="B223" s="173"/>
      <c r="C223" s="173"/>
      <c r="D223" s="173"/>
      <c r="E223" s="173"/>
      <c r="F223" s="173"/>
      <c r="G223" s="173"/>
      <c r="H223" s="173"/>
      <c r="I223" s="173"/>
    </row>
    <row r="224" spans="2:9" s="226" customFormat="1" ht="12.75">
      <c r="B224" s="173"/>
      <c r="C224" s="173"/>
      <c r="D224" s="173"/>
      <c r="E224" s="173"/>
      <c r="F224" s="173"/>
      <c r="G224" s="173"/>
      <c r="H224" s="173"/>
      <c r="I224" s="173"/>
    </row>
    <row r="225" spans="2:9" s="226" customFormat="1" ht="12.75">
      <c r="B225" s="173"/>
      <c r="C225" s="173"/>
      <c r="D225" s="173"/>
      <c r="E225" s="173"/>
      <c r="F225" s="173"/>
      <c r="G225" s="173"/>
      <c r="H225" s="173"/>
      <c r="I225" s="173"/>
    </row>
    <row r="226" spans="2:9" s="226" customFormat="1" ht="12.75">
      <c r="B226" s="173"/>
      <c r="C226" s="173"/>
      <c r="D226" s="173"/>
      <c r="E226" s="173"/>
      <c r="F226" s="173"/>
      <c r="G226" s="173"/>
      <c r="H226" s="173"/>
      <c r="I226" s="173"/>
    </row>
    <row r="227" spans="2:9" s="226" customFormat="1" ht="12.75">
      <c r="B227" s="173"/>
      <c r="C227" s="173"/>
      <c r="D227" s="173"/>
      <c r="E227" s="173"/>
      <c r="F227" s="173"/>
      <c r="G227" s="173"/>
      <c r="H227" s="173"/>
      <c r="I227" s="173"/>
    </row>
    <row r="228" spans="2:9" s="226" customFormat="1" ht="12.75">
      <c r="B228" s="173"/>
      <c r="C228" s="173"/>
      <c r="D228" s="173"/>
      <c r="E228" s="173"/>
      <c r="F228" s="173"/>
      <c r="G228" s="173"/>
      <c r="H228" s="173"/>
      <c r="I228" s="173"/>
    </row>
    <row r="229" spans="2:9" s="226" customFormat="1" ht="12.75">
      <c r="B229" s="173"/>
      <c r="C229" s="173"/>
      <c r="D229" s="173"/>
      <c r="E229" s="173"/>
      <c r="F229" s="173"/>
      <c r="G229" s="173"/>
      <c r="H229" s="173"/>
      <c r="I229" s="173"/>
    </row>
    <row r="230" spans="2:9" s="226" customFormat="1" ht="12.75">
      <c r="B230" s="173"/>
      <c r="C230" s="173"/>
      <c r="D230" s="173"/>
      <c r="E230" s="173"/>
      <c r="F230" s="173"/>
      <c r="G230" s="173"/>
      <c r="H230" s="173"/>
      <c r="I230" s="173"/>
    </row>
    <row r="231" spans="2:9" s="226" customFormat="1" ht="12.75">
      <c r="B231" s="173"/>
      <c r="C231" s="173"/>
      <c r="D231" s="173"/>
      <c r="E231" s="173"/>
      <c r="F231" s="173"/>
      <c r="G231" s="173"/>
      <c r="H231" s="173"/>
      <c r="I231" s="173"/>
    </row>
    <row r="232" spans="2:9" s="226" customFormat="1" ht="12.75">
      <c r="B232" s="173"/>
      <c r="C232" s="173"/>
      <c r="D232" s="173"/>
      <c r="E232" s="173"/>
      <c r="F232" s="173"/>
      <c r="G232" s="173"/>
      <c r="H232" s="173"/>
      <c r="I232" s="173"/>
    </row>
    <row r="233" spans="2:9" s="226" customFormat="1" ht="12.75">
      <c r="B233" s="173"/>
      <c r="C233" s="173"/>
      <c r="D233" s="173"/>
      <c r="E233" s="173"/>
      <c r="F233" s="173"/>
      <c r="G233" s="173"/>
      <c r="H233" s="173"/>
      <c r="I233" s="173"/>
    </row>
    <row r="234" spans="2:9" s="226" customFormat="1" ht="12.75">
      <c r="B234" s="173"/>
      <c r="C234" s="173"/>
      <c r="D234" s="173"/>
      <c r="E234" s="173"/>
      <c r="F234" s="173"/>
      <c r="G234" s="173"/>
      <c r="H234" s="173"/>
      <c r="I234" s="173"/>
    </row>
    <row r="235" spans="2:9" s="226" customFormat="1" ht="12.75">
      <c r="B235" s="173"/>
      <c r="C235" s="173"/>
      <c r="D235" s="173"/>
      <c r="E235" s="173"/>
      <c r="F235" s="173"/>
      <c r="G235" s="173"/>
      <c r="H235" s="173"/>
      <c r="I235" s="173"/>
    </row>
    <row r="236" spans="2:9" s="226" customFormat="1" ht="12.75">
      <c r="B236" s="173"/>
      <c r="C236" s="173"/>
      <c r="D236" s="173"/>
      <c r="E236" s="173"/>
      <c r="F236" s="173"/>
      <c r="G236" s="173"/>
      <c r="H236" s="173"/>
      <c r="I236" s="173"/>
    </row>
    <row r="237" spans="2:9" s="226" customFormat="1" ht="12.75">
      <c r="B237" s="173"/>
      <c r="C237" s="173"/>
      <c r="D237" s="173"/>
      <c r="E237" s="173"/>
      <c r="F237" s="173"/>
      <c r="G237" s="173"/>
      <c r="H237" s="173"/>
      <c r="I237" s="173"/>
    </row>
    <row r="238" spans="2:9" s="226" customFormat="1" ht="12.75">
      <c r="B238" s="173"/>
      <c r="C238" s="173"/>
      <c r="D238" s="173"/>
      <c r="E238" s="173"/>
      <c r="F238" s="173"/>
      <c r="G238" s="173"/>
      <c r="H238" s="173"/>
      <c r="I238" s="173"/>
    </row>
    <row r="239" spans="2:9" s="226" customFormat="1" ht="12.75">
      <c r="B239" s="173"/>
      <c r="C239" s="173"/>
      <c r="D239" s="173"/>
      <c r="E239" s="173"/>
      <c r="F239" s="173"/>
      <c r="G239" s="173"/>
      <c r="H239" s="173"/>
      <c r="I239" s="173"/>
    </row>
    <row r="240" spans="2:9" s="226" customFormat="1" ht="12.75">
      <c r="B240" s="173"/>
      <c r="C240" s="173"/>
      <c r="D240" s="173"/>
      <c r="E240" s="173"/>
      <c r="F240" s="173"/>
      <c r="G240" s="173"/>
      <c r="H240" s="173"/>
      <c r="I240" s="173"/>
    </row>
    <row r="241" spans="2:9" s="226" customFormat="1" ht="12.75">
      <c r="B241" s="173"/>
      <c r="C241" s="173"/>
      <c r="D241" s="173"/>
      <c r="E241" s="173"/>
      <c r="F241" s="173"/>
      <c r="G241" s="173"/>
      <c r="H241" s="173"/>
      <c r="I241" s="173"/>
    </row>
    <row r="242" spans="2:9" s="226" customFormat="1" ht="12.75">
      <c r="B242" s="173"/>
      <c r="C242" s="173"/>
      <c r="D242" s="173"/>
      <c r="E242" s="173"/>
      <c r="F242" s="173"/>
      <c r="G242" s="173"/>
      <c r="H242" s="173"/>
      <c r="I242" s="173"/>
    </row>
    <row r="243" spans="2:9" s="226" customFormat="1" ht="12.75">
      <c r="B243" s="173"/>
      <c r="C243" s="173"/>
      <c r="D243" s="173"/>
      <c r="E243" s="173"/>
      <c r="F243" s="173"/>
      <c r="G243" s="173"/>
      <c r="H243" s="173"/>
      <c r="I243" s="173"/>
    </row>
    <row r="244" spans="2:9" s="226" customFormat="1" ht="12.75">
      <c r="B244" s="173"/>
      <c r="C244" s="173"/>
      <c r="D244" s="173"/>
      <c r="E244" s="173"/>
      <c r="F244" s="173"/>
      <c r="G244" s="173"/>
      <c r="H244" s="173"/>
      <c r="I244" s="173"/>
    </row>
    <row r="245" spans="2:9" s="226" customFormat="1" ht="12.75">
      <c r="B245" s="173"/>
      <c r="C245" s="173"/>
      <c r="D245" s="173"/>
      <c r="E245" s="173"/>
      <c r="F245" s="173"/>
      <c r="G245" s="173"/>
      <c r="H245" s="173"/>
      <c r="I245" s="173"/>
    </row>
    <row r="246" spans="2:9" s="226" customFormat="1" ht="12.75">
      <c r="B246" s="173"/>
      <c r="C246" s="173"/>
      <c r="D246" s="173"/>
      <c r="E246" s="173"/>
      <c r="F246" s="173"/>
      <c r="G246" s="173"/>
      <c r="H246" s="173"/>
      <c r="I246" s="173"/>
    </row>
    <row r="247" spans="2:9" s="226" customFormat="1" ht="12.75">
      <c r="B247" s="173"/>
      <c r="C247" s="173"/>
      <c r="D247" s="173"/>
      <c r="E247" s="173"/>
      <c r="F247" s="173"/>
      <c r="G247" s="173"/>
      <c r="H247" s="173"/>
      <c r="I247" s="173"/>
    </row>
    <row r="248" spans="2:9" s="226" customFormat="1" ht="12.75">
      <c r="B248" s="173"/>
      <c r="C248" s="173"/>
      <c r="D248" s="173"/>
      <c r="E248" s="173"/>
      <c r="F248" s="173"/>
      <c r="G248" s="173"/>
      <c r="H248" s="173"/>
      <c r="I248" s="173"/>
    </row>
    <row r="249" spans="2:9" s="226" customFormat="1" ht="12.75">
      <c r="B249" s="173"/>
      <c r="C249" s="173"/>
      <c r="D249" s="173"/>
      <c r="E249" s="173"/>
      <c r="F249" s="173"/>
      <c r="G249" s="173"/>
      <c r="H249" s="173"/>
      <c r="I249" s="173"/>
    </row>
    <row r="250" spans="2:9" s="226" customFormat="1" ht="12.75">
      <c r="B250" s="173"/>
      <c r="C250" s="173"/>
      <c r="D250" s="173"/>
      <c r="E250" s="173"/>
      <c r="F250" s="173"/>
      <c r="G250" s="173"/>
      <c r="H250" s="173"/>
      <c r="I250" s="173"/>
    </row>
    <row r="251" spans="2:9" s="226" customFormat="1" ht="12.75">
      <c r="B251" s="173"/>
      <c r="C251" s="173"/>
      <c r="D251" s="173"/>
      <c r="E251" s="173"/>
      <c r="F251" s="173"/>
      <c r="G251" s="173"/>
      <c r="H251" s="173"/>
      <c r="I251" s="173"/>
    </row>
    <row r="252" spans="2:9" s="226" customFormat="1" ht="12.75">
      <c r="B252" s="173"/>
      <c r="C252" s="173"/>
      <c r="D252" s="173"/>
      <c r="E252" s="173"/>
      <c r="F252" s="173"/>
      <c r="G252" s="173"/>
      <c r="H252" s="173"/>
      <c r="I252" s="173"/>
    </row>
    <row r="253" spans="2:9" s="226" customFormat="1" ht="12.75">
      <c r="B253" s="173"/>
      <c r="C253" s="173"/>
      <c r="D253" s="173"/>
      <c r="E253" s="173"/>
      <c r="F253" s="173"/>
      <c r="G253" s="173"/>
      <c r="H253" s="173"/>
      <c r="I253" s="173"/>
    </row>
    <row r="254" spans="2:9" s="226" customFormat="1" ht="12.75">
      <c r="B254" s="173"/>
      <c r="C254" s="173"/>
      <c r="D254" s="173"/>
      <c r="E254" s="173"/>
      <c r="F254" s="173"/>
      <c r="G254" s="173"/>
      <c r="H254" s="173"/>
      <c r="I254" s="173"/>
    </row>
    <row r="255" spans="2:9" s="226" customFormat="1" ht="12.75">
      <c r="B255" s="173"/>
      <c r="C255" s="173"/>
      <c r="D255" s="173"/>
      <c r="E255" s="173"/>
      <c r="F255" s="173"/>
      <c r="G255" s="173"/>
      <c r="H255" s="173"/>
      <c r="I255" s="173"/>
    </row>
    <row r="256" spans="2:9" s="226" customFormat="1" ht="12.75">
      <c r="B256" s="173"/>
      <c r="C256" s="173"/>
      <c r="D256" s="173"/>
      <c r="E256" s="173"/>
      <c r="F256" s="173"/>
      <c r="G256" s="173"/>
      <c r="H256" s="173"/>
      <c r="I256" s="173"/>
    </row>
    <row r="257" spans="2:9" s="226" customFormat="1" ht="12.75">
      <c r="B257" s="173"/>
      <c r="C257" s="173"/>
      <c r="D257" s="173"/>
      <c r="E257" s="173"/>
      <c r="F257" s="173"/>
      <c r="G257" s="173"/>
      <c r="H257" s="173"/>
      <c r="I257" s="173"/>
    </row>
    <row r="258" spans="2:9" s="226" customFormat="1" ht="12.75">
      <c r="B258"/>
      <c r="C258"/>
      <c r="D258"/>
      <c r="E258"/>
      <c r="F258"/>
      <c r="G258"/>
      <c r="H258"/>
      <c r="I258"/>
    </row>
    <row r="259" spans="2:9" s="226" customFormat="1" ht="12.75">
      <c r="B259"/>
      <c r="C259"/>
      <c r="D259"/>
      <c r="E259"/>
      <c r="F259"/>
      <c r="G259"/>
      <c r="H259"/>
      <c r="I259"/>
    </row>
  </sheetData>
  <sheetProtection selectLockedCells="1" selectUnlockedCells="1"/>
  <mergeCells count="57">
    <mergeCell ref="J4:N4"/>
    <mergeCell ref="P4:T4"/>
    <mergeCell ref="V4:Z4"/>
    <mergeCell ref="AB4:AF4"/>
    <mergeCell ref="AH4:AK4"/>
    <mergeCell ref="AL4:AM4"/>
    <mergeCell ref="AN4:AS4"/>
    <mergeCell ref="AT4:BA4"/>
    <mergeCell ref="D5:F5"/>
    <mergeCell ref="G5:I5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J66:N66"/>
    <mergeCell ref="AL66:AN66"/>
    <mergeCell ref="AP66:AZ66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</mergeCells>
  <printOptions horizontalCentered="1"/>
  <pageMargins left="0.5201388888888889" right="0.4722222222222222" top="0.3541666666666667" bottom="0.35416666666666663" header="0.5118055555555555" footer="0.19652777777777777"/>
  <pageSetup horizontalDpi="300" verticalDpi="300" orientation="portrait" paperSize="9" scale="80"/>
  <headerFooter alignWithMargins="0">
    <oddFooter>&amp;R&amp;P</oddFooter>
  </headerFooter>
  <rowBreaks count="1" manualBreakCount="1">
    <brk id="66" max="255" man="1"/>
  </rowBreaks>
  <colBreaks count="2" manualBreakCount="2">
    <brk id="27" max="65535" man="1"/>
    <brk id="33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A1">
      <selection activeCell="I1" sqref="I1"/>
    </sheetView>
  </sheetViews>
  <sheetFormatPr defaultColWidth="9.140625" defaultRowHeight="15"/>
  <cols>
    <col min="1" max="1" width="13.00390625" style="30" customWidth="1"/>
    <col min="2" max="2" width="72.00390625" style="30" customWidth="1"/>
    <col min="3" max="3" width="10.7109375" style="30" customWidth="1"/>
    <col min="4" max="4" width="11.57421875" style="30" customWidth="1"/>
    <col min="5" max="5" width="10.7109375" style="30" customWidth="1"/>
    <col min="6" max="6" width="11.140625" style="31" customWidth="1"/>
    <col min="7" max="7" width="11.57421875" style="30" customWidth="1"/>
    <col min="8" max="8" width="10.7109375" style="30" customWidth="1"/>
    <col min="9" max="9" width="11.140625" style="31" customWidth="1"/>
    <col min="10" max="16384" width="9.140625" style="30" customWidth="1"/>
  </cols>
  <sheetData>
    <row r="1" spans="6:9" s="13" customFormat="1" ht="12.75">
      <c r="F1" s="32"/>
      <c r="I1" s="32" t="s">
        <v>592</v>
      </c>
    </row>
    <row r="2" spans="2:9" s="13" customFormat="1" ht="12.75">
      <c r="B2" s="240" t="s">
        <v>2</v>
      </c>
      <c r="F2" s="15"/>
      <c r="I2" s="15" t="s">
        <v>10</v>
      </c>
    </row>
    <row r="3" spans="2:9" s="13" customFormat="1" ht="12.75">
      <c r="B3" s="40" t="s">
        <v>593</v>
      </c>
      <c r="C3" s="36"/>
      <c r="D3" s="36"/>
      <c r="E3" s="36"/>
      <c r="F3" s="37"/>
      <c r="G3" s="36"/>
      <c r="H3" s="36"/>
      <c r="I3" s="37"/>
    </row>
    <row r="4" spans="2:9" s="13" customFormat="1" ht="12.75">
      <c r="B4" s="38" t="s">
        <v>41</v>
      </c>
      <c r="C4" s="39"/>
      <c r="D4" s="39"/>
      <c r="E4" s="39"/>
      <c r="F4" s="40"/>
      <c r="G4" s="39"/>
      <c r="H4" s="39"/>
      <c r="I4" s="40"/>
    </row>
    <row r="5" spans="2:9" ht="15.75" customHeight="1">
      <c r="B5" s="41"/>
      <c r="D5" s="92" t="s">
        <v>13</v>
      </c>
      <c r="E5" s="92"/>
      <c r="F5" s="92"/>
      <c r="G5" s="92" t="s">
        <v>14</v>
      </c>
      <c r="H5" s="92"/>
      <c r="I5" s="92"/>
    </row>
    <row r="6" spans="2:9" ht="12.75">
      <c r="B6" s="19" t="s">
        <v>15</v>
      </c>
      <c r="C6" s="42" t="s">
        <v>42</v>
      </c>
      <c r="D6" s="43" t="s">
        <v>16</v>
      </c>
      <c r="E6" s="43" t="s">
        <v>17</v>
      </c>
      <c r="F6" s="162" t="s">
        <v>528</v>
      </c>
      <c r="G6" s="43" t="s">
        <v>16</v>
      </c>
      <c r="H6" s="43" t="s">
        <v>17</v>
      </c>
      <c r="I6" s="162" t="s">
        <v>528</v>
      </c>
    </row>
    <row r="7" spans="2:9" ht="12.75">
      <c r="B7" s="45" t="s">
        <v>43</v>
      </c>
      <c r="C7" s="46" t="s">
        <v>44</v>
      </c>
      <c r="D7" s="24">
        <f>124700+1000+14598</f>
        <v>140298</v>
      </c>
      <c r="E7" s="24"/>
      <c r="F7" s="25">
        <f>+D7+E7</f>
        <v>140298</v>
      </c>
      <c r="G7" s="24">
        <v>141428</v>
      </c>
      <c r="H7" s="24"/>
      <c r="I7" s="25">
        <f>+G7+H7</f>
        <v>141428</v>
      </c>
    </row>
    <row r="8" spans="2:9" ht="12.75">
      <c r="B8" s="47" t="s">
        <v>45</v>
      </c>
      <c r="C8" s="46" t="s">
        <v>46</v>
      </c>
      <c r="D8" s="24">
        <v>2400</v>
      </c>
      <c r="E8" s="24"/>
      <c r="F8" s="25">
        <f>+D8+E8</f>
        <v>2400</v>
      </c>
      <c r="G8" s="24">
        <v>2400</v>
      </c>
      <c r="H8" s="24"/>
      <c r="I8" s="25">
        <f>+G8+H8</f>
        <v>2400</v>
      </c>
    </row>
    <row r="9" spans="2:9" ht="12.75">
      <c r="B9" s="48" t="s">
        <v>47</v>
      </c>
      <c r="C9" s="49" t="s">
        <v>48</v>
      </c>
      <c r="D9" s="25">
        <f>SUM(D7:D8)</f>
        <v>142698</v>
      </c>
      <c r="E9" s="25">
        <f>SUM(E7:E8)</f>
        <v>0</v>
      </c>
      <c r="F9" s="25">
        <f>SUM(F7:F8)</f>
        <v>142698</v>
      </c>
      <c r="G9" s="25">
        <f>SUM(G7:G8)</f>
        <v>143828</v>
      </c>
      <c r="H9" s="25">
        <f>SUM(H7:H8)</f>
        <v>0</v>
      </c>
      <c r="I9" s="25">
        <f>SUM(I7:I8)</f>
        <v>143828</v>
      </c>
    </row>
    <row r="10" spans="2:9" ht="12.75">
      <c r="B10" s="50" t="s">
        <v>594</v>
      </c>
      <c r="C10" s="49" t="s">
        <v>50</v>
      </c>
      <c r="D10" s="24">
        <f>33738+682+1986</f>
        <v>36406</v>
      </c>
      <c r="E10" s="24"/>
      <c r="F10" s="25">
        <f>+D10+E10</f>
        <v>36406</v>
      </c>
      <c r="G10" s="24">
        <v>36711</v>
      </c>
      <c r="H10" s="24"/>
      <c r="I10" s="25">
        <f>+G10+H10</f>
        <v>36711</v>
      </c>
    </row>
    <row r="11" spans="2:9" ht="12.75">
      <c r="B11" s="47" t="s">
        <v>51</v>
      </c>
      <c r="C11" s="46" t="s">
        <v>52</v>
      </c>
      <c r="D11" s="24">
        <f>20+400+150+1900+1400+200+100+160</f>
        <v>4330</v>
      </c>
      <c r="E11" s="24"/>
      <c r="F11" s="25">
        <f>+D11+E11</f>
        <v>4330</v>
      </c>
      <c r="G11" s="24">
        <v>4830</v>
      </c>
      <c r="H11" s="24"/>
      <c r="I11" s="25">
        <f>+G11+H11</f>
        <v>4830</v>
      </c>
    </row>
    <row r="12" spans="2:9" ht="12.75">
      <c r="B12" s="47" t="s">
        <v>53</v>
      </c>
      <c r="C12" s="46" t="s">
        <v>54</v>
      </c>
      <c r="D12" s="24">
        <f>600+300+200+2900+600</f>
        <v>4600</v>
      </c>
      <c r="E12" s="24"/>
      <c r="F12" s="25">
        <f>+D12+E12</f>
        <v>4600</v>
      </c>
      <c r="G12" s="24">
        <f>600+300+200+2900+600</f>
        <v>4600</v>
      </c>
      <c r="H12" s="24"/>
      <c r="I12" s="25">
        <f>+G12+H12</f>
        <v>4600</v>
      </c>
    </row>
    <row r="13" spans="2:9" ht="12.75">
      <c r="B13" s="47" t="s">
        <v>55</v>
      </c>
      <c r="C13" s="46" t="s">
        <v>56</v>
      </c>
      <c r="D13" s="24">
        <f>3000+6800+500+600+1000+1700+500+1200+350+190+250+150+2000+1500+1200+400</f>
        <v>21340</v>
      </c>
      <c r="E13" s="24"/>
      <c r="F13" s="25">
        <f>+D13+E13</f>
        <v>21340</v>
      </c>
      <c r="G13" s="24">
        <f>3000+6800+500+600+1000+1700+500+1200+350+190+250+150+2000+1500+1200+400</f>
        <v>21340</v>
      </c>
      <c r="H13" s="24"/>
      <c r="I13" s="25">
        <f>+G13+H13</f>
        <v>21340</v>
      </c>
    </row>
    <row r="14" spans="2:9" ht="12.75">
      <c r="B14" s="47" t="s">
        <v>57</v>
      </c>
      <c r="C14" s="46" t="s">
        <v>58</v>
      </c>
      <c r="D14" s="24">
        <v>240</v>
      </c>
      <c r="E14" s="24"/>
      <c r="F14" s="25">
        <f>+D14+E14</f>
        <v>240</v>
      </c>
      <c r="G14" s="24">
        <v>240</v>
      </c>
      <c r="H14" s="24"/>
      <c r="I14" s="25">
        <f>+G14+H14</f>
        <v>240</v>
      </c>
    </row>
    <row r="15" spans="2:9" ht="12.75">
      <c r="B15" s="47" t="s">
        <v>59</v>
      </c>
      <c r="C15" s="46" t="s">
        <v>60</v>
      </c>
      <c r="D15" s="24">
        <v>9347</v>
      </c>
      <c r="E15" s="24"/>
      <c r="F15" s="25">
        <f>+D15+E15</f>
        <v>9347</v>
      </c>
      <c r="G15" s="24">
        <v>10842</v>
      </c>
      <c r="H15" s="24"/>
      <c r="I15" s="25">
        <f>+G15+H15</f>
        <v>10842</v>
      </c>
    </row>
    <row r="16" spans="2:9" ht="12.75">
      <c r="B16" s="50" t="s">
        <v>61</v>
      </c>
      <c r="C16" s="49" t="s">
        <v>62</v>
      </c>
      <c r="D16" s="25">
        <f>SUM(D11:D15)</f>
        <v>39857</v>
      </c>
      <c r="E16" s="25">
        <f>SUM(E11:E15)</f>
        <v>0</v>
      </c>
      <c r="F16" s="25">
        <f>SUM(F11:F15)</f>
        <v>39857</v>
      </c>
      <c r="G16" s="25">
        <f>SUM(G11:G15)</f>
        <v>41852</v>
      </c>
      <c r="H16" s="25">
        <f>SUM(H11:H15)</f>
        <v>0</v>
      </c>
      <c r="I16" s="25">
        <f>SUM(I11:I15)</f>
        <v>41852</v>
      </c>
    </row>
    <row r="17" spans="2:9" ht="12.75">
      <c r="B17" s="51" t="s">
        <v>63</v>
      </c>
      <c r="C17" s="49" t="s">
        <v>64</v>
      </c>
      <c r="D17" s="24"/>
      <c r="E17" s="24"/>
      <c r="F17" s="25">
        <f>+D17+E17</f>
        <v>0</v>
      </c>
      <c r="G17" s="24"/>
      <c r="H17" s="24"/>
      <c r="I17" s="25">
        <f>+G17+H17</f>
        <v>0</v>
      </c>
    </row>
    <row r="18" spans="2:9" ht="12.75">
      <c r="B18" s="52" t="s">
        <v>65</v>
      </c>
      <c r="C18" s="46" t="s">
        <v>66</v>
      </c>
      <c r="D18" s="24"/>
      <c r="E18" s="24"/>
      <c r="F18" s="25">
        <f>+D18+E18</f>
        <v>0</v>
      </c>
      <c r="G18" s="24"/>
      <c r="H18" s="24"/>
      <c r="I18" s="25">
        <f>+G18+H18</f>
        <v>0</v>
      </c>
    </row>
    <row r="19" spans="2:9" ht="12.75">
      <c r="B19" s="52" t="s">
        <v>67</v>
      </c>
      <c r="C19" s="46" t="s">
        <v>68</v>
      </c>
      <c r="D19" s="24"/>
      <c r="E19" s="24"/>
      <c r="F19" s="25">
        <f>+D19+E19</f>
        <v>0</v>
      </c>
      <c r="G19" s="24"/>
      <c r="H19" s="24"/>
      <c r="I19" s="25">
        <f>+G19+H19</f>
        <v>0</v>
      </c>
    </row>
    <row r="20" spans="2:9" ht="12.75">
      <c r="B20" s="52" t="s">
        <v>69</v>
      </c>
      <c r="C20" s="46" t="s">
        <v>70</v>
      </c>
      <c r="D20" s="24"/>
      <c r="E20" s="24"/>
      <c r="F20" s="25">
        <f>+D20+E20</f>
        <v>0</v>
      </c>
      <c r="G20" s="24"/>
      <c r="H20" s="24"/>
      <c r="I20" s="25">
        <f>+G20+H20</f>
        <v>0</v>
      </c>
    </row>
    <row r="21" spans="2:9" ht="12.75">
      <c r="B21" s="52" t="s">
        <v>71</v>
      </c>
      <c r="C21" s="46" t="s">
        <v>72</v>
      </c>
      <c r="D21" s="24"/>
      <c r="E21" s="24"/>
      <c r="F21" s="25">
        <f>+D21+E21</f>
        <v>0</v>
      </c>
      <c r="G21" s="24"/>
      <c r="H21" s="24"/>
      <c r="I21" s="25">
        <f>+G21+H21</f>
        <v>0</v>
      </c>
    </row>
    <row r="22" spans="2:9" ht="12.75">
      <c r="B22" s="52" t="s">
        <v>73</v>
      </c>
      <c r="C22" s="46" t="s">
        <v>74</v>
      </c>
      <c r="D22" s="24"/>
      <c r="E22" s="24"/>
      <c r="F22" s="25">
        <f>+D22+E22</f>
        <v>0</v>
      </c>
      <c r="G22" s="24"/>
      <c r="H22" s="24"/>
      <c r="I22" s="25">
        <f>+G22+H22</f>
        <v>0</v>
      </c>
    </row>
    <row r="23" spans="2:9" ht="12.75">
      <c r="B23" s="52" t="s">
        <v>75</v>
      </c>
      <c r="C23" s="46" t="s">
        <v>76</v>
      </c>
      <c r="D23" s="24"/>
      <c r="E23" s="24"/>
      <c r="F23" s="25">
        <f>+D23+E23</f>
        <v>0</v>
      </c>
      <c r="G23" s="24"/>
      <c r="H23" s="24"/>
      <c r="I23" s="25">
        <f>+G23+H23</f>
        <v>0</v>
      </c>
    </row>
    <row r="24" spans="2:9" ht="12.75">
      <c r="B24" s="52" t="s">
        <v>77</v>
      </c>
      <c r="C24" s="46" t="s">
        <v>78</v>
      </c>
      <c r="D24" s="24"/>
      <c r="E24" s="24"/>
      <c r="F24" s="25">
        <f>+D24+E24</f>
        <v>0</v>
      </c>
      <c r="G24" s="24"/>
      <c r="H24" s="24"/>
      <c r="I24" s="25">
        <f>+G24+H24</f>
        <v>0</v>
      </c>
    </row>
    <row r="25" spans="2:9" ht="12.75">
      <c r="B25" s="52" t="s">
        <v>79</v>
      </c>
      <c r="C25" s="46" t="s">
        <v>80</v>
      </c>
      <c r="D25" s="24"/>
      <c r="E25" s="24"/>
      <c r="F25" s="25">
        <f>+D25+E25</f>
        <v>0</v>
      </c>
      <c r="G25" s="24"/>
      <c r="H25" s="24"/>
      <c r="I25" s="25">
        <f>+G25+H25</f>
        <v>0</v>
      </c>
    </row>
    <row r="26" spans="2:9" ht="12.75">
      <c r="B26" s="52" t="s">
        <v>81</v>
      </c>
      <c r="C26" s="46" t="s">
        <v>82</v>
      </c>
      <c r="D26" s="24"/>
      <c r="E26" s="24"/>
      <c r="F26" s="25">
        <f>+D26+E26</f>
        <v>0</v>
      </c>
      <c r="G26" s="24"/>
      <c r="H26" s="24"/>
      <c r="I26" s="25">
        <f>+G26+H26</f>
        <v>0</v>
      </c>
    </row>
    <row r="27" spans="2:9" ht="12.75">
      <c r="B27" s="53" t="s">
        <v>83</v>
      </c>
      <c r="C27" s="46" t="s">
        <v>84</v>
      </c>
      <c r="D27" s="24"/>
      <c r="E27" s="24"/>
      <c r="F27" s="25">
        <f>+D27+E27</f>
        <v>0</v>
      </c>
      <c r="G27" s="24"/>
      <c r="H27" s="24"/>
      <c r="I27" s="25">
        <f>+G27+H27</f>
        <v>0</v>
      </c>
    </row>
    <row r="28" spans="2:9" ht="12.75">
      <c r="B28" s="53" t="s">
        <v>595</v>
      </c>
      <c r="C28" s="46" t="s">
        <v>86</v>
      </c>
      <c r="D28" s="24"/>
      <c r="E28" s="24"/>
      <c r="F28" s="25">
        <f>+D28+E28</f>
        <v>0</v>
      </c>
      <c r="G28" s="24"/>
      <c r="H28" s="24"/>
      <c r="I28" s="25">
        <f>+G28+H28</f>
        <v>0</v>
      </c>
    </row>
    <row r="29" spans="2:9" ht="12.75">
      <c r="B29" s="52" t="s">
        <v>87</v>
      </c>
      <c r="C29" s="46" t="s">
        <v>88</v>
      </c>
      <c r="D29" s="24"/>
      <c r="E29" s="24"/>
      <c r="F29" s="25">
        <f>+D29+E29</f>
        <v>0</v>
      </c>
      <c r="G29" s="24"/>
      <c r="H29" s="24"/>
      <c r="I29" s="25">
        <f>+G29+H29</f>
        <v>0</v>
      </c>
    </row>
    <row r="30" spans="2:9" ht="12.75">
      <c r="B30" s="53" t="s">
        <v>89</v>
      </c>
      <c r="C30" s="46" t="s">
        <v>90</v>
      </c>
      <c r="D30" s="24"/>
      <c r="E30" s="24"/>
      <c r="F30" s="25">
        <f>+D30+E30</f>
        <v>0</v>
      </c>
      <c r="G30" s="24"/>
      <c r="H30" s="24"/>
      <c r="I30" s="25">
        <f>+G30+H30</f>
        <v>0</v>
      </c>
    </row>
    <row r="31" spans="2:9" ht="12.75">
      <c r="B31" s="53" t="s">
        <v>91</v>
      </c>
      <c r="C31" s="46" t="s">
        <v>90</v>
      </c>
      <c r="D31" s="24"/>
      <c r="E31" s="24"/>
      <c r="F31" s="25">
        <f>+D31+E31</f>
        <v>0</v>
      </c>
      <c r="G31" s="24"/>
      <c r="H31" s="24"/>
      <c r="I31" s="25">
        <f>+G31+H31</f>
        <v>0</v>
      </c>
    </row>
    <row r="32" spans="2:9" s="31" customFormat="1" ht="12.75">
      <c r="B32" s="51" t="s">
        <v>92</v>
      </c>
      <c r="C32" s="49" t="s">
        <v>93</v>
      </c>
      <c r="D32" s="25">
        <f>SUM(D18:D31)</f>
        <v>0</v>
      </c>
      <c r="E32" s="25">
        <f>SUM(E18:E31)</f>
        <v>0</v>
      </c>
      <c r="F32" s="25">
        <f>SUM(F18:F31)</f>
        <v>0</v>
      </c>
      <c r="G32" s="25">
        <f>SUM(G18:G31)</f>
        <v>0</v>
      </c>
      <c r="H32" s="25">
        <f>SUM(H18:H31)</f>
        <v>0</v>
      </c>
      <c r="I32" s="25">
        <f>SUM(I18:I31)</f>
        <v>0</v>
      </c>
    </row>
    <row r="33" spans="2:9" ht="12.75">
      <c r="B33" s="54" t="s">
        <v>94</v>
      </c>
      <c r="C33" s="55" t="s">
        <v>95</v>
      </c>
      <c r="D33" s="56">
        <f>+D32+D17+D16+D10+D9</f>
        <v>218961</v>
      </c>
      <c r="E33" s="56">
        <f>+E32+E17+E16+E10+E9</f>
        <v>0</v>
      </c>
      <c r="F33" s="56">
        <f>+F32+F17+F16+F10+F9</f>
        <v>218961</v>
      </c>
      <c r="G33" s="56">
        <f>+G32+G17+G16+G10+G9</f>
        <v>222391</v>
      </c>
      <c r="H33" s="56">
        <f>+H32+H17+H16+H10+H9</f>
        <v>0</v>
      </c>
      <c r="I33" s="56">
        <f>+I32+I17+I16+I10+I9</f>
        <v>222391</v>
      </c>
    </row>
    <row r="34" spans="2:9" ht="12.75">
      <c r="B34" s="57" t="s">
        <v>96</v>
      </c>
      <c r="C34" s="46" t="s">
        <v>97</v>
      </c>
      <c r="D34" s="24"/>
      <c r="E34" s="24"/>
      <c r="F34" s="25">
        <f>+D34+E34</f>
        <v>0</v>
      </c>
      <c r="G34" s="24"/>
      <c r="H34" s="24"/>
      <c r="I34" s="25">
        <f>+G34+H34</f>
        <v>0</v>
      </c>
    </row>
    <row r="35" spans="2:9" ht="12.75">
      <c r="B35" s="57" t="s">
        <v>98</v>
      </c>
      <c r="C35" s="46" t="s">
        <v>99</v>
      </c>
      <c r="D35" s="24"/>
      <c r="E35" s="24"/>
      <c r="F35" s="25">
        <f>+D35+E35</f>
        <v>0</v>
      </c>
      <c r="G35" s="24"/>
      <c r="H35" s="24"/>
      <c r="I35" s="25">
        <f>+G35+H35</f>
        <v>0</v>
      </c>
    </row>
    <row r="36" spans="2:9" ht="12.75">
      <c r="B36" s="57" t="s">
        <v>100</v>
      </c>
      <c r="C36" s="46" t="s">
        <v>101</v>
      </c>
      <c r="D36" s="24"/>
      <c r="E36" s="24"/>
      <c r="F36" s="25">
        <f>+D36+E36</f>
        <v>0</v>
      </c>
      <c r="G36" s="24"/>
      <c r="H36" s="24"/>
      <c r="I36" s="25">
        <f>+G36+H36</f>
        <v>0</v>
      </c>
    </row>
    <row r="37" spans="2:9" ht="12.75">
      <c r="B37" s="57" t="s">
        <v>102</v>
      </c>
      <c r="C37" s="46" t="s">
        <v>103</v>
      </c>
      <c r="D37" s="24"/>
      <c r="E37" s="24"/>
      <c r="F37" s="25">
        <f>+D37+E37</f>
        <v>0</v>
      </c>
      <c r="G37" s="24"/>
      <c r="H37" s="24"/>
      <c r="I37" s="25">
        <f>+G37+H37</f>
        <v>0</v>
      </c>
    </row>
    <row r="38" spans="2:9" ht="12.75">
      <c r="B38" s="58" t="s">
        <v>104</v>
      </c>
      <c r="C38" s="46" t="s">
        <v>105</v>
      </c>
      <c r="D38" s="24"/>
      <c r="E38" s="24"/>
      <c r="F38" s="25">
        <f>+D38+E38</f>
        <v>0</v>
      </c>
      <c r="G38" s="24"/>
      <c r="H38" s="24"/>
      <c r="I38" s="25">
        <f>+G38+H38</f>
        <v>0</v>
      </c>
    </row>
    <row r="39" spans="2:9" ht="12.75">
      <c r="B39" s="58" t="s">
        <v>106</v>
      </c>
      <c r="C39" s="46" t="s">
        <v>107</v>
      </c>
      <c r="D39" s="24"/>
      <c r="E39" s="24"/>
      <c r="F39" s="25">
        <f>+D39+E39</f>
        <v>0</v>
      </c>
      <c r="G39" s="24"/>
      <c r="H39" s="24"/>
      <c r="I39" s="25">
        <f>+G39+H39</f>
        <v>0</v>
      </c>
    </row>
    <row r="40" spans="2:9" ht="12.75">
      <c r="B40" s="58" t="s">
        <v>108</v>
      </c>
      <c r="C40" s="46" t="s">
        <v>109</v>
      </c>
      <c r="D40" s="24"/>
      <c r="E40" s="24"/>
      <c r="F40" s="25">
        <f>+D40+E40</f>
        <v>0</v>
      </c>
      <c r="G40" s="24"/>
      <c r="H40" s="24"/>
      <c r="I40" s="25">
        <f>+G40+H40</f>
        <v>0</v>
      </c>
    </row>
    <row r="41" spans="2:9" s="31" customFormat="1" ht="12.75">
      <c r="B41" s="59" t="s">
        <v>110</v>
      </c>
      <c r="C41" s="49" t="s">
        <v>111</v>
      </c>
      <c r="D41" s="25">
        <f>SUM(D34:D40)</f>
        <v>0</v>
      </c>
      <c r="E41" s="25">
        <f>SUM(E34:E40)</f>
        <v>0</v>
      </c>
      <c r="F41" s="25">
        <f>SUM(F34:F40)</f>
        <v>0</v>
      </c>
      <c r="G41" s="25">
        <f>SUM(G34:G40)</f>
        <v>0</v>
      </c>
      <c r="H41" s="25">
        <f>SUM(H34:H40)</f>
        <v>0</v>
      </c>
      <c r="I41" s="25">
        <f>SUM(I34:I40)</f>
        <v>0</v>
      </c>
    </row>
    <row r="42" spans="2:9" ht="12.75">
      <c r="B42" s="60" t="s">
        <v>112</v>
      </c>
      <c r="C42" s="46" t="s">
        <v>113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ht="12.75">
      <c r="B43" s="60" t="s">
        <v>114</v>
      </c>
      <c r="C43" s="46" t="s">
        <v>115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ht="12.75">
      <c r="B44" s="60" t="s">
        <v>116</v>
      </c>
      <c r="C44" s="46" t="s">
        <v>117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ht="12.75">
      <c r="B45" s="60" t="s">
        <v>118</v>
      </c>
      <c r="C45" s="46" t="s">
        <v>119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ht="12.75">
      <c r="B46" s="50" t="s">
        <v>120</v>
      </c>
      <c r="C46" s="49" t="s">
        <v>121</v>
      </c>
      <c r="D46" s="25">
        <f>SUM(D42:D45)</f>
        <v>0</v>
      </c>
      <c r="E46" s="25">
        <f>SUM(E42:E45)</f>
        <v>0</v>
      </c>
      <c r="F46" s="25">
        <f>SUM(F42:F45)</f>
        <v>0</v>
      </c>
      <c r="G46" s="25">
        <f>SUM(G42:G45)</f>
        <v>0</v>
      </c>
      <c r="H46" s="25">
        <f>SUM(H42:H45)</f>
        <v>0</v>
      </c>
      <c r="I46" s="25">
        <f>SUM(I42:I45)</f>
        <v>0</v>
      </c>
    </row>
    <row r="47" spans="2:9" ht="12.75">
      <c r="B47" s="60" t="s">
        <v>122</v>
      </c>
      <c r="C47" s="46" t="s">
        <v>123</v>
      </c>
      <c r="D47" s="24"/>
      <c r="E47" s="24"/>
      <c r="F47" s="25">
        <f>+D47+E47</f>
        <v>0</v>
      </c>
      <c r="G47" s="24"/>
      <c r="H47" s="24"/>
      <c r="I47" s="25">
        <f>+G47+H47</f>
        <v>0</v>
      </c>
    </row>
    <row r="48" spans="2:9" ht="12.75">
      <c r="B48" s="60" t="s">
        <v>124</v>
      </c>
      <c r="C48" s="46" t="s">
        <v>125</v>
      </c>
      <c r="D48" s="24"/>
      <c r="E48" s="24"/>
      <c r="F48" s="25">
        <f>+D48+E48</f>
        <v>0</v>
      </c>
      <c r="G48" s="24"/>
      <c r="H48" s="24"/>
      <c r="I48" s="25">
        <f>+G48+H48</f>
        <v>0</v>
      </c>
    </row>
    <row r="49" spans="2:9" ht="12.75">
      <c r="B49" s="60" t="s">
        <v>126</v>
      </c>
      <c r="C49" s="46" t="s">
        <v>127</v>
      </c>
      <c r="D49" s="24"/>
      <c r="E49" s="24"/>
      <c r="F49" s="25">
        <f>+D49+E49</f>
        <v>0</v>
      </c>
      <c r="G49" s="24"/>
      <c r="H49" s="24"/>
      <c r="I49" s="25">
        <f>+G49+H49</f>
        <v>0</v>
      </c>
    </row>
    <row r="50" spans="2:9" ht="12.75">
      <c r="B50" s="60" t="s">
        <v>128</v>
      </c>
      <c r="C50" s="46" t="s">
        <v>129</v>
      </c>
      <c r="D50" s="24"/>
      <c r="E50" s="24"/>
      <c r="F50" s="25">
        <f>+D50+E50</f>
        <v>0</v>
      </c>
      <c r="G50" s="24"/>
      <c r="H50" s="24"/>
      <c r="I50" s="25">
        <f>+G50+H50</f>
        <v>0</v>
      </c>
    </row>
    <row r="51" spans="2:9" ht="12.75">
      <c r="B51" s="60" t="s">
        <v>130</v>
      </c>
      <c r="C51" s="46" t="s">
        <v>131</v>
      </c>
      <c r="D51" s="24"/>
      <c r="E51" s="24"/>
      <c r="F51" s="25">
        <f>+D51+E51</f>
        <v>0</v>
      </c>
      <c r="G51" s="24"/>
      <c r="H51" s="24"/>
      <c r="I51" s="25">
        <f>+G51+H51</f>
        <v>0</v>
      </c>
    </row>
    <row r="52" spans="2:9" ht="12.75">
      <c r="B52" s="60" t="s">
        <v>132</v>
      </c>
      <c r="C52" s="46" t="s">
        <v>133</v>
      </c>
      <c r="D52" s="24"/>
      <c r="E52" s="24"/>
      <c r="F52" s="25">
        <f>+D52+E52</f>
        <v>0</v>
      </c>
      <c r="G52" s="24"/>
      <c r="H52" s="24"/>
      <c r="I52" s="25">
        <f>+G52+H52</f>
        <v>0</v>
      </c>
    </row>
    <row r="53" spans="2:9" ht="12.75">
      <c r="B53" s="60" t="s">
        <v>134</v>
      </c>
      <c r="C53" s="46" t="s">
        <v>135</v>
      </c>
      <c r="D53" s="24"/>
      <c r="E53" s="24"/>
      <c r="F53" s="25">
        <f>+D53+E53</f>
        <v>0</v>
      </c>
      <c r="G53" s="24"/>
      <c r="H53" s="24"/>
      <c r="I53" s="25">
        <f>+G53+H53</f>
        <v>0</v>
      </c>
    </row>
    <row r="54" spans="2:9" ht="12.75">
      <c r="B54" s="53" t="s">
        <v>596</v>
      </c>
      <c r="C54" s="46" t="s">
        <v>137</v>
      </c>
      <c r="D54" s="24"/>
      <c r="E54" s="24"/>
      <c r="F54" s="25">
        <f>+D54+E54</f>
        <v>0</v>
      </c>
      <c r="G54" s="24"/>
      <c r="H54" s="24"/>
      <c r="I54" s="25">
        <f>+G54+H54</f>
        <v>0</v>
      </c>
    </row>
    <row r="55" spans="2:9" ht="12.75">
      <c r="B55" s="60" t="s">
        <v>138</v>
      </c>
      <c r="C55" s="46" t="s">
        <v>139</v>
      </c>
      <c r="D55" s="24"/>
      <c r="E55" s="24"/>
      <c r="F55" s="25">
        <f>+D55+E55</f>
        <v>0</v>
      </c>
      <c r="G55" s="24"/>
      <c r="H55" s="24"/>
      <c r="I55" s="25">
        <f>+G55+H55</f>
        <v>0</v>
      </c>
    </row>
    <row r="56" spans="2:9" s="31" customFormat="1" ht="12.75">
      <c r="B56" s="51" t="s">
        <v>140</v>
      </c>
      <c r="C56" s="49" t="s">
        <v>141</v>
      </c>
      <c r="D56" s="25">
        <f>SUM(D47:D55)</f>
        <v>0</v>
      </c>
      <c r="E56" s="25">
        <f>SUM(E47:E55)</f>
        <v>0</v>
      </c>
      <c r="F56" s="25">
        <f>SUM(F47:F55)</f>
        <v>0</v>
      </c>
      <c r="G56" s="25">
        <f>SUM(G47:G55)</f>
        <v>0</v>
      </c>
      <c r="H56" s="25">
        <f>SUM(H47:H55)</f>
        <v>0</v>
      </c>
      <c r="I56" s="25">
        <f>SUM(I47:I55)</f>
        <v>0</v>
      </c>
    </row>
    <row r="57" spans="2:9" ht="12.75">
      <c r="B57" s="54" t="s">
        <v>142</v>
      </c>
      <c r="C57" s="55" t="s">
        <v>143</v>
      </c>
      <c r="D57" s="56">
        <f>+D56+D46+D41</f>
        <v>0</v>
      </c>
      <c r="E57" s="56">
        <f>+E56+E46+E41</f>
        <v>0</v>
      </c>
      <c r="F57" s="56">
        <f>+F56+F46+F41</f>
        <v>0</v>
      </c>
      <c r="G57" s="56">
        <f>+G56+G46+G41</f>
        <v>0</v>
      </c>
      <c r="H57" s="56">
        <f>+H56+H46+H41</f>
        <v>0</v>
      </c>
      <c r="I57" s="56">
        <f>+I56+I46+I41</f>
        <v>0</v>
      </c>
    </row>
    <row r="58" spans="2:9" ht="12.75">
      <c r="B58" s="61" t="s">
        <v>144</v>
      </c>
      <c r="C58" s="62" t="s">
        <v>145</v>
      </c>
      <c r="D58" s="63">
        <f>+D56+D46+D41+D32+D17+D16+D10+D9</f>
        <v>218961</v>
      </c>
      <c r="E58" s="63">
        <f>+E56+E46+E41+E32+E17+E16+E10+E9</f>
        <v>0</v>
      </c>
      <c r="F58" s="63">
        <f>+F56+F46+F41+F32+F17+F16+F10+F9</f>
        <v>218961</v>
      </c>
      <c r="G58" s="63">
        <f>+G56+G46+G41+G32+G17+G16+G10+G9</f>
        <v>222391</v>
      </c>
      <c r="H58" s="63">
        <f>+H56+H46+H41+H32+H17+H16+H10+H9</f>
        <v>0</v>
      </c>
      <c r="I58" s="63">
        <f>+I56+I46+I41+I32+I17+I16+I10+I9</f>
        <v>222391</v>
      </c>
    </row>
    <row r="59" spans="2:22" ht="12.75">
      <c r="B59" s="68" t="s">
        <v>582</v>
      </c>
      <c r="C59" s="47" t="s">
        <v>171</v>
      </c>
      <c r="D59" s="241"/>
      <c r="E59" s="241"/>
      <c r="F59" s="24">
        <f>+D59+E59</f>
        <v>0</v>
      </c>
      <c r="G59" s="241"/>
      <c r="H59" s="241"/>
      <c r="I59" s="24">
        <f>+G59+H59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/>
      <c r="V59" s="65"/>
    </row>
    <row r="60" spans="2:22" ht="12.75">
      <c r="B60" s="68" t="s">
        <v>172</v>
      </c>
      <c r="C60" s="47" t="s">
        <v>173</v>
      </c>
      <c r="D60" s="241"/>
      <c r="E60" s="241"/>
      <c r="F60" s="24">
        <f>+D60+E60</f>
        <v>0</v>
      </c>
      <c r="G60" s="241"/>
      <c r="H60" s="241"/>
      <c r="I60" s="24">
        <f>+G60+H60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/>
      <c r="V60" s="65"/>
    </row>
    <row r="61" spans="2:22" ht="12.75">
      <c r="B61" s="60" t="s">
        <v>174</v>
      </c>
      <c r="C61" s="47" t="s">
        <v>175</v>
      </c>
      <c r="D61" s="241"/>
      <c r="E61" s="241"/>
      <c r="F61" s="24">
        <f>+D61+E61</f>
        <v>0</v>
      </c>
      <c r="G61" s="241"/>
      <c r="H61" s="241"/>
      <c r="I61" s="24">
        <f>+G61+H61</f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5"/>
    </row>
    <row r="62" spans="2:22" ht="12.75">
      <c r="B62" s="60" t="s">
        <v>176</v>
      </c>
      <c r="C62" s="47" t="s">
        <v>177</v>
      </c>
      <c r="D62" s="241"/>
      <c r="E62" s="241"/>
      <c r="F62" s="24">
        <f>+D62+E62</f>
        <v>0</v>
      </c>
      <c r="G62" s="241"/>
      <c r="H62" s="241"/>
      <c r="I62" s="24">
        <f>+G62+H62</f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5"/>
    </row>
    <row r="63" spans="2:22" ht="12.75">
      <c r="B63" s="73" t="s">
        <v>178</v>
      </c>
      <c r="C63" s="74" t="s">
        <v>179</v>
      </c>
      <c r="D63" s="75">
        <f>+D61+D60+D59+D62</f>
        <v>0</v>
      </c>
      <c r="E63" s="75">
        <f>+E61+E60+E59+E62</f>
        <v>0</v>
      </c>
      <c r="F63" s="75">
        <f>+F61+F60+F59+F62</f>
        <v>0</v>
      </c>
      <c r="G63" s="75">
        <f>+G61+G60+G59+G62</f>
        <v>0</v>
      </c>
      <c r="H63" s="75">
        <f>+H61+H60+H59+H62</f>
        <v>0</v>
      </c>
      <c r="I63" s="75">
        <f>+I61+I60+I59+I62</f>
        <v>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5"/>
      <c r="V63" s="65"/>
    </row>
    <row r="64" spans="2:22" ht="12.75">
      <c r="B64" s="28" t="s">
        <v>180</v>
      </c>
      <c r="C64" s="28" t="s">
        <v>181</v>
      </c>
      <c r="D64" s="29">
        <f>+D58+D63</f>
        <v>218961</v>
      </c>
      <c r="E64" s="29">
        <f>+E58+E63</f>
        <v>0</v>
      </c>
      <c r="F64" s="29">
        <f>+F58+F63</f>
        <v>218961</v>
      </c>
      <c r="G64" s="29">
        <f>+G58+G63</f>
        <v>222391</v>
      </c>
      <c r="H64" s="29">
        <f>+H58+H63</f>
        <v>0</v>
      </c>
      <c r="I64" s="29">
        <f>+I58+I63</f>
        <v>222391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13"/>
      <c r="C65" s="76"/>
      <c r="D65" s="77"/>
      <c r="E65" s="77"/>
      <c r="F65" s="78"/>
      <c r="G65" s="77"/>
      <c r="H65" s="77"/>
      <c r="I65" s="7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2:22" ht="15.75" customHeight="1" hidden="1">
      <c r="B66" s="13"/>
      <c r="C66" s="76"/>
      <c r="D66" s="92" t="s">
        <v>14</v>
      </c>
      <c r="E66" s="92"/>
      <c r="F66" s="92"/>
      <c r="G66" s="92" t="s">
        <v>14</v>
      </c>
      <c r="H66" s="92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2:22" ht="12.75">
      <c r="B67" s="19" t="s">
        <v>15</v>
      </c>
      <c r="C67" s="42" t="s">
        <v>182</v>
      </c>
      <c r="D67" s="43" t="s">
        <v>16</v>
      </c>
      <c r="E67" s="43" t="s">
        <v>17</v>
      </c>
      <c r="F67" s="162" t="s">
        <v>528</v>
      </c>
      <c r="G67" s="43" t="s">
        <v>16</v>
      </c>
      <c r="H67" s="43" t="s">
        <v>17</v>
      </c>
      <c r="I67" s="162" t="s">
        <v>528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2:22" ht="12.75">
      <c r="B68" s="50" t="s">
        <v>584</v>
      </c>
      <c r="C68" s="59" t="s">
        <v>196</v>
      </c>
      <c r="D68" s="25"/>
      <c r="E68" s="25"/>
      <c r="F68" s="25">
        <f>+E68+D68</f>
        <v>0</v>
      </c>
      <c r="G68" s="25"/>
      <c r="H68" s="25"/>
      <c r="I68" s="25">
        <f>+H68+G68</f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2:22" ht="12.75">
      <c r="B69" s="47" t="s">
        <v>197</v>
      </c>
      <c r="C69" s="58" t="s">
        <v>198</v>
      </c>
      <c r="D69" s="25"/>
      <c r="E69" s="25"/>
      <c r="F69" s="25">
        <f>+E69+D69</f>
        <v>0</v>
      </c>
      <c r="G69" s="25"/>
      <c r="H69" s="25"/>
      <c r="I69" s="25">
        <f>+H69+G69</f>
        <v>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2:22" ht="12.75">
      <c r="B70" s="47" t="s">
        <v>199</v>
      </c>
      <c r="C70" s="58" t="s">
        <v>200</v>
      </c>
      <c r="D70" s="25"/>
      <c r="E70" s="25"/>
      <c r="F70" s="25">
        <f>+E70+D70</f>
        <v>0</v>
      </c>
      <c r="G70" s="25"/>
      <c r="H70" s="25"/>
      <c r="I70" s="25">
        <f>+H70+G70</f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2:22" ht="12.75">
      <c r="B71" s="47" t="s">
        <v>201</v>
      </c>
      <c r="C71" s="58" t="s">
        <v>202</v>
      </c>
      <c r="D71" s="25"/>
      <c r="E71" s="25"/>
      <c r="F71" s="25">
        <f>+E71+D71</f>
        <v>0</v>
      </c>
      <c r="G71" s="25"/>
      <c r="H71" s="25"/>
      <c r="I71" s="25">
        <f>+H71+G71</f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2:22" ht="12.75">
      <c r="B72" s="47" t="s">
        <v>203</v>
      </c>
      <c r="C72" s="58" t="s">
        <v>204</v>
      </c>
      <c r="D72" s="25"/>
      <c r="E72" s="25"/>
      <c r="F72" s="25">
        <f>+E72+D72</f>
        <v>0</v>
      </c>
      <c r="G72" s="25"/>
      <c r="H72" s="25"/>
      <c r="I72" s="25">
        <f>+H72+G72</f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2:22" ht="12.75">
      <c r="B73" s="47" t="s">
        <v>205</v>
      </c>
      <c r="C73" s="58" t="s">
        <v>206</v>
      </c>
      <c r="D73" s="24">
        <f>3888+3592</f>
        <v>7480</v>
      </c>
      <c r="E73" s="24"/>
      <c r="F73" s="25">
        <f>+E73+D73</f>
        <v>7480</v>
      </c>
      <c r="G73" s="24">
        <f>3888+3592</f>
        <v>7480</v>
      </c>
      <c r="H73" s="24"/>
      <c r="I73" s="25">
        <f>+H73+G73</f>
        <v>7480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2.75">
      <c r="B74" s="50" t="s">
        <v>207</v>
      </c>
      <c r="C74" s="59" t="s">
        <v>208</v>
      </c>
      <c r="D74" s="25">
        <f>+D73+D72+D71+D70+D69+D68</f>
        <v>7480</v>
      </c>
      <c r="E74" s="25">
        <f>+E73+E72+E71+E70+E69+E68</f>
        <v>0</v>
      </c>
      <c r="F74" s="25">
        <f>+F73+F72+F71+F70+F69+F68</f>
        <v>7480</v>
      </c>
      <c r="G74" s="25">
        <f>+G73+G72+G71+G70+G69+G68</f>
        <v>7480</v>
      </c>
      <c r="H74" s="25">
        <f>+H73+H72+H71+H70+H69+H68</f>
        <v>0</v>
      </c>
      <c r="I74" s="25">
        <f>+I73+I72+I71+I70+I69+I68</f>
        <v>7480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2.75">
      <c r="B75" s="50" t="s">
        <v>209</v>
      </c>
      <c r="C75" s="59" t="s">
        <v>210</v>
      </c>
      <c r="D75" s="24"/>
      <c r="E75" s="24"/>
      <c r="F75" s="25">
        <f>+E75+D75</f>
        <v>0</v>
      </c>
      <c r="G75" s="24"/>
      <c r="H75" s="24"/>
      <c r="I75" s="25">
        <f>+H75+G75</f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2:22" ht="12.75" hidden="1">
      <c r="B76" s="47" t="s">
        <v>211</v>
      </c>
      <c r="C76" s="58" t="s">
        <v>212</v>
      </c>
      <c r="D76" s="24"/>
      <c r="E76" s="24"/>
      <c r="F76" s="25">
        <f>+E76+D76</f>
        <v>0</v>
      </c>
      <c r="G76" s="24"/>
      <c r="H76" s="24"/>
      <c r="I76" s="25">
        <f>+H76+G76</f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2.75" hidden="1">
      <c r="B77" s="47" t="s">
        <v>213</v>
      </c>
      <c r="C77" s="58" t="s">
        <v>214</v>
      </c>
      <c r="D77" s="24"/>
      <c r="E77" s="24"/>
      <c r="F77" s="25">
        <f>+E77+D77</f>
        <v>0</v>
      </c>
      <c r="G77" s="24"/>
      <c r="H77" s="24"/>
      <c r="I77" s="25">
        <f>+H77+G77</f>
        <v>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2:22" ht="12.75" hidden="1">
      <c r="B78" s="47" t="s">
        <v>215</v>
      </c>
      <c r="C78" s="58" t="s">
        <v>216</v>
      </c>
      <c r="D78" s="24"/>
      <c r="E78" s="24"/>
      <c r="F78" s="25">
        <f>+E78+D78</f>
        <v>0</v>
      </c>
      <c r="G78" s="24"/>
      <c r="H78" s="24"/>
      <c r="I78" s="25">
        <f>+H78+G78</f>
        <v>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2:22" ht="12.75" hidden="1">
      <c r="B79" s="47" t="s">
        <v>217</v>
      </c>
      <c r="C79" s="58" t="s">
        <v>218</v>
      </c>
      <c r="D79" s="24"/>
      <c r="E79" s="24"/>
      <c r="F79" s="25">
        <f>+E79+D79</f>
        <v>0</v>
      </c>
      <c r="G79" s="24"/>
      <c r="H79" s="24"/>
      <c r="I79" s="25">
        <f>+H79+G79</f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2:22" ht="12.75" hidden="1">
      <c r="B80" s="47" t="s">
        <v>219</v>
      </c>
      <c r="C80" s="58" t="s">
        <v>220</v>
      </c>
      <c r="D80" s="24"/>
      <c r="E80" s="24"/>
      <c r="F80" s="25">
        <f>+E80+D80</f>
        <v>0</v>
      </c>
      <c r="G80" s="24"/>
      <c r="H80" s="24"/>
      <c r="I80" s="25">
        <f>+H80+G80</f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2:22" ht="12.75" hidden="1">
      <c r="B81" s="47" t="s">
        <v>221</v>
      </c>
      <c r="C81" s="58" t="s">
        <v>222</v>
      </c>
      <c r="D81" s="24"/>
      <c r="E81" s="24"/>
      <c r="F81" s="25">
        <f>+E81+D81</f>
        <v>0</v>
      </c>
      <c r="G81" s="24"/>
      <c r="H81" s="24"/>
      <c r="I81" s="25">
        <f>+H81+G81</f>
        <v>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2:22" ht="12.75">
      <c r="B82" s="50" t="s">
        <v>223</v>
      </c>
      <c r="C82" s="59" t="s">
        <v>224</v>
      </c>
      <c r="D82" s="25">
        <f>SUM(D76:D81)</f>
        <v>0</v>
      </c>
      <c r="E82" s="25">
        <f>SUM(E76:E81)</f>
        <v>0</v>
      </c>
      <c r="F82" s="25">
        <f>SUM(F76:F81)</f>
        <v>0</v>
      </c>
      <c r="G82" s="25">
        <f>SUM(G76:G81)</f>
        <v>0</v>
      </c>
      <c r="H82" s="25">
        <f>SUM(H76:H81)</f>
        <v>0</v>
      </c>
      <c r="I82" s="25">
        <f>SUM(I76:I81)</f>
        <v>0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2:22" ht="12.75">
      <c r="B83" s="60" t="s">
        <v>585</v>
      </c>
      <c r="C83" s="58" t="s">
        <v>226</v>
      </c>
      <c r="D83" s="24"/>
      <c r="E83" s="24"/>
      <c r="F83" s="25">
        <f>+E83+D83</f>
        <v>0</v>
      </c>
      <c r="G83" s="24"/>
      <c r="H83" s="24"/>
      <c r="I83" s="25">
        <f>+H83+G83</f>
        <v>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2:22" ht="12.75">
      <c r="B84" s="60" t="s">
        <v>227</v>
      </c>
      <c r="C84" s="58" t="s">
        <v>228</v>
      </c>
      <c r="D84" s="24">
        <v>7157</v>
      </c>
      <c r="E84" s="24"/>
      <c r="F84" s="25">
        <f>+E84+D84</f>
        <v>7157</v>
      </c>
      <c r="G84" s="24">
        <v>7100</v>
      </c>
      <c r="H84" s="24"/>
      <c r="I84" s="25">
        <f>+H84+G84</f>
        <v>7100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2:22" ht="12.75">
      <c r="B85" s="60" t="s">
        <v>229</v>
      </c>
      <c r="C85" s="58" t="s">
        <v>230</v>
      </c>
      <c r="D85" s="24"/>
      <c r="E85" s="24"/>
      <c r="F85" s="25">
        <f>+E85+D85</f>
        <v>0</v>
      </c>
      <c r="G85" s="24">
        <v>57</v>
      </c>
      <c r="H85" s="24"/>
      <c r="I85" s="25">
        <f>+H85+G85</f>
        <v>57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2:22" ht="12.75">
      <c r="B86" s="60" t="s">
        <v>231</v>
      </c>
      <c r="C86" s="58" t="s">
        <v>232</v>
      </c>
      <c r="D86" s="24"/>
      <c r="E86" s="24"/>
      <c r="F86" s="25">
        <f>+E86+D86</f>
        <v>0</v>
      </c>
      <c r="G86" s="24"/>
      <c r="H86" s="24"/>
      <c r="I86" s="25">
        <f>+H86+G86</f>
        <v>0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2:22" ht="12.75">
      <c r="B87" s="60" t="s">
        <v>233</v>
      </c>
      <c r="C87" s="58" t="s">
        <v>234</v>
      </c>
      <c r="D87" s="24"/>
      <c r="E87" s="24"/>
      <c r="F87" s="25">
        <f>+E87+D87</f>
        <v>0</v>
      </c>
      <c r="G87" s="24"/>
      <c r="H87" s="24"/>
      <c r="I87" s="25">
        <f>+H87+G87</f>
        <v>0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2:22" ht="12.75">
      <c r="B88" s="60" t="s">
        <v>235</v>
      </c>
      <c r="C88" s="58" t="s">
        <v>236</v>
      </c>
      <c r="D88" s="24">
        <v>1878</v>
      </c>
      <c r="E88" s="24"/>
      <c r="F88" s="25">
        <f>+E88+D88</f>
        <v>1878</v>
      </c>
      <c r="G88" s="24">
        <v>1878</v>
      </c>
      <c r="H88" s="24"/>
      <c r="I88" s="25">
        <f>+H88+G88</f>
        <v>1878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2:22" ht="12.75">
      <c r="B89" s="60" t="s">
        <v>237</v>
      </c>
      <c r="C89" s="58" t="s">
        <v>238</v>
      </c>
      <c r="D89" s="24"/>
      <c r="E89" s="24"/>
      <c r="F89" s="25">
        <f>+E89+D89</f>
        <v>0</v>
      </c>
      <c r="G89" s="24"/>
      <c r="H89" s="24"/>
      <c r="I89" s="25">
        <f>+H89+G89</f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2:22" ht="12.75">
      <c r="B90" s="60" t="s">
        <v>239</v>
      </c>
      <c r="C90" s="58" t="s">
        <v>240</v>
      </c>
      <c r="D90" s="24"/>
      <c r="E90" s="24"/>
      <c r="F90" s="25">
        <f>+E90+D90</f>
        <v>0</v>
      </c>
      <c r="G90" s="24"/>
      <c r="H90" s="24"/>
      <c r="I90" s="25">
        <f>+H90+G90</f>
        <v>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2:22" ht="12.75">
      <c r="B91" s="60" t="s">
        <v>241</v>
      </c>
      <c r="C91" s="58" t="s">
        <v>242</v>
      </c>
      <c r="D91" s="24"/>
      <c r="E91" s="24"/>
      <c r="F91" s="25">
        <f>+E91+D91</f>
        <v>0</v>
      </c>
      <c r="G91" s="24"/>
      <c r="H91" s="24"/>
      <c r="I91" s="25">
        <f>+H91+G91</f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2:22" ht="12.75">
      <c r="B92" s="60" t="s">
        <v>243</v>
      </c>
      <c r="C92" s="58" t="s">
        <v>244</v>
      </c>
      <c r="D92" s="24"/>
      <c r="E92" s="24"/>
      <c r="F92" s="25">
        <f>+E92+D92</f>
        <v>0</v>
      </c>
      <c r="G92" s="24"/>
      <c r="H92" s="24"/>
      <c r="I92" s="25">
        <f>+H92+G92</f>
        <v>0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2:22" ht="12.75">
      <c r="B93" s="60" t="s">
        <v>245</v>
      </c>
      <c r="C93" s="58" t="s">
        <v>246</v>
      </c>
      <c r="D93" s="24"/>
      <c r="E93" s="24"/>
      <c r="F93" s="25">
        <f>+E93+D93</f>
        <v>0</v>
      </c>
      <c r="G93" s="24"/>
      <c r="H93" s="24"/>
      <c r="I93" s="25">
        <f>+H93+G93</f>
        <v>0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2:22" ht="12.75">
      <c r="B94" s="51" t="s">
        <v>247</v>
      </c>
      <c r="C94" s="59" t="s">
        <v>248</v>
      </c>
      <c r="D94" s="25">
        <f>SUM(D83:D93)</f>
        <v>9035</v>
      </c>
      <c r="E94" s="25">
        <f>SUM(E83:E93)</f>
        <v>0</v>
      </c>
      <c r="F94" s="25">
        <f>SUM(F83:F93)</f>
        <v>9035</v>
      </c>
      <c r="G94" s="25">
        <f>SUM(G83:G93)</f>
        <v>9035</v>
      </c>
      <c r="H94" s="25">
        <f>SUM(H83:H93)</f>
        <v>0</v>
      </c>
      <c r="I94" s="25">
        <f>SUM(I83:I93)</f>
        <v>9035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2:22" ht="12.75">
      <c r="B95" s="60" t="s">
        <v>249</v>
      </c>
      <c r="C95" s="58" t="s">
        <v>250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2:22" ht="12.75">
      <c r="B96" s="60" t="s">
        <v>251</v>
      </c>
      <c r="C96" s="58" t="s">
        <v>252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2:22" ht="12.75">
      <c r="B97" s="60" t="s">
        <v>253</v>
      </c>
      <c r="C97" s="58" t="s">
        <v>254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2:22" ht="12.75">
      <c r="B98" s="60" t="s">
        <v>255</v>
      </c>
      <c r="C98" s="58" t="s">
        <v>256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2:22" ht="12.75">
      <c r="B99" s="60" t="s">
        <v>257</v>
      </c>
      <c r="C99" s="58" t="s">
        <v>258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2:22" ht="12.75">
      <c r="B100" s="50" t="s">
        <v>259</v>
      </c>
      <c r="C100" s="59" t="s">
        <v>260</v>
      </c>
      <c r="D100" s="25">
        <f>SUM(D95:D99)</f>
        <v>0</v>
      </c>
      <c r="E100" s="25">
        <f>SUM(E95:E99)</f>
        <v>0</v>
      </c>
      <c r="F100" s="25">
        <f>SUM(F95:F99)</f>
        <v>0</v>
      </c>
      <c r="G100" s="25">
        <f>SUM(G95:G99)</f>
        <v>0</v>
      </c>
      <c r="H100" s="25">
        <f>SUM(H95:H99)</f>
        <v>0</v>
      </c>
      <c r="I100" s="25">
        <f>SUM(I95:I99)</f>
        <v>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2:22" ht="12.75">
      <c r="B101" s="50" t="s">
        <v>261</v>
      </c>
      <c r="C101" s="59" t="s">
        <v>262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2:22" ht="12.75">
      <c r="B102" s="60" t="s">
        <v>263</v>
      </c>
      <c r="C102" s="58" t="s">
        <v>264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2:22" ht="12.75">
      <c r="B103" s="47" t="s">
        <v>265</v>
      </c>
      <c r="C103" s="58" t="s">
        <v>266</v>
      </c>
      <c r="D103" s="24"/>
      <c r="E103" s="24"/>
      <c r="F103" s="25">
        <f>+E103+D103</f>
        <v>0</v>
      </c>
      <c r="G103" s="24"/>
      <c r="H103" s="24"/>
      <c r="I103" s="25">
        <f>+H103+G103</f>
        <v>0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2:22" ht="12.75">
      <c r="B104" s="60" t="s">
        <v>267</v>
      </c>
      <c r="C104" s="58" t="s">
        <v>268</v>
      </c>
      <c r="D104" s="24"/>
      <c r="E104" s="24"/>
      <c r="F104" s="25">
        <f>+E104+D104</f>
        <v>0</v>
      </c>
      <c r="G104" s="24"/>
      <c r="H104" s="24"/>
      <c r="I104" s="25">
        <f>+H104+G104</f>
        <v>0</v>
      </c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2:22" ht="12.75">
      <c r="B105" s="60" t="s">
        <v>269</v>
      </c>
      <c r="C105" s="58" t="s">
        <v>270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22" ht="12.75">
      <c r="B106" s="60" t="s">
        <v>271</v>
      </c>
      <c r="C106" s="58" t="s">
        <v>272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22" ht="12.75">
      <c r="B107" s="50" t="s">
        <v>273</v>
      </c>
      <c r="C107" s="59" t="s">
        <v>274</v>
      </c>
      <c r="D107" s="25">
        <f>SUM(D102:D106)</f>
        <v>0</v>
      </c>
      <c r="E107" s="25">
        <f>SUM(E102:E106)</f>
        <v>0</v>
      </c>
      <c r="F107" s="25">
        <f>SUM(F102:F106)</f>
        <v>0</v>
      </c>
      <c r="G107" s="25">
        <f>SUM(G102:G106)</f>
        <v>0</v>
      </c>
      <c r="H107" s="25">
        <f>SUM(H102:H106)</f>
        <v>0</v>
      </c>
      <c r="I107" s="25">
        <f>SUM(I102:I106)</f>
        <v>0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22" ht="12.75">
      <c r="B108" s="81" t="s">
        <v>275</v>
      </c>
      <c r="C108" s="61" t="s">
        <v>276</v>
      </c>
      <c r="D108" s="63">
        <f>+D107+D101+D100+D94+D82+D75+D74</f>
        <v>16515</v>
      </c>
      <c r="E108" s="63">
        <f>+E107+E101+E100+E94+E82+E75+E74</f>
        <v>0</v>
      </c>
      <c r="F108" s="63">
        <f>+F107+F101+F100+F94+F82+F75+F74</f>
        <v>16515</v>
      </c>
      <c r="G108" s="63">
        <f>+G107+G101+G100+G94+G82+G75+G74</f>
        <v>16515</v>
      </c>
      <c r="H108" s="63">
        <f>+H107+H101+H100+H94+H82+H75+H74</f>
        <v>0</v>
      </c>
      <c r="I108" s="63">
        <f>+I107+I101+I100+I94+I82+I75+I74</f>
        <v>16515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22" ht="12.75">
      <c r="B109" s="82" t="s">
        <v>277</v>
      </c>
      <c r="C109" s="83"/>
      <c r="D109" s="84">
        <f>+D101+D94+D82+D74-D33</f>
        <v>-202446</v>
      </c>
      <c r="E109" s="84">
        <f>+E101+E94+E82+E74-E33</f>
        <v>0</v>
      </c>
      <c r="F109" s="84">
        <f>+E109+D109</f>
        <v>-202446</v>
      </c>
      <c r="G109" s="84">
        <f>+G101+G94+G82+G74-G33</f>
        <v>-205876</v>
      </c>
      <c r="H109" s="84">
        <f>+H101+H94+H82+H74-H33</f>
        <v>0</v>
      </c>
      <c r="I109" s="84">
        <f>+H109+G109</f>
        <v>-205876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22" ht="12.75">
      <c r="B110" s="82" t="s">
        <v>278</v>
      </c>
      <c r="C110" s="83"/>
      <c r="D110" s="84">
        <f>+D107+D100+D75-D57</f>
        <v>0</v>
      </c>
      <c r="E110" s="84">
        <f>+E107+E100+E75-E57</f>
        <v>0</v>
      </c>
      <c r="F110" s="84">
        <f>+E110+D110</f>
        <v>0</v>
      </c>
      <c r="G110" s="84">
        <f>+G107+G100+G75-G57</f>
        <v>0</v>
      </c>
      <c r="H110" s="84">
        <f>+H107+H100+H75-H57</f>
        <v>0</v>
      </c>
      <c r="I110" s="84">
        <f>+H110+G110</f>
        <v>0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2:9" ht="12.75">
      <c r="B111" s="51" t="s">
        <v>586</v>
      </c>
      <c r="C111" s="50" t="s">
        <v>286</v>
      </c>
      <c r="D111" s="24"/>
      <c r="E111" s="24"/>
      <c r="F111" s="25">
        <f>+E111+D111</f>
        <v>0</v>
      </c>
      <c r="G111" s="24"/>
      <c r="H111" s="24"/>
      <c r="I111" s="25">
        <f>+H111+G111</f>
        <v>0</v>
      </c>
    </row>
    <row r="112" spans="2:9" ht="12.75">
      <c r="B112" s="72" t="s">
        <v>587</v>
      </c>
      <c r="C112" s="50" t="s">
        <v>296</v>
      </c>
      <c r="D112" s="24"/>
      <c r="E112" s="24"/>
      <c r="F112" s="25">
        <f>+E112+D112</f>
        <v>0</v>
      </c>
      <c r="G112" s="24"/>
      <c r="H112" s="24"/>
      <c r="I112" s="25">
        <f>+H112+G112</f>
        <v>0</v>
      </c>
    </row>
    <row r="113" spans="2:9" ht="12.75">
      <c r="B113" s="47" t="s">
        <v>297</v>
      </c>
      <c r="C113" s="47" t="s">
        <v>298</v>
      </c>
      <c r="D113" s="24"/>
      <c r="E113" s="24"/>
      <c r="F113" s="25">
        <f>+E113+D113</f>
        <v>0</v>
      </c>
      <c r="G113" s="24">
        <v>1995</v>
      </c>
      <c r="H113" s="24"/>
      <c r="I113" s="25">
        <f>+H113+G113</f>
        <v>1995</v>
      </c>
    </row>
    <row r="114" spans="2:9" ht="12.75">
      <c r="B114" s="47" t="s">
        <v>299</v>
      </c>
      <c r="C114" s="47" t="s">
        <v>298</v>
      </c>
      <c r="D114" s="24"/>
      <c r="E114" s="24"/>
      <c r="F114" s="25">
        <f>+E114+D114</f>
        <v>0</v>
      </c>
      <c r="G114" s="24"/>
      <c r="H114" s="24"/>
      <c r="I114" s="25">
        <f>+H114+G114</f>
        <v>0</v>
      </c>
    </row>
    <row r="115" spans="2:9" ht="12.75">
      <c r="B115" s="47" t="s">
        <v>300</v>
      </c>
      <c r="C115" s="47" t="s">
        <v>301</v>
      </c>
      <c r="D115" s="24"/>
      <c r="E115" s="24"/>
      <c r="F115" s="25">
        <f>+E115+D115</f>
        <v>0</v>
      </c>
      <c r="G115" s="24"/>
      <c r="H115" s="24"/>
      <c r="I115" s="25">
        <f>+H115+G115</f>
        <v>0</v>
      </c>
    </row>
    <row r="116" spans="2:9" ht="12.75">
      <c r="B116" s="47" t="s">
        <v>302</v>
      </c>
      <c r="C116" s="47" t="s">
        <v>301</v>
      </c>
      <c r="D116" s="24"/>
      <c r="E116" s="24"/>
      <c r="F116" s="25">
        <f>+E116+D116</f>
        <v>0</v>
      </c>
      <c r="G116" s="24"/>
      <c r="H116" s="24"/>
      <c r="I116" s="25">
        <f>+H116+G116</f>
        <v>0</v>
      </c>
    </row>
    <row r="117" spans="1:9" ht="12.75">
      <c r="A117" s="88" t="s">
        <v>597</v>
      </c>
      <c r="B117" s="50" t="s">
        <v>303</v>
      </c>
      <c r="C117" s="50" t="s">
        <v>304</v>
      </c>
      <c r="D117" s="25">
        <f>SUM(D113:D116)</f>
        <v>0</v>
      </c>
      <c r="E117" s="25">
        <f>SUM(E113:E116)</f>
        <v>0</v>
      </c>
      <c r="F117" s="25">
        <f>SUM(F113:F116)</f>
        <v>0</v>
      </c>
      <c r="G117" s="25">
        <f>SUM(G113:G116)</f>
        <v>1995</v>
      </c>
      <c r="H117" s="25">
        <f>SUM(H113:H116)</f>
        <v>0</v>
      </c>
      <c r="I117" s="25">
        <f>SUM(I113:I116)</f>
        <v>1995</v>
      </c>
    </row>
    <row r="118" spans="1:9" ht="12.75">
      <c r="A118" s="88" t="s">
        <v>598</v>
      </c>
      <c r="B118" s="68" t="s">
        <v>305</v>
      </c>
      <c r="C118" s="47" t="s">
        <v>306</v>
      </c>
      <c r="D118" s="24"/>
      <c r="E118" s="24"/>
      <c r="F118" s="25">
        <f>+E118+D118</f>
        <v>0</v>
      </c>
      <c r="G118" s="24"/>
      <c r="H118" s="24"/>
      <c r="I118" s="25">
        <f>+H118+G118</f>
        <v>0</v>
      </c>
    </row>
    <row r="119" spans="2:9" ht="12.75">
      <c r="B119" s="68" t="s">
        <v>307</v>
      </c>
      <c r="C119" s="47" t="s">
        <v>308</v>
      </c>
      <c r="D119" s="24"/>
      <c r="E119" s="24"/>
      <c r="F119" s="25">
        <f>+E119+D119</f>
        <v>0</v>
      </c>
      <c r="G119" s="24"/>
      <c r="H119" s="24"/>
      <c r="I119" s="25">
        <f>+H119+G119</f>
        <v>0</v>
      </c>
    </row>
    <row r="120" spans="1:9" ht="12.75">
      <c r="A120" s="30" t="s">
        <v>599</v>
      </c>
      <c r="B120" s="68" t="s">
        <v>309</v>
      </c>
      <c r="C120" s="47" t="s">
        <v>310</v>
      </c>
      <c r="D120" s="24">
        <v>202446</v>
      </c>
      <c r="E120" s="24"/>
      <c r="F120" s="25">
        <f>+E120+D120</f>
        <v>202446</v>
      </c>
      <c r="G120" s="24">
        <v>203881</v>
      </c>
      <c r="H120" s="24"/>
      <c r="I120" s="25">
        <f>+H120+G120</f>
        <v>203881</v>
      </c>
    </row>
    <row r="121" spans="2:9" s="242" customFormat="1" ht="12.75">
      <c r="B121" s="243" t="s">
        <v>600</v>
      </c>
      <c r="C121" s="140"/>
      <c r="D121" s="100">
        <f>137308</f>
        <v>137308</v>
      </c>
      <c r="E121" s="100"/>
      <c r="F121" s="126">
        <f>+E121+D121</f>
        <v>137308</v>
      </c>
      <c r="G121" s="100">
        <f>+G120-G122</f>
        <v>138743</v>
      </c>
      <c r="H121" s="100"/>
      <c r="I121" s="126">
        <f>+H121+G121</f>
        <v>138743</v>
      </c>
    </row>
    <row r="122" spans="2:9" s="242" customFormat="1" ht="12.75">
      <c r="B122" s="244" t="s">
        <v>591</v>
      </c>
      <c r="C122" s="140"/>
      <c r="D122" s="100">
        <f>+D120-D121</f>
        <v>65138</v>
      </c>
      <c r="E122" s="100">
        <f>+E120-E121</f>
        <v>0</v>
      </c>
      <c r="F122" s="126">
        <f>+E122+D122</f>
        <v>65138</v>
      </c>
      <c r="G122" s="100">
        <v>65138</v>
      </c>
      <c r="H122" s="100">
        <f>+H120-H121</f>
        <v>0</v>
      </c>
      <c r="I122" s="126">
        <f>+H122+G122</f>
        <v>65138</v>
      </c>
    </row>
    <row r="123" spans="2:9" ht="12.75">
      <c r="B123" s="68" t="s">
        <v>311</v>
      </c>
      <c r="C123" s="47" t="s">
        <v>312</v>
      </c>
      <c r="D123" s="24"/>
      <c r="E123" s="24"/>
      <c r="F123" s="25">
        <f>+E123+D123</f>
        <v>0</v>
      </c>
      <c r="G123" s="24"/>
      <c r="H123" s="24"/>
      <c r="I123" s="25">
        <f>+H123+G123</f>
        <v>0</v>
      </c>
    </row>
    <row r="124" spans="2:9" ht="12.75">
      <c r="B124" s="60" t="s">
        <v>313</v>
      </c>
      <c r="C124" s="47" t="s">
        <v>314</v>
      </c>
      <c r="D124" s="24"/>
      <c r="E124" s="24"/>
      <c r="F124" s="25">
        <f>+E124+D124</f>
        <v>0</v>
      </c>
      <c r="G124" s="24"/>
      <c r="H124" s="24"/>
      <c r="I124" s="25">
        <f>+H124+G124</f>
        <v>0</v>
      </c>
    </row>
    <row r="125" spans="2:9" ht="12.75">
      <c r="B125" s="60" t="s">
        <v>315</v>
      </c>
      <c r="C125" s="47" t="s">
        <v>316</v>
      </c>
      <c r="D125" s="24"/>
      <c r="E125" s="24"/>
      <c r="F125" s="25">
        <f>+E125+D125</f>
        <v>0</v>
      </c>
      <c r="G125" s="24"/>
      <c r="H125" s="24"/>
      <c r="I125" s="25">
        <f>+H125+G125</f>
        <v>0</v>
      </c>
    </row>
    <row r="126" spans="2:9" ht="12.75">
      <c r="B126" s="51" t="s">
        <v>317</v>
      </c>
      <c r="C126" s="50" t="s">
        <v>318</v>
      </c>
      <c r="D126" s="25">
        <f>SUM(D118:D125)+D117+D112+D111-D121-D122</f>
        <v>202446</v>
      </c>
      <c r="E126" s="25">
        <f>SUM(E118:E125)+E117+E112+E111-E121-E122</f>
        <v>0</v>
      </c>
      <c r="F126" s="25">
        <f>SUM(F118:F124)+F117+F112+F111-F121-F122</f>
        <v>202446</v>
      </c>
      <c r="G126" s="25">
        <f>SUM(G118:G125)+G117+G112+G111-G121-G122</f>
        <v>205876</v>
      </c>
      <c r="H126" s="25">
        <f>SUM(H118:H125)+H117+H112+H111-H121-H122</f>
        <v>0</v>
      </c>
      <c r="I126" s="25">
        <f>SUM(I118:I124)+I117+I112+I111-I121-I122</f>
        <v>205876</v>
      </c>
    </row>
    <row r="127" spans="2:9" ht="12.75" hidden="1">
      <c r="B127" s="68" t="s">
        <v>319</v>
      </c>
      <c r="C127" s="47" t="s">
        <v>320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2:9" ht="12.75" hidden="1">
      <c r="B128" s="60" t="s">
        <v>321</v>
      </c>
      <c r="C128" s="47" t="s">
        <v>322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t="12.75" hidden="1">
      <c r="B129" s="60" t="s">
        <v>323</v>
      </c>
      <c r="C129" s="47" t="s">
        <v>324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ht="12.75">
      <c r="B130" s="73" t="s">
        <v>325</v>
      </c>
      <c r="C130" s="74" t="s">
        <v>326</v>
      </c>
      <c r="D130" s="63">
        <f>+D128+D127+D126+D129</f>
        <v>202446</v>
      </c>
      <c r="E130" s="63">
        <f>+E128+E127+E126+E129</f>
        <v>0</v>
      </c>
      <c r="F130" s="63">
        <f>+F128+F127+F126</f>
        <v>202446</v>
      </c>
      <c r="G130" s="63">
        <f>+G128+G127+G126+G129</f>
        <v>205876</v>
      </c>
      <c r="H130" s="63">
        <f>+H128+H127+H126+H129</f>
        <v>0</v>
      </c>
      <c r="I130" s="63">
        <f>+I128+I127+I126</f>
        <v>205876</v>
      </c>
    </row>
    <row r="131" spans="2:9" ht="12.75">
      <c r="B131" s="28" t="s">
        <v>327</v>
      </c>
      <c r="C131" s="28" t="s">
        <v>328</v>
      </c>
      <c r="D131" s="29">
        <f>+D108+D130</f>
        <v>218961</v>
      </c>
      <c r="E131" s="29">
        <f>+E108+E130</f>
        <v>0</v>
      </c>
      <c r="F131" s="29">
        <f>+F108+F130</f>
        <v>218961</v>
      </c>
      <c r="G131" s="29">
        <f>+G108+G130</f>
        <v>222391</v>
      </c>
      <c r="H131" s="29">
        <f>+H108+H130</f>
        <v>0</v>
      </c>
      <c r="I131" s="29">
        <f>+I108+I130</f>
        <v>222391</v>
      </c>
    </row>
    <row r="132" spans="2:9" ht="12.75">
      <c r="B132" s="13"/>
      <c r="C132" s="13"/>
      <c r="D132" s="14"/>
      <c r="E132" s="14"/>
      <c r="F132" s="85"/>
      <c r="G132" s="14"/>
      <c r="H132" s="14"/>
      <c r="I132" s="85"/>
    </row>
    <row r="133" spans="2:9" ht="12.75">
      <c r="B133" s="26" t="s">
        <v>329</v>
      </c>
      <c r="C133" s="26"/>
      <c r="D133" s="25">
        <f>+D108-D58</f>
        <v>-202446</v>
      </c>
      <c r="E133" s="25">
        <f>+E108-E58</f>
        <v>0</v>
      </c>
      <c r="F133" s="25">
        <f>+F108-F58</f>
        <v>-202446</v>
      </c>
      <c r="G133" s="25">
        <f>+G108-G58</f>
        <v>-205876</v>
      </c>
      <c r="H133" s="25">
        <f>+H108-H58</f>
        <v>0</v>
      </c>
      <c r="I133" s="25">
        <f>+I108-I58</f>
        <v>-205876</v>
      </c>
    </row>
    <row r="134" spans="2:9" ht="12.75">
      <c r="B134" s="26" t="s">
        <v>330</v>
      </c>
      <c r="C134" s="26"/>
      <c r="D134" s="25">
        <f>+D130-D63</f>
        <v>202446</v>
      </c>
      <c r="E134" s="25">
        <f>+E130-E63</f>
        <v>0</v>
      </c>
      <c r="F134" s="25">
        <f>+F130-F63</f>
        <v>202446</v>
      </c>
      <c r="G134" s="25">
        <f>+G130-G63</f>
        <v>205876</v>
      </c>
      <c r="H134" s="25">
        <f>+H130-H63</f>
        <v>0</v>
      </c>
      <c r="I134" s="25">
        <f>+I130-I63</f>
        <v>205876</v>
      </c>
    </row>
    <row r="135" spans="2:9" ht="12.75">
      <c r="B135" s="13"/>
      <c r="C135" s="13"/>
      <c r="D135" s="14"/>
      <c r="E135" s="14"/>
      <c r="F135" s="85"/>
      <c r="G135" s="14"/>
      <c r="H135" s="14"/>
      <c r="I135" s="85"/>
    </row>
    <row r="136" spans="2:9" ht="12.75">
      <c r="B136" s="87" t="s">
        <v>333</v>
      </c>
      <c r="C136" s="13"/>
      <c r="D136" s="14">
        <f>+D131-D64</f>
        <v>0</v>
      </c>
      <c r="E136" s="14">
        <f>+E131-E64</f>
        <v>0</v>
      </c>
      <c r="F136" s="14">
        <f>+F131-F64</f>
        <v>0</v>
      </c>
      <c r="G136" s="14">
        <f>+G131-G64</f>
        <v>0</v>
      </c>
      <c r="H136" s="14">
        <f>+H131-H64</f>
        <v>0</v>
      </c>
      <c r="I136" s="14">
        <f>+I131-I64</f>
        <v>0</v>
      </c>
    </row>
    <row r="137" spans="2:9" ht="12.75">
      <c r="B137" s="13"/>
      <c r="C137" s="13"/>
      <c r="D137" s="14"/>
      <c r="E137" s="14"/>
      <c r="F137" s="85"/>
      <c r="G137" s="14"/>
      <c r="H137" s="14"/>
      <c r="I137" s="85"/>
    </row>
    <row r="138" spans="2:9" ht="12.75">
      <c r="B138" s="13"/>
      <c r="C138" s="13"/>
      <c r="D138" s="14"/>
      <c r="E138" s="14"/>
      <c r="F138" s="85"/>
      <c r="G138" s="14"/>
      <c r="H138" s="14"/>
      <c r="I138" s="85"/>
    </row>
    <row r="139" spans="2:9" ht="12.75">
      <c r="B139" s="13"/>
      <c r="C139" s="13"/>
      <c r="D139" s="14"/>
      <c r="E139" s="14"/>
      <c r="F139" s="85"/>
      <c r="G139" s="14"/>
      <c r="H139" s="14"/>
      <c r="I139" s="85"/>
    </row>
    <row r="140" spans="2:9" ht="12.75">
      <c r="B140" s="13"/>
      <c r="C140" s="13"/>
      <c r="D140" s="14"/>
      <c r="E140" s="14"/>
      <c r="F140" s="85"/>
      <c r="G140" s="14"/>
      <c r="H140" s="14"/>
      <c r="I140" s="85"/>
    </row>
    <row r="141" spans="2:9" ht="12.75">
      <c r="B141" s="13"/>
      <c r="C141" s="13"/>
      <c r="D141" s="14"/>
      <c r="E141" s="14"/>
      <c r="F141" s="85"/>
      <c r="G141" s="14"/>
      <c r="H141" s="14"/>
      <c r="I141" s="85"/>
    </row>
    <row r="142" spans="2:9" ht="12.75">
      <c r="B142" s="13"/>
      <c r="C142" s="13"/>
      <c r="D142" s="14"/>
      <c r="E142" s="14"/>
      <c r="F142" s="85"/>
      <c r="G142" s="14"/>
      <c r="H142" s="14"/>
      <c r="I142" s="85"/>
    </row>
    <row r="143" spans="2:9" ht="12.75">
      <c r="B143" s="13"/>
      <c r="C143" s="13"/>
      <c r="D143" s="14"/>
      <c r="E143" s="14"/>
      <c r="F143" s="85"/>
      <c r="G143" s="14"/>
      <c r="H143" s="14"/>
      <c r="I143" s="85"/>
    </row>
    <row r="144" spans="2:9" ht="12.75">
      <c r="B144" s="13"/>
      <c r="C144" s="13"/>
      <c r="D144" s="14"/>
      <c r="E144" s="14"/>
      <c r="F144" s="85"/>
      <c r="G144" s="14"/>
      <c r="H144" s="14"/>
      <c r="I144" s="85"/>
    </row>
    <row r="145" spans="2:9" ht="12.75">
      <c r="B145" s="13"/>
      <c r="C145" s="13"/>
      <c r="D145" s="14"/>
      <c r="E145" s="14"/>
      <c r="F145" s="85"/>
      <c r="G145" s="14"/>
      <c r="H145" s="14"/>
      <c r="I145" s="85"/>
    </row>
    <row r="146" spans="2:9" ht="12.75">
      <c r="B146" s="13"/>
      <c r="C146" s="13"/>
      <c r="D146" s="14"/>
      <c r="E146" s="14"/>
      <c r="F146" s="85"/>
      <c r="G146" s="14"/>
      <c r="H146" s="14"/>
      <c r="I146" s="85"/>
    </row>
    <row r="147" spans="2:9" ht="12.75">
      <c r="B147" s="13"/>
      <c r="C147" s="13"/>
      <c r="D147" s="14"/>
      <c r="E147" s="14"/>
      <c r="F147" s="85"/>
      <c r="G147" s="14"/>
      <c r="H147" s="14"/>
      <c r="I147" s="85"/>
    </row>
    <row r="148" spans="2:9" ht="12.75">
      <c r="B148" s="13"/>
      <c r="C148" s="13"/>
      <c r="D148" s="14"/>
      <c r="E148" s="14"/>
      <c r="F148" s="85"/>
      <c r="G148" s="14"/>
      <c r="H148" s="14"/>
      <c r="I148" s="85"/>
    </row>
    <row r="149" spans="2:9" ht="12.75">
      <c r="B149" s="13"/>
      <c r="C149" s="13"/>
      <c r="D149" s="14"/>
      <c r="E149" s="14"/>
      <c r="F149" s="85"/>
      <c r="G149" s="14"/>
      <c r="H149" s="14"/>
      <c r="I149" s="85"/>
    </row>
    <row r="150" spans="2:9" ht="12.75">
      <c r="B150" s="13"/>
      <c r="C150" s="13"/>
      <c r="D150" s="14"/>
      <c r="E150" s="14"/>
      <c r="F150" s="85"/>
      <c r="G150" s="14"/>
      <c r="H150" s="14"/>
      <c r="I150" s="85"/>
    </row>
    <row r="151" spans="2:9" ht="12.75">
      <c r="B151" s="13"/>
      <c r="C151" s="13"/>
      <c r="D151" s="14"/>
      <c r="E151" s="14"/>
      <c r="F151" s="85"/>
      <c r="G151" s="14"/>
      <c r="H151" s="14"/>
      <c r="I151" s="85"/>
    </row>
    <row r="152" spans="2:9" ht="12.75">
      <c r="B152" s="13"/>
      <c r="C152" s="13"/>
      <c r="D152" s="14"/>
      <c r="E152" s="14"/>
      <c r="F152" s="85"/>
      <c r="G152" s="14"/>
      <c r="H152" s="14"/>
      <c r="I152" s="85"/>
    </row>
    <row r="153" spans="2:9" ht="12.75">
      <c r="B153" s="13"/>
      <c r="C153" s="13"/>
      <c r="D153" s="14"/>
      <c r="E153" s="14"/>
      <c r="F153" s="85"/>
      <c r="G153" s="14"/>
      <c r="H153" s="14"/>
      <c r="I153" s="85"/>
    </row>
    <row r="154" spans="2:9" ht="12.75">
      <c r="B154" s="13"/>
      <c r="C154" s="13"/>
      <c r="D154" s="14"/>
      <c r="E154" s="14"/>
      <c r="F154" s="85"/>
      <c r="G154" s="14"/>
      <c r="H154" s="14"/>
      <c r="I154" s="85"/>
    </row>
    <row r="155" spans="2:9" ht="12.75">
      <c r="B155" s="13"/>
      <c r="C155" s="13"/>
      <c r="D155" s="14"/>
      <c r="E155" s="14"/>
      <c r="F155" s="85"/>
      <c r="G155" s="14"/>
      <c r="H155" s="14"/>
      <c r="I155" s="85"/>
    </row>
    <row r="156" spans="2:9" ht="12.75">
      <c r="B156" s="13"/>
      <c r="C156" s="13"/>
      <c r="D156" s="14"/>
      <c r="E156" s="14"/>
      <c r="F156" s="85"/>
      <c r="G156" s="14"/>
      <c r="H156" s="14"/>
      <c r="I156" s="85"/>
    </row>
    <row r="157" spans="2:9" ht="12.75">
      <c r="B157" s="13"/>
      <c r="C157" s="13"/>
      <c r="D157" s="14"/>
      <c r="E157" s="14"/>
      <c r="F157" s="85"/>
      <c r="G157" s="14"/>
      <c r="H157" s="14"/>
      <c r="I157" s="85"/>
    </row>
    <row r="158" spans="2:9" ht="12.75">
      <c r="B158" s="13"/>
      <c r="C158" s="13"/>
      <c r="D158" s="14"/>
      <c r="E158" s="14"/>
      <c r="F158" s="85"/>
      <c r="G158" s="14"/>
      <c r="H158" s="14"/>
      <c r="I158" s="85"/>
    </row>
    <row r="159" spans="2:9" ht="12.75">
      <c r="B159" s="13"/>
      <c r="C159" s="13"/>
      <c r="D159" s="14"/>
      <c r="E159" s="14"/>
      <c r="F159" s="85"/>
      <c r="G159" s="14"/>
      <c r="H159" s="14"/>
      <c r="I159" s="85"/>
    </row>
    <row r="160" spans="2:9" ht="12.75">
      <c r="B160" s="13"/>
      <c r="C160" s="13"/>
      <c r="D160" s="14"/>
      <c r="E160" s="14"/>
      <c r="F160" s="85"/>
      <c r="G160" s="14"/>
      <c r="H160" s="14"/>
      <c r="I160" s="85"/>
    </row>
    <row r="161" spans="2:9" ht="12.75">
      <c r="B161" s="13"/>
      <c r="C161" s="13"/>
      <c r="D161" s="14"/>
      <c r="E161" s="14"/>
      <c r="F161" s="85"/>
      <c r="G161" s="14"/>
      <c r="H161" s="14"/>
      <c r="I161" s="85"/>
    </row>
    <row r="162" spans="2:9" ht="12.75">
      <c r="B162" s="13"/>
      <c r="C162" s="13"/>
      <c r="D162" s="14"/>
      <c r="E162" s="14"/>
      <c r="F162" s="85"/>
      <c r="G162" s="14"/>
      <c r="H162" s="14"/>
      <c r="I162" s="85"/>
    </row>
    <row r="163" spans="2:9" ht="12.75">
      <c r="B163" s="13"/>
      <c r="C163" s="13"/>
      <c r="D163" s="14"/>
      <c r="E163" s="14"/>
      <c r="F163" s="85"/>
      <c r="G163" s="14"/>
      <c r="H163" s="14"/>
      <c r="I163" s="85"/>
    </row>
    <row r="164" spans="2:9" ht="12.75">
      <c r="B164" s="13"/>
      <c r="C164" s="13"/>
      <c r="D164" s="14"/>
      <c r="E164" s="14"/>
      <c r="F164" s="85"/>
      <c r="G164" s="14"/>
      <c r="H164" s="14"/>
      <c r="I164" s="85"/>
    </row>
    <row r="165" spans="2:9" ht="12.75">
      <c r="B165" s="13"/>
      <c r="C165" s="13"/>
      <c r="D165" s="14"/>
      <c r="E165" s="14"/>
      <c r="F165" s="85"/>
      <c r="G165" s="14"/>
      <c r="H165" s="14"/>
      <c r="I165" s="85"/>
    </row>
    <row r="166" spans="2:9" ht="12.75">
      <c r="B166" s="13"/>
      <c r="C166" s="13"/>
      <c r="D166" s="14"/>
      <c r="E166" s="14"/>
      <c r="F166" s="85"/>
      <c r="G166" s="14"/>
      <c r="H166" s="14"/>
      <c r="I166" s="85"/>
    </row>
    <row r="167" spans="2:9" ht="12.75">
      <c r="B167" s="13"/>
      <c r="C167" s="13"/>
      <c r="D167" s="14"/>
      <c r="E167" s="14"/>
      <c r="F167" s="85"/>
      <c r="G167" s="14"/>
      <c r="H167" s="14"/>
      <c r="I167" s="85"/>
    </row>
    <row r="168" spans="2:9" ht="12.75">
      <c r="B168" s="13"/>
      <c r="C168" s="13"/>
      <c r="D168" s="14"/>
      <c r="E168" s="14"/>
      <c r="F168" s="85"/>
      <c r="G168" s="14"/>
      <c r="H168" s="14"/>
      <c r="I168" s="85"/>
    </row>
    <row r="169" spans="2:9" ht="12.75">
      <c r="B169" s="13"/>
      <c r="C169" s="13"/>
      <c r="D169" s="14"/>
      <c r="E169" s="14"/>
      <c r="F169" s="85"/>
      <c r="G169" s="14"/>
      <c r="H169" s="14"/>
      <c r="I169" s="85"/>
    </row>
    <row r="170" spans="2:9" ht="12.75">
      <c r="B170" s="13"/>
      <c r="C170" s="13"/>
      <c r="D170" s="14"/>
      <c r="E170" s="14"/>
      <c r="F170" s="85"/>
      <c r="G170" s="14"/>
      <c r="H170" s="14"/>
      <c r="I170" s="85"/>
    </row>
    <row r="171" spans="2:9" ht="12.75">
      <c r="B171" s="13"/>
      <c r="C171" s="13"/>
      <c r="D171" s="14"/>
      <c r="E171" s="14"/>
      <c r="F171" s="85"/>
      <c r="G171" s="14"/>
      <c r="H171" s="14"/>
      <c r="I171" s="85"/>
    </row>
    <row r="172" spans="2:9" ht="12.75">
      <c r="B172" s="13"/>
      <c r="C172" s="13"/>
      <c r="D172" s="14"/>
      <c r="E172" s="14"/>
      <c r="F172" s="85"/>
      <c r="G172" s="14"/>
      <c r="H172" s="14"/>
      <c r="I172" s="85"/>
    </row>
    <row r="173" spans="2:9" ht="12.75">
      <c r="B173" s="13"/>
      <c r="C173" s="13"/>
      <c r="D173" s="14"/>
      <c r="E173" s="14"/>
      <c r="F173" s="85"/>
      <c r="G173" s="14"/>
      <c r="H173" s="14"/>
      <c r="I173" s="85"/>
    </row>
    <row r="174" spans="2:9" ht="12.75">
      <c r="B174" s="13"/>
      <c r="C174" s="13"/>
      <c r="D174" s="14"/>
      <c r="E174" s="14"/>
      <c r="F174" s="85"/>
      <c r="G174" s="14"/>
      <c r="H174" s="14"/>
      <c r="I174" s="85"/>
    </row>
    <row r="175" spans="2:9" ht="12.75">
      <c r="B175" s="13"/>
      <c r="C175" s="13"/>
      <c r="D175" s="14"/>
      <c r="E175" s="14"/>
      <c r="F175" s="85"/>
      <c r="G175" s="14"/>
      <c r="H175" s="14"/>
      <c r="I175" s="85"/>
    </row>
    <row r="176" spans="2:9" ht="12.75">
      <c r="B176" s="13"/>
      <c r="C176" s="13"/>
      <c r="D176" s="14"/>
      <c r="E176" s="14"/>
      <c r="F176" s="85"/>
      <c r="G176" s="14"/>
      <c r="H176" s="14"/>
      <c r="I176" s="85"/>
    </row>
    <row r="177" spans="2:9" ht="12.75">
      <c r="B177" s="13"/>
      <c r="C177" s="13"/>
      <c r="D177" s="14"/>
      <c r="E177" s="14"/>
      <c r="F177" s="85"/>
      <c r="G177" s="14"/>
      <c r="H177" s="14"/>
      <c r="I177" s="85"/>
    </row>
    <row r="178" spans="2:9" ht="12.75">
      <c r="B178" s="13"/>
      <c r="C178" s="13"/>
      <c r="D178" s="14"/>
      <c r="E178" s="14"/>
      <c r="F178" s="85"/>
      <c r="G178" s="14"/>
      <c r="H178" s="14"/>
      <c r="I178" s="85"/>
    </row>
    <row r="179" spans="2:9" ht="12.75">
      <c r="B179" s="13"/>
      <c r="C179" s="13"/>
      <c r="D179" s="14"/>
      <c r="E179" s="14"/>
      <c r="F179" s="85"/>
      <c r="G179" s="14"/>
      <c r="H179" s="14"/>
      <c r="I179" s="85"/>
    </row>
    <row r="180" spans="2:9" ht="12.75">
      <c r="B180" s="13"/>
      <c r="C180" s="13"/>
      <c r="D180" s="14"/>
      <c r="E180" s="14"/>
      <c r="F180" s="85"/>
      <c r="G180" s="14"/>
      <c r="H180" s="14"/>
      <c r="I180" s="85"/>
    </row>
    <row r="181" spans="2:9" ht="12.75">
      <c r="B181" s="13"/>
      <c r="C181" s="13"/>
      <c r="D181" s="14"/>
      <c r="E181" s="14"/>
      <c r="F181" s="85"/>
      <c r="G181" s="14"/>
      <c r="H181" s="14"/>
      <c r="I181" s="85"/>
    </row>
    <row r="182" spans="2:9" ht="12.75">
      <c r="B182" s="13"/>
      <c r="C182" s="13"/>
      <c r="D182" s="14"/>
      <c r="E182" s="14"/>
      <c r="F182" s="85"/>
      <c r="G182" s="14"/>
      <c r="H182" s="14"/>
      <c r="I182" s="85"/>
    </row>
    <row r="183" spans="2:9" ht="12.75">
      <c r="B183" s="13"/>
      <c r="C183" s="13"/>
      <c r="D183" s="14"/>
      <c r="E183" s="14"/>
      <c r="F183" s="85"/>
      <c r="G183" s="14"/>
      <c r="H183" s="14"/>
      <c r="I183" s="85"/>
    </row>
    <row r="184" spans="2:9" ht="12.75">
      <c r="B184" s="13"/>
      <c r="C184" s="13"/>
      <c r="D184" s="14"/>
      <c r="E184" s="14"/>
      <c r="F184" s="85"/>
      <c r="G184" s="14"/>
      <c r="H184" s="14"/>
      <c r="I184" s="85"/>
    </row>
    <row r="185" spans="2:9" ht="12.75">
      <c r="B185" s="13"/>
      <c r="C185" s="13"/>
      <c r="D185" s="14"/>
      <c r="E185" s="14"/>
      <c r="F185" s="85"/>
      <c r="G185" s="14"/>
      <c r="H185" s="14"/>
      <c r="I185" s="85"/>
    </row>
    <row r="186" spans="2:9" ht="12.75">
      <c r="B186" s="13"/>
      <c r="C186" s="13"/>
      <c r="D186" s="14"/>
      <c r="E186" s="14"/>
      <c r="F186" s="85"/>
      <c r="G186" s="14"/>
      <c r="H186" s="14"/>
      <c r="I186" s="85"/>
    </row>
    <row r="187" spans="2:9" ht="12.75">
      <c r="B187" s="13"/>
      <c r="C187" s="13"/>
      <c r="D187" s="14"/>
      <c r="E187" s="14"/>
      <c r="F187" s="85"/>
      <c r="G187" s="14"/>
      <c r="H187" s="14"/>
      <c r="I187" s="85"/>
    </row>
    <row r="188" spans="2:9" ht="12.75">
      <c r="B188" s="13"/>
      <c r="C188" s="13"/>
      <c r="D188" s="14"/>
      <c r="E188" s="14"/>
      <c r="F188" s="85"/>
      <c r="G188" s="14"/>
      <c r="H188" s="14"/>
      <c r="I188" s="85"/>
    </row>
    <row r="189" spans="2:9" ht="12.75">
      <c r="B189" s="13"/>
      <c r="C189" s="13"/>
      <c r="D189" s="14"/>
      <c r="E189" s="14"/>
      <c r="F189" s="85"/>
      <c r="G189" s="14"/>
      <c r="H189" s="14"/>
      <c r="I189" s="85"/>
    </row>
    <row r="190" spans="2:9" ht="12.75">
      <c r="B190" s="13"/>
      <c r="C190" s="13"/>
      <c r="D190" s="14"/>
      <c r="E190" s="14"/>
      <c r="F190" s="85"/>
      <c r="G190" s="14"/>
      <c r="H190" s="14"/>
      <c r="I190" s="85"/>
    </row>
    <row r="191" spans="2:9" ht="12.75">
      <c r="B191" s="13"/>
      <c r="C191" s="13"/>
      <c r="D191" s="14"/>
      <c r="E191" s="14"/>
      <c r="F191" s="85"/>
      <c r="G191" s="14"/>
      <c r="H191" s="14"/>
      <c r="I191" s="85"/>
    </row>
    <row r="192" spans="2:9" ht="12.75">
      <c r="B192" s="13"/>
      <c r="C192" s="13"/>
      <c r="D192" s="14"/>
      <c r="E192" s="14"/>
      <c r="F192" s="85"/>
      <c r="G192" s="14"/>
      <c r="H192" s="14"/>
      <c r="I192" s="85"/>
    </row>
    <row r="193" spans="2:9" ht="12.75">
      <c r="B193" s="13"/>
      <c r="C193" s="13"/>
      <c r="D193" s="14"/>
      <c r="E193" s="14"/>
      <c r="F193" s="85"/>
      <c r="G193" s="14"/>
      <c r="H193" s="14"/>
      <c r="I193" s="85"/>
    </row>
    <row r="194" spans="2:9" ht="12.75">
      <c r="B194" s="13"/>
      <c r="C194" s="13"/>
      <c r="D194" s="14"/>
      <c r="E194" s="14"/>
      <c r="F194" s="85"/>
      <c r="G194" s="14"/>
      <c r="H194" s="14"/>
      <c r="I194" s="85"/>
    </row>
    <row r="195" spans="2:9" ht="12.75">
      <c r="B195" s="13"/>
      <c r="C195" s="13"/>
      <c r="D195" s="13"/>
      <c r="E195" s="13"/>
      <c r="F195" s="27"/>
      <c r="G195" s="13"/>
      <c r="H195" s="13"/>
      <c r="I195" s="27"/>
    </row>
    <row r="196" spans="2:9" ht="12.75">
      <c r="B196" s="13"/>
      <c r="C196" s="13"/>
      <c r="D196" s="13"/>
      <c r="E196" s="13"/>
      <c r="F196" s="27"/>
      <c r="G196" s="13"/>
      <c r="H196" s="13"/>
      <c r="I196" s="27"/>
    </row>
    <row r="197" spans="2:9" ht="12.75">
      <c r="B197" s="13"/>
      <c r="C197" s="13"/>
      <c r="D197" s="13"/>
      <c r="E197" s="13"/>
      <c r="F197" s="27"/>
      <c r="G197" s="13"/>
      <c r="H197" s="13"/>
      <c r="I197" s="27"/>
    </row>
    <row r="198" spans="2:9" ht="12.75">
      <c r="B198" s="13"/>
      <c r="C198" s="13"/>
      <c r="D198" s="13"/>
      <c r="E198" s="13"/>
      <c r="F198" s="27"/>
      <c r="G198" s="13"/>
      <c r="H198" s="13"/>
      <c r="I198" s="27"/>
    </row>
    <row r="199" spans="2:9" ht="12.75">
      <c r="B199" s="13"/>
      <c r="C199" s="13"/>
      <c r="D199" s="13"/>
      <c r="E199" s="13"/>
      <c r="F199" s="27"/>
      <c r="G199" s="13"/>
      <c r="H199" s="13"/>
      <c r="I199" s="27"/>
    </row>
    <row r="200" spans="2:9" ht="12.75">
      <c r="B200" s="13"/>
      <c r="C200" s="13"/>
      <c r="D200" s="13"/>
      <c r="E200" s="13"/>
      <c r="F200" s="27"/>
      <c r="G200" s="13"/>
      <c r="H200" s="13"/>
      <c r="I200" s="27"/>
    </row>
    <row r="201" spans="2:9" ht="12.75">
      <c r="B201" s="13"/>
      <c r="C201" s="13"/>
      <c r="D201" s="13"/>
      <c r="E201" s="13"/>
      <c r="F201" s="27"/>
      <c r="G201" s="13"/>
      <c r="H201" s="13"/>
      <c r="I201" s="27"/>
    </row>
    <row r="202" spans="2:9" ht="12.75">
      <c r="B202" s="13"/>
      <c r="C202" s="13"/>
      <c r="D202" s="13"/>
      <c r="E202" s="13"/>
      <c r="F202" s="27"/>
      <c r="G202" s="13"/>
      <c r="H202" s="13"/>
      <c r="I202" s="27"/>
    </row>
    <row r="203" spans="2:9" ht="12.75">
      <c r="B203" s="13"/>
      <c r="C203" s="13"/>
      <c r="D203" s="13"/>
      <c r="E203" s="13"/>
      <c r="F203" s="27"/>
      <c r="G203" s="13"/>
      <c r="H203" s="13"/>
      <c r="I203" s="27"/>
    </row>
    <row r="204" spans="2:9" ht="12.75">
      <c r="B204" s="13"/>
      <c r="C204" s="13"/>
      <c r="D204" s="13"/>
      <c r="E204" s="13"/>
      <c r="F204" s="27"/>
      <c r="G204" s="13"/>
      <c r="H204" s="13"/>
      <c r="I204" s="27"/>
    </row>
    <row r="205" spans="2:9" ht="12.75">
      <c r="B205" s="13"/>
      <c r="C205" s="13"/>
      <c r="D205" s="13"/>
      <c r="E205" s="13"/>
      <c r="F205" s="27"/>
      <c r="G205" s="13"/>
      <c r="H205" s="13"/>
      <c r="I205" s="27"/>
    </row>
    <row r="206" spans="2:9" ht="12.75">
      <c r="B206" s="13"/>
      <c r="C206" s="13"/>
      <c r="D206" s="13"/>
      <c r="E206" s="13"/>
      <c r="F206" s="27"/>
      <c r="G206" s="13"/>
      <c r="H206" s="13"/>
      <c r="I206" s="27"/>
    </row>
    <row r="207" spans="2:9" ht="12.75">
      <c r="B207" s="13"/>
      <c r="C207" s="13"/>
      <c r="D207" s="13"/>
      <c r="E207" s="13"/>
      <c r="F207" s="27"/>
      <c r="G207" s="13"/>
      <c r="H207" s="13"/>
      <c r="I207" s="27"/>
    </row>
    <row r="208" spans="2:9" ht="12.75">
      <c r="B208" s="13"/>
      <c r="C208" s="13"/>
      <c r="D208" s="13"/>
      <c r="E208" s="13"/>
      <c r="F208" s="27"/>
      <c r="G208" s="13"/>
      <c r="H208" s="13"/>
      <c r="I208" s="27"/>
    </row>
    <row r="209" spans="2:9" ht="12.75">
      <c r="B209" s="13"/>
      <c r="C209" s="13"/>
      <c r="D209" s="13"/>
      <c r="E209" s="13"/>
      <c r="F209" s="27"/>
      <c r="G209" s="13"/>
      <c r="H209" s="13"/>
      <c r="I209" s="27"/>
    </row>
    <row r="210" spans="2:9" ht="12.75">
      <c r="B210" s="13"/>
      <c r="C210" s="13"/>
      <c r="D210" s="13"/>
      <c r="E210" s="13"/>
      <c r="F210" s="27"/>
      <c r="G210" s="13"/>
      <c r="H210" s="13"/>
      <c r="I210" s="27"/>
    </row>
    <row r="211" spans="2:9" ht="12.75">
      <c r="B211" s="13"/>
      <c r="C211" s="13"/>
      <c r="D211" s="13"/>
      <c r="E211" s="13"/>
      <c r="F211" s="27"/>
      <c r="G211" s="13"/>
      <c r="H211" s="13"/>
      <c r="I211" s="27"/>
    </row>
    <row r="212" spans="2:9" ht="12.75">
      <c r="B212" s="13"/>
      <c r="C212" s="13"/>
      <c r="D212" s="13"/>
      <c r="E212" s="13"/>
      <c r="F212" s="27"/>
      <c r="G212" s="13"/>
      <c r="H212" s="13"/>
      <c r="I212" s="27"/>
    </row>
    <row r="213" spans="2:9" ht="12.75">
      <c r="B213" s="13"/>
      <c r="C213" s="13"/>
      <c r="D213" s="13"/>
      <c r="E213" s="13"/>
      <c r="F213" s="27"/>
      <c r="G213" s="13"/>
      <c r="H213" s="13"/>
      <c r="I213" s="27"/>
    </row>
    <row r="214" spans="2:9" ht="12.75">
      <c r="B214" s="13"/>
      <c r="C214" s="13"/>
      <c r="D214" s="13"/>
      <c r="E214" s="13"/>
      <c r="F214" s="27"/>
      <c r="G214" s="13"/>
      <c r="H214" s="13"/>
      <c r="I214" s="27"/>
    </row>
    <row r="215" spans="2:9" ht="12.75">
      <c r="B215" s="13"/>
      <c r="C215" s="13"/>
      <c r="D215" s="13"/>
      <c r="E215" s="13"/>
      <c r="F215" s="27"/>
      <c r="G215" s="13"/>
      <c r="H215" s="13"/>
      <c r="I215" s="27"/>
    </row>
    <row r="216" spans="2:9" ht="12.75">
      <c r="B216" s="13"/>
      <c r="C216" s="13"/>
      <c r="D216" s="13"/>
      <c r="E216" s="13"/>
      <c r="F216" s="27"/>
      <c r="G216" s="13"/>
      <c r="H216" s="13"/>
      <c r="I216" s="27"/>
    </row>
    <row r="217" spans="2:9" ht="12.75">
      <c r="B217" s="13"/>
      <c r="C217" s="13"/>
      <c r="D217" s="13"/>
      <c r="E217" s="13"/>
      <c r="F217" s="27"/>
      <c r="G217" s="13"/>
      <c r="H217" s="13"/>
      <c r="I217" s="27"/>
    </row>
    <row r="218" spans="2:9" ht="12.75">
      <c r="B218" s="13"/>
      <c r="C218" s="13"/>
      <c r="D218" s="13"/>
      <c r="E218" s="13"/>
      <c r="F218" s="27"/>
      <c r="G218" s="13"/>
      <c r="H218" s="13"/>
      <c r="I218" s="27"/>
    </row>
    <row r="219" spans="2:9" ht="12.75">
      <c r="B219" s="13"/>
      <c r="C219" s="13"/>
      <c r="D219" s="13"/>
      <c r="E219" s="13"/>
      <c r="F219" s="27"/>
      <c r="G219" s="13"/>
      <c r="H219" s="13"/>
      <c r="I219" s="27"/>
    </row>
    <row r="220" spans="2:9" ht="12.75">
      <c r="B220" s="13"/>
      <c r="C220" s="13"/>
      <c r="D220" s="13"/>
      <c r="E220" s="13"/>
      <c r="F220" s="27"/>
      <c r="G220" s="13"/>
      <c r="H220" s="13"/>
      <c r="I220" s="27"/>
    </row>
    <row r="221" spans="2:9" ht="12.75">
      <c r="B221" s="13"/>
      <c r="C221" s="13"/>
      <c r="D221" s="13"/>
      <c r="E221" s="13"/>
      <c r="F221" s="27"/>
      <c r="G221" s="13"/>
      <c r="H221" s="13"/>
      <c r="I221" s="27"/>
    </row>
    <row r="222" spans="2:9" ht="12.75">
      <c r="B222" s="13"/>
      <c r="C222" s="13"/>
      <c r="D222" s="13"/>
      <c r="E222" s="13"/>
      <c r="F222" s="27"/>
      <c r="G222" s="13"/>
      <c r="H222" s="13"/>
      <c r="I222" s="27"/>
    </row>
    <row r="223" spans="2:9" ht="12.75">
      <c r="B223" s="13"/>
      <c r="C223" s="13"/>
      <c r="D223" s="13"/>
      <c r="E223" s="13"/>
      <c r="F223" s="27"/>
      <c r="G223" s="13"/>
      <c r="H223" s="13"/>
      <c r="I223" s="27"/>
    </row>
    <row r="224" spans="2:9" ht="12.75">
      <c r="B224" s="13"/>
      <c r="C224" s="13"/>
      <c r="D224" s="13"/>
      <c r="E224" s="13"/>
      <c r="F224" s="27"/>
      <c r="G224" s="13"/>
      <c r="H224" s="13"/>
      <c r="I224" s="27"/>
    </row>
    <row r="225" spans="2:9" ht="12.75">
      <c r="B225" s="13"/>
      <c r="C225" s="13"/>
      <c r="D225" s="13"/>
      <c r="E225" s="13"/>
      <c r="F225" s="27"/>
      <c r="G225" s="13"/>
      <c r="H225" s="13"/>
      <c r="I225" s="27"/>
    </row>
    <row r="226" spans="2:9" ht="12.75">
      <c r="B226" s="13"/>
      <c r="C226" s="13"/>
      <c r="D226" s="13"/>
      <c r="E226" s="13"/>
      <c r="F226" s="27"/>
      <c r="G226" s="13"/>
      <c r="H226" s="13"/>
      <c r="I226" s="27"/>
    </row>
    <row r="227" spans="2:9" ht="12.75">
      <c r="B227" s="13"/>
      <c r="C227" s="13"/>
      <c r="D227" s="13"/>
      <c r="E227" s="13"/>
      <c r="F227" s="27"/>
      <c r="G227" s="13"/>
      <c r="H227" s="13"/>
      <c r="I227" s="27"/>
    </row>
    <row r="228" spans="2:9" ht="12.75">
      <c r="B228" s="13"/>
      <c r="C228" s="13"/>
      <c r="D228" s="13"/>
      <c r="E228" s="13"/>
      <c r="F228" s="27"/>
      <c r="G228" s="13"/>
      <c r="H228" s="13"/>
      <c r="I228" s="27"/>
    </row>
    <row r="229" spans="2:9" ht="12.75">
      <c r="B229" s="13"/>
      <c r="C229" s="13"/>
      <c r="D229" s="13"/>
      <c r="E229" s="13"/>
      <c r="F229" s="27"/>
      <c r="G229" s="13"/>
      <c r="H229" s="13"/>
      <c r="I229" s="27"/>
    </row>
    <row r="230" spans="2:9" ht="12.75">
      <c r="B230" s="13"/>
      <c r="C230" s="13"/>
      <c r="D230" s="13"/>
      <c r="E230" s="13"/>
      <c r="F230" s="27"/>
      <c r="G230" s="13"/>
      <c r="H230" s="13"/>
      <c r="I230" s="27"/>
    </row>
    <row r="231" spans="2:9" ht="12.75">
      <c r="B231" s="13"/>
      <c r="C231" s="13"/>
      <c r="D231" s="13"/>
      <c r="E231" s="13"/>
      <c r="F231" s="27"/>
      <c r="G231" s="13"/>
      <c r="H231" s="13"/>
      <c r="I231" s="27"/>
    </row>
    <row r="232" spans="2:9" ht="12.75">
      <c r="B232" s="13"/>
      <c r="C232" s="13"/>
      <c r="D232" s="13"/>
      <c r="E232" s="13"/>
      <c r="F232" s="27"/>
      <c r="G232" s="13"/>
      <c r="H232" s="13"/>
      <c r="I232" s="27"/>
    </row>
    <row r="233" spans="2:9" ht="12.75">
      <c r="B233" s="13"/>
      <c r="C233" s="13"/>
      <c r="D233" s="13"/>
      <c r="E233" s="13"/>
      <c r="F233" s="27"/>
      <c r="G233" s="13"/>
      <c r="H233" s="13"/>
      <c r="I233" s="27"/>
    </row>
    <row r="234" spans="2:9" ht="12.75">
      <c r="B234" s="13"/>
      <c r="C234" s="13"/>
      <c r="D234" s="13"/>
      <c r="E234" s="13"/>
      <c r="F234" s="27"/>
      <c r="G234" s="13"/>
      <c r="H234" s="13"/>
      <c r="I234" s="27"/>
    </row>
    <row r="235" spans="2:9" ht="12.75">
      <c r="B235" s="13"/>
      <c r="C235" s="13"/>
      <c r="D235" s="13"/>
      <c r="E235" s="13"/>
      <c r="F235" s="27"/>
      <c r="G235" s="13"/>
      <c r="H235" s="13"/>
      <c r="I235" s="27"/>
    </row>
    <row r="236" spans="2:9" ht="12.75">
      <c r="B236" s="13"/>
      <c r="C236" s="13"/>
      <c r="D236" s="13"/>
      <c r="E236" s="13"/>
      <c r="F236" s="27"/>
      <c r="G236" s="13"/>
      <c r="H236" s="13"/>
      <c r="I236" s="27"/>
    </row>
    <row r="237" spans="2:9" ht="12.75">
      <c r="B237" s="13"/>
      <c r="C237" s="13"/>
      <c r="D237" s="13"/>
      <c r="E237" s="13"/>
      <c r="F237" s="27"/>
      <c r="G237" s="13"/>
      <c r="H237" s="13"/>
      <c r="I237" s="27"/>
    </row>
    <row r="238" spans="2:9" ht="12.75">
      <c r="B238" s="13"/>
      <c r="C238" s="13"/>
      <c r="D238" s="13"/>
      <c r="E238" s="13"/>
      <c r="F238" s="27"/>
      <c r="G238" s="13"/>
      <c r="H238" s="13"/>
      <c r="I238" s="27"/>
    </row>
    <row r="239" spans="2:9" ht="12.75">
      <c r="B239" s="13"/>
      <c r="C239" s="13"/>
      <c r="D239" s="13"/>
      <c r="E239" s="13"/>
      <c r="F239" s="27"/>
      <c r="G239" s="13"/>
      <c r="H239" s="13"/>
      <c r="I239" s="27"/>
    </row>
    <row r="240" spans="2:9" ht="12.75">
      <c r="B240" s="13"/>
      <c r="C240" s="13"/>
      <c r="D240" s="13"/>
      <c r="E240" s="13"/>
      <c r="F240" s="27"/>
      <c r="G240" s="13"/>
      <c r="H240" s="13"/>
      <c r="I240" s="27"/>
    </row>
    <row r="241" spans="2:9" ht="12.75">
      <c r="B241" s="13"/>
      <c r="C241" s="13"/>
      <c r="D241" s="13"/>
      <c r="E241" s="13"/>
      <c r="F241" s="27"/>
      <c r="G241" s="13"/>
      <c r="H241" s="13"/>
      <c r="I241" s="27"/>
    </row>
    <row r="242" spans="2:9" ht="12.75">
      <c r="B242" s="13"/>
      <c r="C242" s="13"/>
      <c r="D242" s="13"/>
      <c r="E242" s="13"/>
      <c r="F242" s="27"/>
      <c r="G242" s="13"/>
      <c r="H242" s="13"/>
      <c r="I242" s="27"/>
    </row>
    <row r="243" spans="2:9" ht="12.75">
      <c r="B243" s="13"/>
      <c r="C243" s="13"/>
      <c r="D243" s="13"/>
      <c r="E243" s="13"/>
      <c r="F243" s="27"/>
      <c r="G243" s="13"/>
      <c r="H243" s="13"/>
      <c r="I243" s="27"/>
    </row>
    <row r="244" spans="2:9" ht="12.75">
      <c r="B244" s="13"/>
      <c r="C244" s="13"/>
      <c r="D244" s="13"/>
      <c r="E244" s="13"/>
      <c r="F244" s="27"/>
      <c r="G244" s="13"/>
      <c r="H244" s="13"/>
      <c r="I244" s="27"/>
    </row>
    <row r="245" spans="2:9" ht="12.75">
      <c r="B245" s="13"/>
      <c r="C245" s="13"/>
      <c r="D245" s="13"/>
      <c r="E245" s="13"/>
      <c r="F245" s="27"/>
      <c r="G245" s="13"/>
      <c r="H245" s="13"/>
      <c r="I245" s="27"/>
    </row>
    <row r="246" spans="2:9" ht="12.75">
      <c r="B246" s="13"/>
      <c r="C246" s="13"/>
      <c r="D246" s="13"/>
      <c r="E246" s="13"/>
      <c r="F246" s="27"/>
      <c r="G246" s="13"/>
      <c r="H246" s="13"/>
      <c r="I246" s="27"/>
    </row>
    <row r="247" spans="2:9" ht="12.75">
      <c r="B247" s="13"/>
      <c r="C247" s="13"/>
      <c r="D247" s="13"/>
      <c r="E247" s="13"/>
      <c r="F247" s="27"/>
      <c r="G247" s="13"/>
      <c r="H247" s="13"/>
      <c r="I247" s="27"/>
    </row>
    <row r="248" spans="2:9" ht="12.75">
      <c r="B248" s="13"/>
      <c r="C248" s="13"/>
      <c r="D248" s="13"/>
      <c r="E248" s="13"/>
      <c r="F248" s="27"/>
      <c r="G248" s="13"/>
      <c r="H248" s="13"/>
      <c r="I248" s="27"/>
    </row>
    <row r="249" spans="2:9" ht="12.75">
      <c r="B249" s="13"/>
      <c r="C249" s="13"/>
      <c r="D249" s="13"/>
      <c r="E249" s="13"/>
      <c r="F249" s="27"/>
      <c r="G249" s="13"/>
      <c r="H249" s="13"/>
      <c r="I249" s="27"/>
    </row>
    <row r="250" spans="2:9" ht="12.75">
      <c r="B250" s="13"/>
      <c r="C250" s="13"/>
      <c r="D250" s="13"/>
      <c r="E250" s="13"/>
      <c r="F250" s="27"/>
      <c r="G250" s="13"/>
      <c r="H250" s="13"/>
      <c r="I250" s="27"/>
    </row>
    <row r="251" spans="2:9" ht="12.75">
      <c r="B251" s="13"/>
      <c r="C251" s="13"/>
      <c r="D251" s="13"/>
      <c r="E251" s="13"/>
      <c r="F251" s="27"/>
      <c r="G251" s="13"/>
      <c r="H251" s="13"/>
      <c r="I251" s="27"/>
    </row>
    <row r="252" spans="2:9" ht="12.75">
      <c r="B252" s="13"/>
      <c r="C252" s="13"/>
      <c r="D252" s="13"/>
      <c r="E252" s="13"/>
      <c r="F252" s="27"/>
      <c r="G252" s="13"/>
      <c r="H252" s="13"/>
      <c r="I252" s="27"/>
    </row>
    <row r="253" spans="2:9" ht="12.75">
      <c r="B253" s="13"/>
      <c r="C253" s="13"/>
      <c r="D253" s="13"/>
      <c r="E253" s="13"/>
      <c r="F253" s="27"/>
      <c r="G253" s="13"/>
      <c r="H253" s="13"/>
      <c r="I253" s="27"/>
    </row>
    <row r="254" spans="2:9" ht="12.75">
      <c r="B254" s="13"/>
      <c r="C254" s="13"/>
      <c r="D254" s="13"/>
      <c r="E254" s="13"/>
      <c r="F254" s="27"/>
      <c r="G254" s="13"/>
      <c r="H254" s="13"/>
      <c r="I254" s="27"/>
    </row>
    <row r="255" spans="2:9" ht="12.75">
      <c r="B255" s="13"/>
      <c r="C255" s="13"/>
      <c r="D255" s="13"/>
      <c r="E255" s="13"/>
      <c r="F255" s="27"/>
      <c r="G255" s="13"/>
      <c r="H255" s="13"/>
      <c r="I255" s="27"/>
    </row>
    <row r="256" spans="2:9" ht="12.75">
      <c r="B256" s="13"/>
      <c r="C256" s="13"/>
      <c r="D256" s="13"/>
      <c r="E256" s="13"/>
      <c r="F256" s="27"/>
      <c r="G256" s="13"/>
      <c r="H256" s="13"/>
      <c r="I256" s="27"/>
    </row>
    <row r="257" spans="2:9" ht="12.75">
      <c r="B257" s="13"/>
      <c r="C257" s="13"/>
      <c r="D257" s="13"/>
      <c r="E257" s="13"/>
      <c r="F257" s="27"/>
      <c r="G257" s="13"/>
      <c r="H257" s="13"/>
      <c r="I257" s="27"/>
    </row>
    <row r="258" spans="2:9" ht="12.75">
      <c r="B258" s="13"/>
      <c r="C258" s="13"/>
      <c r="D258" s="13"/>
      <c r="E258" s="13"/>
      <c r="F258" s="27"/>
      <c r="G258" s="13"/>
      <c r="H258" s="13"/>
      <c r="I258" s="27"/>
    </row>
    <row r="259" spans="2:9" ht="12.75">
      <c r="B259" s="13"/>
      <c r="C259" s="13"/>
      <c r="D259" s="13"/>
      <c r="E259" s="13"/>
      <c r="F259" s="27"/>
      <c r="G259" s="13"/>
      <c r="H259" s="13"/>
      <c r="I259" s="27"/>
    </row>
    <row r="260" spans="2:9" ht="12.7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" right="0.39375" top="0.5902777777777778" bottom="0.5118055555555555" header="0.5118055555555555" footer="0.31527777777777777"/>
  <pageSetup horizontalDpi="300" verticalDpi="300" orientation="portrait" paperSize="9" scale="63"/>
  <headerFooter alignWithMargins="0">
    <oddFooter>&amp;R&amp;P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2015-02-26T13:14:30Z</cp:lastPrinted>
  <dcterms:modified xsi:type="dcterms:W3CDTF">2015-09-18T06:46:26Z</dcterms:modified>
  <cp:category/>
  <cp:version/>
  <cp:contentType/>
  <cp:contentStatus/>
  <cp:revision>52</cp:revision>
</cp:coreProperties>
</file>