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Jogizsuzsi\Desktop\Dokumentum 2018-tól\rendeletek 2020.03.19\"/>
    </mc:Choice>
  </mc:AlternateContent>
  <bookViews>
    <workbookView xWindow="0" yWindow="0" windowWidth="20490" windowHeight="7155" tabRatio="638" firstSheet="4" activeTab="15"/>
  </bookViews>
  <sheets>
    <sheet name="Címrend" sheetId="1" state="hidden" r:id="rId1"/>
    <sheet name="1 kiem" sheetId="2" r:id="rId2"/>
    <sheet name="2 Össz" sheetId="3" r:id="rId3"/>
    <sheet name="3 Adók és tám" sheetId="4" r:id="rId4"/>
    <sheet name="4 Átvett és Felh bev" sheetId="5" r:id="rId5"/>
    <sheet name="5 Beruh kiad" sheetId="6" r:id="rId6"/>
    <sheet name="6 Tart" sheetId="7" r:id="rId7"/>
    <sheet name="7 Önk" sheetId="8" r:id="rId8"/>
    <sheet name="8 PH" sheetId="9" r:id="rId9"/>
    <sheet name="9 VGIG" sheetId="10" r:id="rId10"/>
    <sheet name="10 Járób" sheetId="11" r:id="rId11"/>
    <sheet name="11 Szoci" sheetId="12" r:id="rId12"/>
    <sheet name="12 Ovi" sheetId="13" r:id="rId13"/>
    <sheet name="13 Művház" sheetId="14" r:id="rId14"/>
    <sheet name="14 Könyvt" sheetId="15" r:id="rId15"/>
    <sheet name="19 EU projektek" sheetId="25" r:id="rId16"/>
    <sheet name="15 létszám" sheetId="16" state="hidden" r:id="rId17"/>
    <sheet name="16 szociális kiad" sheetId="17" state="hidden" r:id="rId18"/>
    <sheet name="17 hitelek" sheetId="18" state="hidden" r:id="rId19"/>
    <sheet name="18 TÖBB ÉVES" sheetId="19" state="hidden" r:id="rId20"/>
    <sheet name="20 közvetett" sheetId="21" state="hidden" r:id="rId21"/>
    <sheet name="21 MÉRLEG" sheetId="22" state="hidden" r:id="rId22"/>
    <sheet name="22 FELH TERV" sheetId="23" state="hidden" r:id="rId23"/>
    <sheet name="23 GÖRDÜLŐ" sheetId="24" state="hidden" r:id="rId24"/>
  </sheets>
  <definedNames>
    <definedName name="_4._sz._sor_részletezése" localSheetId="15">#REF!</definedName>
    <definedName name="_4._sz._sor_részletezése">#REF!</definedName>
    <definedName name="_pr232" localSheetId="19">'18 TÖBB ÉVES'!$A$15</definedName>
    <definedName name="_pr232" localSheetId="21">'21 MÉRLEG'!#REF!</definedName>
    <definedName name="_pr232" localSheetId="23">'23 GÖRDÜLŐ'!#REF!</definedName>
    <definedName name="_pr233" localSheetId="19">'18 TÖBB ÉVES'!#REF!</definedName>
    <definedName name="_pr233" localSheetId="21">'21 MÉRLEG'!#REF!</definedName>
    <definedName name="_pr233" localSheetId="23">'23 GÖRDÜLŐ'!#REF!</definedName>
    <definedName name="_pr234" localSheetId="19">'18 TÖBB ÉVES'!$A$16</definedName>
    <definedName name="_pr234" localSheetId="21">'21 MÉRLEG'!#REF!</definedName>
    <definedName name="_pr234" localSheetId="23">'23 GÖRDÜLŐ'!#REF!</definedName>
    <definedName name="_pr235" localSheetId="19">'18 TÖBB ÉVES'!$A$17</definedName>
    <definedName name="_pr235" localSheetId="21">'21 MÉRLEG'!#REF!</definedName>
    <definedName name="_pr235" localSheetId="23">'23 GÖRDÜLŐ'!#REF!</definedName>
    <definedName name="_pr236" localSheetId="19">'18 TÖBB ÉVES'!$A$18</definedName>
    <definedName name="_pr236" localSheetId="21">'21 MÉRLEG'!#REF!</definedName>
    <definedName name="_pr236" localSheetId="23">'23 GÖRDÜLŐ'!#REF!</definedName>
    <definedName name="_pr312" localSheetId="19">'18 TÖBB ÉVES'!#REF!</definedName>
    <definedName name="_pr312" localSheetId="21">'21 MÉRLEG'!#REF!</definedName>
    <definedName name="_pr312" localSheetId="23">'23 GÖRDÜLŐ'!#REF!</definedName>
    <definedName name="_pr313" localSheetId="19">'18 TÖBB ÉVES'!$A$4</definedName>
    <definedName name="_pr313" localSheetId="21">'21 MÉRLEG'!#REF!</definedName>
    <definedName name="_pr313" localSheetId="23">'23 GÖRDÜLŐ'!#REF!</definedName>
    <definedName name="_pr314" localSheetId="19">'18 TÖBB ÉVES'!#REF!</definedName>
    <definedName name="_pr314" localSheetId="21">'21 MÉRLEG'!#REF!</definedName>
    <definedName name="_pr314" localSheetId="23">'23 GÖRDÜLŐ'!#REF!</definedName>
    <definedName name="_pr315" localSheetId="19">'18 TÖBB ÉVES'!$A$11</definedName>
    <definedName name="_pr315" localSheetId="21">'21 MÉRLEG'!#REF!</definedName>
    <definedName name="_pr315" localSheetId="23">'23 GÖRDÜLŐ'!$A$5</definedName>
    <definedName name="_pr347" localSheetId="23">'23 GÖRDÜLŐ'!$G$7</definedName>
    <definedName name="_pr348" localSheetId="23">'23 GÖRDÜLŐ'!$G$8</definedName>
    <definedName name="_pr349" localSheetId="23">'23 GÖRDÜLŐ'!$G$9</definedName>
    <definedName name="_pr54" localSheetId="0">Címrend!$B$29</definedName>
    <definedName name="_pr55" localSheetId="0">Címrend!$B$30</definedName>
    <definedName name="_pr56" localSheetId="0">Címrend!$B$31</definedName>
    <definedName name="_pr57" localSheetId="0">Címrend!$B$32</definedName>
    <definedName name="_pr58" localSheetId="0">Címrend!$B$33</definedName>
    <definedName name="_pr59" localSheetId="0">Címrend!$B$34</definedName>
    <definedName name="_pr60" localSheetId="0">Címrend!#REF!</definedName>
    <definedName name="_pr61" localSheetId="0">Címrend!$B$36</definedName>
    <definedName name="_pr62" localSheetId="0">Címrend!$B$37</definedName>
    <definedName name="_pr63" localSheetId="0">Címrend!$B$38</definedName>
    <definedName name="_pr64" localSheetId="0">Címrend!$B$39</definedName>
    <definedName name="_pr65" localSheetId="0">Címrend!$B$40</definedName>
    <definedName name="_pr66" localSheetId="0">Címrend!$B$41</definedName>
    <definedName name="_pr67" localSheetId="0">Címrend!$B$42</definedName>
    <definedName name="_pr68" localSheetId="0">Címrend!$B$43</definedName>
    <definedName name="_pr69" localSheetId="0">Címrend!$B$44</definedName>
    <definedName name="_pr70" localSheetId="0">Címrend!$B$45</definedName>
    <definedName name="_pr71" localSheetId="0">Címrend!$B$46</definedName>
    <definedName name="_pr72" localSheetId="0">Címrend!$B$47</definedName>
    <definedName name="_pr73" localSheetId="0">Címrend!$B$48</definedName>
    <definedName name="Excel_BuiltIn_Print_Area" localSheetId="1">'1 kiem'!$A$1:$D$31</definedName>
    <definedName name="Excel_BuiltIn_Print_Area" localSheetId="10">'10 Járób'!$A$1:$I$131</definedName>
    <definedName name="Excel_BuiltIn_Print_Area" localSheetId="11">'11 Szoci'!$A$1:$I$131</definedName>
    <definedName name="Excel_BuiltIn_Print_Area" localSheetId="12">'12 Ovi'!$A$1:$I$131</definedName>
    <definedName name="Excel_BuiltIn_Print_Area" localSheetId="13">'13 Művház'!$A$1:$I$131</definedName>
    <definedName name="Excel_BuiltIn_Print_Area" localSheetId="14">'14 Könyvt'!$A$1:$I$131</definedName>
    <definedName name="Excel_BuiltIn_Print_Area" localSheetId="16">'15 létszám'!$A$1:$T$39</definedName>
    <definedName name="Excel_BuiltIn_Print_Area" localSheetId="17">'16 szociális kiad'!$A$1:$E$26</definedName>
    <definedName name="Excel_BuiltIn_Print_Area" localSheetId="18">'17 hitelek'!$A$1:$G$84</definedName>
    <definedName name="Excel_BuiltIn_Print_Area" localSheetId="15">'19 EU projektek'!$B$1:$C$131</definedName>
    <definedName name="Excel_BuiltIn_Print_Area" localSheetId="2">'2 Össz'!$A$1:$E$155</definedName>
    <definedName name="Excel_BuiltIn_Print_Area" localSheetId="23">'23 GÖRDÜLŐ'!$A$1:$F$151</definedName>
    <definedName name="Excel_BuiltIn_Print_Area" localSheetId="3">'3 Adók és tám'!$A$1:$E$87</definedName>
    <definedName name="Excel_BuiltIn_Print_Area" localSheetId="4">'4 Átvett és Felh bev'!$A$1:$G$87</definedName>
    <definedName name="Excel_BuiltIn_Print_Area" localSheetId="5">'5 Beruh kiad'!$A$1:$G$93</definedName>
    <definedName name="Excel_BuiltIn_Print_Area" localSheetId="6">'6 Tart'!$A$1:$I$26</definedName>
    <definedName name="Excel_BuiltIn_Print_Area" localSheetId="7">'7 Önk'!$B$1:$AX$131</definedName>
    <definedName name="Excel_BuiltIn_Print_Area" localSheetId="8">'8 PH'!$B$1:$I$134</definedName>
    <definedName name="Excel_BuiltIn_Print_Area" localSheetId="9">'9 VGIG'!$B$1:$I$134</definedName>
    <definedName name="Excel_BuiltIn_Print_Titles" localSheetId="10">'10 Járób'!$A$1:$IR$5</definedName>
    <definedName name="Excel_BuiltIn_Print_Titles" localSheetId="11">'11 Szoci'!$A$1:$IR$5</definedName>
    <definedName name="Excel_BuiltIn_Print_Titles" localSheetId="12">'12 Ovi'!$A$1:$IR$5</definedName>
    <definedName name="Excel_BuiltIn_Print_Titles" localSheetId="13">'13 Művház'!$A$1:$IR$5</definedName>
    <definedName name="Excel_BuiltIn_Print_Titles" localSheetId="14">'14 Könyvt'!$A$1:$IR$5</definedName>
    <definedName name="Excel_BuiltIn_Print_Titles" localSheetId="15">('19 EU projektek'!$B:$C,'19 EU projektek'!$A$1:$GP$5)</definedName>
    <definedName name="Excel_BuiltIn_Print_Titles" localSheetId="2">'2 Össz'!$A$1:$IO$5</definedName>
    <definedName name="Excel_BuiltIn_Print_Titles" localSheetId="3">'3 Adók és tám'!$A$1:$IT$6</definedName>
    <definedName name="Excel_BuiltIn_Print_Titles" localSheetId="4">'4 Átvett és Felh bev'!$A$1:$IS$9</definedName>
    <definedName name="Excel_BuiltIn_Print_Titles" localSheetId="5">'5 Beruh kiad'!$A$1:$IS$8</definedName>
    <definedName name="Excel_BuiltIn_Print_Titles" localSheetId="7">('7 Önk'!$B:$C,'7 Önk'!$A$1:$GZ$5)</definedName>
    <definedName name="Excel_BuiltIn_Print_Titles" localSheetId="8">'8 PH'!$A$1:$IR$5</definedName>
    <definedName name="Excel_BuiltIn_Print_Titles" localSheetId="9">'9 VGIG'!$A$1:$IR$5</definedName>
    <definedName name="_xlnm.Print_Titles" localSheetId="10">'10 Járób'!$1:$5</definedName>
    <definedName name="_xlnm.Print_Titles" localSheetId="11">'11 Szoci'!$1:$5</definedName>
    <definedName name="_xlnm.Print_Titles" localSheetId="12">'12 Ovi'!$1:$5</definedName>
    <definedName name="_xlnm.Print_Titles" localSheetId="13">'13 Művház'!$1:$5</definedName>
    <definedName name="_xlnm.Print_Titles" localSheetId="14">'14 Könyvt'!$1:$5</definedName>
    <definedName name="_xlnm.Print_Titles" localSheetId="15">'19 EU projektek'!$B:$C,'19 EU projektek'!$1:$5</definedName>
    <definedName name="_xlnm.Print_Titles" localSheetId="2">'2 Össz'!$1:$5</definedName>
    <definedName name="_xlnm.Print_Titles" localSheetId="21">'21 MÉRLEG'!$1:$4</definedName>
    <definedName name="_xlnm.Print_Titles" localSheetId="22">'22 FELH TERV'!$1:$6</definedName>
    <definedName name="_xlnm.Print_Titles" localSheetId="23">'23 GÖRDÜLŐ'!$1:$6</definedName>
    <definedName name="_xlnm.Print_Titles" localSheetId="3">'3 Adók és tám'!$1:$6</definedName>
    <definedName name="_xlnm.Print_Titles" localSheetId="4">'4 Átvett és Felh bev'!$1:$9</definedName>
    <definedName name="_xlnm.Print_Titles" localSheetId="5">'5 Beruh kiad'!$1:$8</definedName>
    <definedName name="_xlnm.Print_Titles" localSheetId="7">'7 Önk'!$B:$C,'7 Önk'!$1:$5</definedName>
    <definedName name="_xlnm.Print_Titles" localSheetId="8">'8 PH'!$1:$5</definedName>
    <definedName name="_xlnm.Print_Titles" localSheetId="9">'9 VGIG'!$1:$5</definedName>
    <definedName name="_xlnm.Print_Area" localSheetId="1">'1 kiem'!$A$1:$G$31</definedName>
    <definedName name="_xlnm.Print_Area" localSheetId="10">'10 Járób'!$B$1:$I$131</definedName>
    <definedName name="_xlnm.Print_Area" localSheetId="11">'11 Szoci'!$B$1:$I$131</definedName>
    <definedName name="_xlnm.Print_Area" localSheetId="12">'12 Ovi'!$B$1:$I$131</definedName>
    <definedName name="_xlnm.Print_Area" localSheetId="13">'13 Művház'!$B$1:$I$131</definedName>
    <definedName name="_xlnm.Print_Area" localSheetId="14">'14 Könyvt'!$B$1:$I$131</definedName>
    <definedName name="_xlnm.Print_Area" localSheetId="16">'15 létszám'!$A$1:$T$37</definedName>
    <definedName name="_xlnm.Print_Area" localSheetId="17">'16 szociális kiad'!$B$1:$E$26</definedName>
    <definedName name="_xlnm.Print_Area" localSheetId="18">'17 hitelek'!$B$1:$G$84</definedName>
    <definedName name="_xlnm.Print_Area" localSheetId="19">'18 TÖBB ÉVES'!$A$1:$I$24</definedName>
    <definedName name="_xlnm.Print_Area" localSheetId="15">'19 EU projektek'!$B$1:$AK$131</definedName>
    <definedName name="_xlnm.Print_Area" localSheetId="2">'2 Össz'!$A$1:$H$154</definedName>
    <definedName name="_xlnm.Print_Area" localSheetId="20">'20 közvetett'!$A$1:$E$20</definedName>
    <definedName name="_xlnm.Print_Area" localSheetId="21">'21 MÉRLEG'!$A$1:$E$154</definedName>
    <definedName name="_xlnm.Print_Area" localSheetId="22">'22 FELH TERV'!$A$1:$O$154</definedName>
    <definedName name="_xlnm.Print_Area" localSheetId="23">'23 GÖRDÜLŐ'!$A$1:$F$155</definedName>
    <definedName name="_xlnm.Print_Area" localSheetId="3">'3 Adók és tám'!$B$1:$E$87</definedName>
    <definedName name="_xlnm.Print_Area" localSheetId="4">'4 Átvett és Felh bev'!$B$1:$G$87</definedName>
    <definedName name="_xlnm.Print_Area" localSheetId="5">'5 Beruh kiad'!$B$1:$G$99</definedName>
    <definedName name="_xlnm.Print_Area" localSheetId="6">'6 Tart'!$B$1:$I$26</definedName>
    <definedName name="_xlnm.Print_Area" localSheetId="7">'7 Önk'!$B$1:$AY$131</definedName>
    <definedName name="_xlnm.Print_Area" localSheetId="8">'8 PH'!$B$1:$I$131</definedName>
    <definedName name="_xlnm.Print_Area" localSheetId="9">'9 VGIG'!$B$1:$I$131</definedName>
    <definedName name="_xlnm.Print_Area" localSheetId="0">Címrend!$A$1:$B$18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6" i="6" l="1"/>
  <c r="F51" i="6" l="1"/>
  <c r="F77" i="6"/>
  <c r="G81" i="6"/>
  <c r="G55" i="6"/>
  <c r="E82" i="4"/>
  <c r="F76" i="5" l="1"/>
  <c r="F73" i="5"/>
  <c r="G42" i="5"/>
  <c r="G43" i="5"/>
  <c r="F38" i="5"/>
  <c r="F37" i="5"/>
  <c r="F63" i="6"/>
  <c r="F88" i="6"/>
  <c r="F36" i="5"/>
  <c r="E15" i="4"/>
  <c r="F39" i="5"/>
  <c r="S15" i="25"/>
  <c r="S14" i="25"/>
  <c r="S13" i="25"/>
  <c r="S10" i="25"/>
  <c r="S7" i="25"/>
  <c r="G19" i="5"/>
  <c r="Q13" i="25"/>
  <c r="G18" i="5"/>
  <c r="K137" i="25" l="1"/>
  <c r="K88" i="8"/>
  <c r="K84" i="8"/>
  <c r="K15" i="8"/>
  <c r="F78" i="6"/>
  <c r="AA15" i="25"/>
  <c r="Y45" i="8"/>
  <c r="F35" i="6"/>
  <c r="AG15" i="25"/>
  <c r="G22" i="6"/>
  <c r="AG35" i="25"/>
  <c r="G13" i="6"/>
  <c r="K13" i="8"/>
  <c r="O15" i="8"/>
  <c r="O13" i="8"/>
  <c r="K11" i="8"/>
  <c r="U11" i="25"/>
  <c r="Y133" i="25"/>
  <c r="W40" i="25"/>
  <c r="W37" i="25"/>
  <c r="G83" i="6"/>
  <c r="G60" i="6"/>
  <c r="G43" i="6"/>
  <c r="G25" i="6"/>
  <c r="F14" i="6"/>
  <c r="K23" i="8"/>
  <c r="G19" i="7"/>
  <c r="Y15" i="8"/>
  <c r="K14" i="8"/>
  <c r="D82" i="4"/>
  <c r="E76" i="4"/>
  <c r="E75" i="4"/>
  <c r="E68" i="4"/>
  <c r="E66" i="4"/>
  <c r="E64" i="4"/>
  <c r="E63" i="4"/>
  <c r="E62" i="4"/>
  <c r="E61" i="4"/>
  <c r="E60" i="4"/>
  <c r="E58" i="4"/>
  <c r="E54" i="4"/>
  <c r="E53" i="4"/>
  <c r="E52" i="4"/>
  <c r="E51" i="4"/>
  <c r="E38" i="4"/>
  <c r="H122" i="15"/>
  <c r="G121" i="15"/>
  <c r="H117" i="15"/>
  <c r="H126" i="15" s="1"/>
  <c r="H130" i="15" s="1"/>
  <c r="H134" i="15" s="1"/>
  <c r="G117" i="15"/>
  <c r="G126" i="15" s="1"/>
  <c r="G130" i="15" s="1"/>
  <c r="G134" i="15" s="1"/>
  <c r="H107" i="15"/>
  <c r="G107" i="15"/>
  <c r="H100" i="15"/>
  <c r="H108" i="15" s="1"/>
  <c r="G100" i="15"/>
  <c r="H94" i="15"/>
  <c r="G94" i="15"/>
  <c r="H82" i="15"/>
  <c r="G82" i="15"/>
  <c r="H74" i="15"/>
  <c r="G74" i="15"/>
  <c r="H63" i="15"/>
  <c r="G63" i="15"/>
  <c r="H56" i="15"/>
  <c r="H58" i="15" s="1"/>
  <c r="H64" i="15" s="1"/>
  <c r="G56" i="15"/>
  <c r="G58" i="15" s="1"/>
  <c r="G64" i="15" s="1"/>
  <c r="H46" i="15"/>
  <c r="G46" i="15"/>
  <c r="G57" i="15" s="1"/>
  <c r="H41" i="15"/>
  <c r="G41" i="15"/>
  <c r="H32" i="15"/>
  <c r="H33" i="15" s="1"/>
  <c r="G32" i="15"/>
  <c r="H16" i="15"/>
  <c r="G16" i="15"/>
  <c r="G33" i="15" s="1"/>
  <c r="G12" i="15"/>
  <c r="H9" i="15"/>
  <c r="G9" i="15"/>
  <c r="G126" i="14"/>
  <c r="G130" i="14" s="1"/>
  <c r="G134" i="14" s="1"/>
  <c r="H122" i="14"/>
  <c r="G121" i="14"/>
  <c r="H117" i="14"/>
  <c r="H126" i="14" s="1"/>
  <c r="H130" i="14" s="1"/>
  <c r="H134" i="14" s="1"/>
  <c r="G117" i="14"/>
  <c r="H107" i="14"/>
  <c r="G107" i="14"/>
  <c r="H100" i="14"/>
  <c r="G100" i="14"/>
  <c r="H94" i="14"/>
  <c r="G94" i="14"/>
  <c r="G84" i="14"/>
  <c r="H82" i="14"/>
  <c r="G82" i="14"/>
  <c r="H74" i="14"/>
  <c r="G74" i="14"/>
  <c r="H63" i="14"/>
  <c r="G63" i="14"/>
  <c r="H56" i="14"/>
  <c r="H58" i="14" s="1"/>
  <c r="H64" i="14" s="1"/>
  <c r="G56" i="14"/>
  <c r="H46" i="14"/>
  <c r="H57" i="14" s="1"/>
  <c r="G46" i="14"/>
  <c r="G57" i="14" s="1"/>
  <c r="H41" i="14"/>
  <c r="G40" i="14"/>
  <c r="G37" i="14"/>
  <c r="G41" i="14" s="1"/>
  <c r="H32" i="14"/>
  <c r="H33" i="14" s="1"/>
  <c r="G32" i="14"/>
  <c r="H16" i="14"/>
  <c r="G15" i="14"/>
  <c r="G14" i="14"/>
  <c r="G13" i="14"/>
  <c r="G12" i="14"/>
  <c r="G16" i="14" s="1"/>
  <c r="H10" i="14"/>
  <c r="G10" i="14" s="1"/>
  <c r="H9" i="14"/>
  <c r="G7" i="14"/>
  <c r="G9" i="14" s="1"/>
  <c r="G126" i="13"/>
  <c r="G130" i="13" s="1"/>
  <c r="G134" i="13" s="1"/>
  <c r="H122" i="13"/>
  <c r="G122" i="13"/>
  <c r="G121" i="13"/>
  <c r="H117" i="13"/>
  <c r="H126" i="13" s="1"/>
  <c r="H130" i="13" s="1"/>
  <c r="H134" i="13" s="1"/>
  <c r="G117" i="13"/>
  <c r="H107" i="13"/>
  <c r="H110" i="13" s="1"/>
  <c r="G107" i="13"/>
  <c r="H100" i="13"/>
  <c r="G100" i="13"/>
  <c r="G110" i="13" s="1"/>
  <c r="H94" i="13"/>
  <c r="G94" i="13"/>
  <c r="H82" i="13"/>
  <c r="G82" i="13"/>
  <c r="H74" i="13"/>
  <c r="G74" i="13"/>
  <c r="H63" i="13"/>
  <c r="G63" i="13"/>
  <c r="H56" i="13"/>
  <c r="H58" i="13" s="1"/>
  <c r="H64" i="13" s="1"/>
  <c r="G56" i="13"/>
  <c r="G57" i="13" s="1"/>
  <c r="H46" i="13"/>
  <c r="H57" i="13" s="1"/>
  <c r="G46" i="13"/>
  <c r="H41" i="13"/>
  <c r="G41" i="13"/>
  <c r="H32" i="13"/>
  <c r="G32" i="13"/>
  <c r="G33" i="13" s="1"/>
  <c r="H16" i="13"/>
  <c r="H33" i="13" s="1"/>
  <c r="G16" i="13"/>
  <c r="G10" i="13"/>
  <c r="H9" i="13"/>
  <c r="G9" i="13"/>
  <c r="G7" i="13"/>
  <c r="H122" i="12"/>
  <c r="G121" i="12"/>
  <c r="H117" i="12"/>
  <c r="H126" i="12" s="1"/>
  <c r="H130" i="12" s="1"/>
  <c r="H134" i="12" s="1"/>
  <c r="G117" i="12"/>
  <c r="G126" i="12" s="1"/>
  <c r="G130" i="12" s="1"/>
  <c r="G134" i="12" s="1"/>
  <c r="G113" i="12"/>
  <c r="H107" i="12"/>
  <c r="G107" i="12"/>
  <c r="H100" i="12"/>
  <c r="H110" i="12" s="1"/>
  <c r="G100" i="12"/>
  <c r="G94" i="12"/>
  <c r="H84" i="12"/>
  <c r="H94" i="12" s="1"/>
  <c r="H82" i="12"/>
  <c r="G82" i="12"/>
  <c r="H74" i="12"/>
  <c r="G74" i="12"/>
  <c r="G73" i="12"/>
  <c r="H63" i="12"/>
  <c r="G63" i="12"/>
  <c r="H57" i="12"/>
  <c r="H56" i="12"/>
  <c r="H58" i="12" s="1"/>
  <c r="H64" i="12" s="1"/>
  <c r="G56" i="12"/>
  <c r="G58" i="12" s="1"/>
  <c r="G64" i="12" s="1"/>
  <c r="H46" i="12"/>
  <c r="G46" i="12"/>
  <c r="H41" i="12"/>
  <c r="G41" i="12"/>
  <c r="H32" i="12"/>
  <c r="G32" i="12"/>
  <c r="H16" i="12"/>
  <c r="H33" i="12" s="1"/>
  <c r="G15" i="12"/>
  <c r="G14" i="12"/>
  <c r="G13" i="12"/>
  <c r="G11" i="12"/>
  <c r="G16" i="12" s="1"/>
  <c r="G10" i="12"/>
  <c r="H9" i="12"/>
  <c r="G9" i="12"/>
  <c r="G8" i="12"/>
  <c r="G7" i="12"/>
  <c r="I129" i="11"/>
  <c r="I128" i="11"/>
  <c r="I127" i="11"/>
  <c r="G126" i="11"/>
  <c r="G130" i="11" s="1"/>
  <c r="G134" i="11" s="1"/>
  <c r="I125" i="11"/>
  <c r="I124" i="11"/>
  <c r="I123" i="11"/>
  <c r="G122" i="11"/>
  <c r="I121" i="11"/>
  <c r="H120" i="11"/>
  <c r="I120" i="11" s="1"/>
  <c r="I119" i="11"/>
  <c r="I118" i="11"/>
  <c r="H117" i="11"/>
  <c r="G117" i="11"/>
  <c r="I116" i="11"/>
  <c r="I115" i="11"/>
  <c r="I114" i="11"/>
  <c r="I117" i="11" s="1"/>
  <c r="I113" i="11"/>
  <c r="I112" i="11"/>
  <c r="I111" i="11"/>
  <c r="H107" i="11"/>
  <c r="H110" i="11" s="1"/>
  <c r="G107" i="11"/>
  <c r="G110" i="11" s="1"/>
  <c r="I106" i="11"/>
  <c r="I105" i="11"/>
  <c r="I102" i="11"/>
  <c r="I107" i="11" s="1"/>
  <c r="I101" i="11"/>
  <c r="H100" i="11"/>
  <c r="G100" i="11"/>
  <c r="I99" i="11"/>
  <c r="I98" i="11"/>
  <c r="I100" i="11" s="1"/>
  <c r="I97" i="11"/>
  <c r="I96" i="11"/>
  <c r="I95" i="11"/>
  <c r="H94" i="11"/>
  <c r="G94" i="11"/>
  <c r="I93" i="11"/>
  <c r="I92" i="11"/>
  <c r="I91" i="11"/>
  <c r="I90" i="11"/>
  <c r="I89" i="11"/>
  <c r="I88" i="11"/>
  <c r="I87" i="11"/>
  <c r="I86" i="11"/>
  <c r="I85" i="11"/>
  <c r="I84" i="11"/>
  <c r="I94" i="11" s="1"/>
  <c r="I83" i="11"/>
  <c r="H82" i="11"/>
  <c r="G82" i="11"/>
  <c r="G108" i="11" s="1"/>
  <c r="I81" i="11"/>
  <c r="I80" i="11"/>
  <c r="I79" i="11"/>
  <c r="I78" i="11"/>
  <c r="I77" i="11"/>
  <c r="I76" i="11"/>
  <c r="I82" i="11" s="1"/>
  <c r="I75" i="11"/>
  <c r="G74" i="11"/>
  <c r="H73" i="11"/>
  <c r="I73" i="11" s="1"/>
  <c r="I74" i="11" s="1"/>
  <c r="I72" i="11"/>
  <c r="I71" i="11"/>
  <c r="I70" i="11"/>
  <c r="I69" i="11"/>
  <c r="I68" i="11"/>
  <c r="H63" i="11"/>
  <c r="G63" i="11"/>
  <c r="I62" i="11"/>
  <c r="I61" i="11"/>
  <c r="I63" i="11" s="1"/>
  <c r="I60" i="11"/>
  <c r="I59" i="11"/>
  <c r="H57" i="11"/>
  <c r="H56" i="11"/>
  <c r="G56" i="11"/>
  <c r="G57" i="11" s="1"/>
  <c r="I55" i="11"/>
  <c r="I54" i="11"/>
  <c r="I53" i="11"/>
  <c r="I52" i="11"/>
  <c r="I51" i="11"/>
  <c r="I50" i="11"/>
  <c r="I49" i="11"/>
  <c r="I48" i="11"/>
  <c r="I56" i="11" s="1"/>
  <c r="I47" i="11"/>
  <c r="H46" i="11"/>
  <c r="G46" i="11"/>
  <c r="I45" i="11"/>
  <c r="I44" i="11"/>
  <c r="I43" i="11"/>
  <c r="I42" i="11"/>
  <c r="I46" i="11" s="1"/>
  <c r="H41" i="11"/>
  <c r="G41" i="11"/>
  <c r="I40" i="11"/>
  <c r="I39" i="11"/>
  <c r="I38" i="11"/>
  <c r="I37" i="11"/>
  <c r="I36" i="11"/>
  <c r="I35" i="11"/>
  <c r="I34" i="11"/>
  <c r="I41" i="11" s="1"/>
  <c r="H32" i="11"/>
  <c r="G32" i="11"/>
  <c r="G33" i="11" s="1"/>
  <c r="I31" i="11"/>
  <c r="I30" i="11"/>
  <c r="I29" i="11"/>
  <c r="I28" i="11"/>
  <c r="I27" i="11"/>
  <c r="I26" i="11"/>
  <c r="I25" i="11"/>
  <c r="I24" i="11"/>
  <c r="I23" i="11"/>
  <c r="I22" i="11"/>
  <c r="I21" i="11"/>
  <c r="I20" i="11"/>
  <c r="I19" i="11"/>
  <c r="I18" i="11"/>
  <c r="I32" i="11" s="1"/>
  <c r="I17" i="11"/>
  <c r="G16" i="11"/>
  <c r="H15" i="11"/>
  <c r="I15" i="11" s="1"/>
  <c r="H14" i="11"/>
  <c r="I14" i="11" s="1"/>
  <c r="H13" i="11"/>
  <c r="I13" i="11" s="1"/>
  <c r="H12" i="11"/>
  <c r="I12" i="11" s="1"/>
  <c r="H11" i="11"/>
  <c r="I11" i="11" s="1"/>
  <c r="I16" i="11" s="1"/>
  <c r="H10" i="11"/>
  <c r="I10" i="11" s="1"/>
  <c r="G9" i="11"/>
  <c r="I8" i="11"/>
  <c r="H7" i="11"/>
  <c r="I7" i="11" s="1"/>
  <c r="I9" i="11" s="1"/>
  <c r="I129" i="10"/>
  <c r="I128" i="10"/>
  <c r="I127" i="10"/>
  <c r="I125" i="10"/>
  <c r="I124" i="10"/>
  <c r="I123" i="10"/>
  <c r="H122" i="10"/>
  <c r="I121" i="10"/>
  <c r="G120" i="10"/>
  <c r="I120" i="10" s="1"/>
  <c r="I119" i="10"/>
  <c r="I118" i="10"/>
  <c r="H117" i="10"/>
  <c r="H126" i="10" s="1"/>
  <c r="H130" i="10" s="1"/>
  <c r="H134" i="10" s="1"/>
  <c r="G117" i="10"/>
  <c r="I116" i="10"/>
  <c r="I115" i="10"/>
  <c r="I114" i="10"/>
  <c r="I117" i="10" s="1"/>
  <c r="I113" i="10"/>
  <c r="I112" i="10"/>
  <c r="I111" i="10"/>
  <c r="H107" i="10"/>
  <c r="H108" i="10" s="1"/>
  <c r="G107" i="10"/>
  <c r="I106" i="10"/>
  <c r="I105" i="10"/>
  <c r="I102" i="10"/>
  <c r="I107" i="10" s="1"/>
  <c r="I101" i="10"/>
  <c r="H100" i="10"/>
  <c r="G100" i="10"/>
  <c r="I99" i="10"/>
  <c r="I98" i="10"/>
  <c r="I100" i="10" s="1"/>
  <c r="I97" i="10"/>
  <c r="I96" i="10"/>
  <c r="I95" i="10"/>
  <c r="H94" i="10"/>
  <c r="G94" i="10"/>
  <c r="I93" i="10"/>
  <c r="I92" i="10"/>
  <c r="I91" i="10"/>
  <c r="I90" i="10"/>
  <c r="I89" i="10"/>
  <c r="I88" i="10"/>
  <c r="I87" i="10"/>
  <c r="I86" i="10"/>
  <c r="I85" i="10"/>
  <c r="I84" i="10"/>
  <c r="I94" i="10" s="1"/>
  <c r="I83" i="10"/>
  <c r="H82" i="10"/>
  <c r="G82" i="10"/>
  <c r="G108" i="10" s="1"/>
  <c r="I81" i="10"/>
  <c r="I80" i="10"/>
  <c r="I79" i="10"/>
  <c r="I78" i="10"/>
  <c r="I77" i="10"/>
  <c r="I76" i="10"/>
  <c r="I82" i="10" s="1"/>
  <c r="I75" i="10"/>
  <c r="H74" i="10"/>
  <c r="G74" i="10"/>
  <c r="I73" i="10"/>
  <c r="I72" i="10"/>
  <c r="I74" i="10" s="1"/>
  <c r="I71" i="10"/>
  <c r="I70" i="10"/>
  <c r="I69" i="10"/>
  <c r="I68" i="10"/>
  <c r="H63" i="10"/>
  <c r="G63" i="10"/>
  <c r="I62" i="10"/>
  <c r="I61" i="10"/>
  <c r="I63" i="10" s="1"/>
  <c r="I60" i="10"/>
  <c r="I59" i="10"/>
  <c r="H56" i="10"/>
  <c r="H57" i="10" s="1"/>
  <c r="G56" i="10"/>
  <c r="I55" i="10"/>
  <c r="I54" i="10"/>
  <c r="I53" i="10"/>
  <c r="I52" i="10"/>
  <c r="I51" i="10"/>
  <c r="I50" i="10"/>
  <c r="I49" i="10"/>
  <c r="I48" i="10"/>
  <c r="I47" i="10"/>
  <c r="I56" i="10" s="1"/>
  <c r="H46" i="10"/>
  <c r="G46" i="10"/>
  <c r="I45" i="10"/>
  <c r="G45" i="10"/>
  <c r="I44" i="10"/>
  <c r="I43" i="10"/>
  <c r="I42" i="10"/>
  <c r="I46" i="10" s="1"/>
  <c r="H42" i="10"/>
  <c r="H41" i="10"/>
  <c r="G41" i="10"/>
  <c r="G57" i="10" s="1"/>
  <c r="I40" i="10"/>
  <c r="I39" i="10"/>
  <c r="I38" i="10"/>
  <c r="I37" i="10"/>
  <c r="G37" i="10"/>
  <c r="I36" i="10"/>
  <c r="I35" i="10"/>
  <c r="I34" i="10"/>
  <c r="I41" i="10" s="1"/>
  <c r="H32" i="10"/>
  <c r="G32" i="10"/>
  <c r="I31" i="10"/>
  <c r="I30" i="10"/>
  <c r="I29" i="10"/>
  <c r="I28" i="10"/>
  <c r="I27" i="10"/>
  <c r="I26" i="10"/>
  <c r="I25" i="10"/>
  <c r="I24" i="10"/>
  <c r="I23" i="10"/>
  <c r="I22" i="10"/>
  <c r="I21" i="10"/>
  <c r="I20" i="10"/>
  <c r="I19" i="10"/>
  <c r="I18" i="10"/>
  <c r="I32" i="10" s="1"/>
  <c r="I17" i="10"/>
  <c r="H16" i="10"/>
  <c r="H33" i="10" s="1"/>
  <c r="H109" i="10" s="1"/>
  <c r="G15" i="10"/>
  <c r="I15" i="10" s="1"/>
  <c r="I14" i="10"/>
  <c r="I13" i="10"/>
  <c r="G13" i="10"/>
  <c r="I12" i="10"/>
  <c r="G11" i="10"/>
  <c r="I11" i="10" s="1"/>
  <c r="I16" i="10" s="1"/>
  <c r="G10" i="10"/>
  <c r="I10" i="10" s="1"/>
  <c r="H9" i="10"/>
  <c r="H58" i="10" s="1"/>
  <c r="H64" i="10" s="1"/>
  <c r="I8" i="10"/>
  <c r="G8" i="10"/>
  <c r="I7" i="10"/>
  <c r="I9" i="10" s="1"/>
  <c r="G7" i="10"/>
  <c r="G9" i="10" s="1"/>
  <c r="I129" i="9"/>
  <c r="I128" i="9"/>
  <c r="I127" i="9"/>
  <c r="G126" i="9"/>
  <c r="G130" i="9" s="1"/>
  <c r="G134" i="9" s="1"/>
  <c r="I125" i="9"/>
  <c r="I124" i="9"/>
  <c r="I123" i="9"/>
  <c r="I122" i="9"/>
  <c r="H122" i="9"/>
  <c r="G121" i="9"/>
  <c r="I121" i="9" s="1"/>
  <c r="I120" i="9"/>
  <c r="I119" i="9"/>
  <c r="I118" i="9"/>
  <c r="H117" i="9"/>
  <c r="H126" i="9" s="1"/>
  <c r="H130" i="9" s="1"/>
  <c r="H134" i="9" s="1"/>
  <c r="G117" i="9"/>
  <c r="I116" i="9"/>
  <c r="I115" i="9"/>
  <c r="I114" i="9"/>
  <c r="I113" i="9"/>
  <c r="I117" i="9" s="1"/>
  <c r="I112" i="9"/>
  <c r="I111" i="9"/>
  <c r="H107" i="9"/>
  <c r="G107" i="9"/>
  <c r="I106" i="9"/>
  <c r="I105" i="9"/>
  <c r="I104" i="9"/>
  <c r="I103" i="9"/>
  <c r="I102" i="9"/>
  <c r="I107" i="9" s="1"/>
  <c r="I101" i="9"/>
  <c r="H100" i="9"/>
  <c r="H110" i="9" s="1"/>
  <c r="G100" i="9"/>
  <c r="G108" i="9" s="1"/>
  <c r="I99" i="9"/>
  <c r="I98" i="9"/>
  <c r="I97" i="9"/>
  <c r="I96" i="9"/>
  <c r="I95" i="9"/>
  <c r="I100" i="9" s="1"/>
  <c r="H94" i="9"/>
  <c r="G94" i="9"/>
  <c r="G109" i="9" s="1"/>
  <c r="I93" i="9"/>
  <c r="I92" i="9"/>
  <c r="I91" i="9"/>
  <c r="I90" i="9"/>
  <c r="I89" i="9"/>
  <c r="I88" i="9"/>
  <c r="I87" i="9"/>
  <c r="I86" i="9"/>
  <c r="I85" i="9"/>
  <c r="I84" i="9"/>
  <c r="I83" i="9"/>
  <c r="I94" i="9" s="1"/>
  <c r="H82" i="9"/>
  <c r="G82" i="9"/>
  <c r="I81" i="9"/>
  <c r="I80" i="9"/>
  <c r="I79" i="9"/>
  <c r="I78" i="9"/>
  <c r="I77" i="9"/>
  <c r="I76" i="9"/>
  <c r="I82" i="9" s="1"/>
  <c r="I75" i="9"/>
  <c r="H74" i="9"/>
  <c r="G74" i="9"/>
  <c r="I73" i="9"/>
  <c r="I74" i="9" s="1"/>
  <c r="I72" i="9"/>
  <c r="I71" i="9"/>
  <c r="I70" i="9"/>
  <c r="I69" i="9"/>
  <c r="I68" i="9"/>
  <c r="H63" i="9"/>
  <c r="G63" i="9"/>
  <c r="I62" i="9"/>
  <c r="I61" i="9"/>
  <c r="I63" i="9" s="1"/>
  <c r="I60" i="9"/>
  <c r="I59" i="9"/>
  <c r="H56" i="9"/>
  <c r="H57" i="9" s="1"/>
  <c r="G56" i="9"/>
  <c r="G57" i="9" s="1"/>
  <c r="I55" i="9"/>
  <c r="I54" i="9"/>
  <c r="I53" i="9"/>
  <c r="I52" i="9"/>
  <c r="I51" i="9"/>
  <c r="I50" i="9"/>
  <c r="I49" i="9"/>
  <c r="I48" i="9"/>
  <c r="I56" i="9" s="1"/>
  <c r="I47" i="9"/>
  <c r="H46" i="9"/>
  <c r="G46" i="9"/>
  <c r="I45" i="9"/>
  <c r="I44" i="9"/>
  <c r="I43" i="9"/>
  <c r="I42" i="9"/>
  <c r="I46" i="9" s="1"/>
  <c r="H41" i="9"/>
  <c r="G41" i="9"/>
  <c r="I40" i="9"/>
  <c r="I39" i="9"/>
  <c r="I38" i="9"/>
  <c r="I37" i="9"/>
  <c r="I36" i="9"/>
  <c r="I35" i="9"/>
  <c r="I34" i="9"/>
  <c r="I41" i="9" s="1"/>
  <c r="H32" i="9"/>
  <c r="H33" i="9" s="1"/>
  <c r="H109" i="9" s="1"/>
  <c r="G32" i="9"/>
  <c r="G33" i="9" s="1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32" i="9" s="1"/>
  <c r="I33" i="9" s="1"/>
  <c r="I17" i="9"/>
  <c r="H16" i="9"/>
  <c r="G16" i="9"/>
  <c r="I15" i="9"/>
  <c r="I14" i="9"/>
  <c r="I13" i="9"/>
  <c r="I12" i="9"/>
  <c r="I11" i="9"/>
  <c r="I16" i="9" s="1"/>
  <c r="I10" i="9"/>
  <c r="H9" i="9"/>
  <c r="G9" i="9"/>
  <c r="I8" i="9"/>
  <c r="I7" i="9"/>
  <c r="I9" i="9" s="1"/>
  <c r="H133" i="15" l="1"/>
  <c r="H131" i="15"/>
  <c r="H136" i="15" s="1"/>
  <c r="G109" i="15"/>
  <c r="G110" i="15"/>
  <c r="H109" i="15"/>
  <c r="H57" i="15"/>
  <c r="H110" i="15" s="1"/>
  <c r="G108" i="15"/>
  <c r="H109" i="14"/>
  <c r="G58" i="14"/>
  <c r="G64" i="14" s="1"/>
  <c r="H110" i="14"/>
  <c r="G33" i="14"/>
  <c r="G109" i="14"/>
  <c r="G110" i="14"/>
  <c r="G108" i="14"/>
  <c r="H108" i="14"/>
  <c r="H109" i="13"/>
  <c r="G109" i="13"/>
  <c r="G58" i="13"/>
  <c r="G64" i="13" s="1"/>
  <c r="G108" i="13"/>
  <c r="H108" i="13"/>
  <c r="G33" i="12"/>
  <c r="G109" i="12" s="1"/>
  <c r="H109" i="12"/>
  <c r="G57" i="12"/>
  <c r="G110" i="12" s="1"/>
  <c r="G108" i="12"/>
  <c r="H108" i="12"/>
  <c r="H58" i="11"/>
  <c r="H64" i="11" s="1"/>
  <c r="I108" i="11"/>
  <c r="I110" i="11"/>
  <c r="H126" i="11"/>
  <c r="H130" i="11" s="1"/>
  <c r="H134" i="11" s="1"/>
  <c r="G131" i="11"/>
  <c r="G136" i="11" s="1"/>
  <c r="I33" i="11"/>
  <c r="I57" i="11"/>
  <c r="I58" i="11"/>
  <c r="I64" i="11" s="1"/>
  <c r="G109" i="11"/>
  <c r="H9" i="11"/>
  <c r="G58" i="11"/>
  <c r="G64" i="11" s="1"/>
  <c r="H16" i="11"/>
  <c r="H33" i="11" s="1"/>
  <c r="H74" i="11"/>
  <c r="H109" i="11" s="1"/>
  <c r="I109" i="11" s="1"/>
  <c r="H122" i="11"/>
  <c r="I122" i="11" s="1"/>
  <c r="I126" i="11" s="1"/>
  <c r="I130" i="11" s="1"/>
  <c r="I134" i="11" s="1"/>
  <c r="G58" i="10"/>
  <c r="G64" i="10" s="1"/>
  <c r="I33" i="10"/>
  <c r="I108" i="10"/>
  <c r="H131" i="10"/>
  <c r="H136" i="10" s="1"/>
  <c r="H133" i="10"/>
  <c r="G33" i="10"/>
  <c r="G109" i="10" s="1"/>
  <c r="I109" i="10" s="1"/>
  <c r="I58" i="10"/>
  <c r="I64" i="10" s="1"/>
  <c r="I57" i="10"/>
  <c r="G133" i="10"/>
  <c r="G110" i="10"/>
  <c r="H110" i="10"/>
  <c r="I110" i="10" s="1"/>
  <c r="G122" i="10"/>
  <c r="G126" i="10" s="1"/>
  <c r="G130" i="10" s="1"/>
  <c r="G134" i="10" s="1"/>
  <c r="G16" i="10"/>
  <c r="I108" i="9"/>
  <c r="I109" i="9"/>
  <c r="G131" i="9"/>
  <c r="G136" i="9" s="1"/>
  <c r="G110" i="9"/>
  <c r="I126" i="9"/>
  <c r="I58" i="9"/>
  <c r="I64" i="9" s="1"/>
  <c r="I57" i="9"/>
  <c r="I110" i="9"/>
  <c r="I130" i="9"/>
  <c r="I134" i="9" s="1"/>
  <c r="G58" i="9"/>
  <c r="G64" i="9" s="1"/>
  <c r="H108" i="9"/>
  <c r="H58" i="9"/>
  <c r="H64" i="9" s="1"/>
  <c r="G133" i="15" l="1"/>
  <c r="G131" i="15"/>
  <c r="G136" i="15" s="1"/>
  <c r="H133" i="14"/>
  <c r="H131" i="14"/>
  <c r="H136" i="14" s="1"/>
  <c r="G133" i="14"/>
  <c r="G131" i="14"/>
  <c r="G136" i="14" s="1"/>
  <c r="G131" i="13"/>
  <c r="G136" i="13" s="1"/>
  <c r="G133" i="13"/>
  <c r="H133" i="13"/>
  <c r="H131" i="13"/>
  <c r="H136" i="13" s="1"/>
  <c r="G133" i="12"/>
  <c r="G131" i="12"/>
  <c r="G136" i="12" s="1"/>
  <c r="H133" i="12"/>
  <c r="H131" i="12"/>
  <c r="H136" i="12" s="1"/>
  <c r="H108" i="11"/>
  <c r="G133" i="11"/>
  <c r="I131" i="11"/>
  <c r="I136" i="11" s="1"/>
  <c r="I133" i="11"/>
  <c r="G131" i="10"/>
  <c r="G136" i="10" s="1"/>
  <c r="I131" i="10"/>
  <c r="I136" i="10" s="1"/>
  <c r="I133" i="10"/>
  <c r="I122" i="10"/>
  <c r="I126" i="10" s="1"/>
  <c r="I130" i="10" s="1"/>
  <c r="I134" i="10" s="1"/>
  <c r="I131" i="9"/>
  <c r="I136" i="9" s="1"/>
  <c r="I133" i="9"/>
  <c r="H131" i="9"/>
  <c r="H136" i="9" s="1"/>
  <c r="H133" i="9"/>
  <c r="G133" i="9"/>
  <c r="H101" i="8"/>
  <c r="G101" i="8"/>
  <c r="H131" i="11" l="1"/>
  <c r="H136" i="11" s="1"/>
  <c r="H133" i="11"/>
  <c r="G12" i="7"/>
  <c r="AW29" i="8"/>
  <c r="AQ29" i="8"/>
  <c r="K8" i="8"/>
  <c r="AG40" i="25"/>
  <c r="AG37" i="25" l="1"/>
  <c r="W10" i="25"/>
  <c r="W7" i="25"/>
  <c r="S12" i="25"/>
  <c r="Q15" i="25"/>
  <c r="Q14" i="25"/>
  <c r="M15" i="25"/>
  <c r="I22" i="7" l="1"/>
  <c r="W45" i="25" l="1"/>
  <c r="W42" i="25"/>
  <c r="V45" i="25"/>
  <c r="V42" i="25"/>
  <c r="M40" i="25"/>
  <c r="M35" i="25"/>
  <c r="I132" i="3" l="1"/>
  <c r="F15" i="6"/>
  <c r="K29" i="8" l="1"/>
  <c r="H29" i="8"/>
  <c r="G14" i="7"/>
  <c r="G20" i="7"/>
  <c r="K113" i="8"/>
  <c r="U15" i="25"/>
  <c r="H12" i="25"/>
  <c r="J28" i="3"/>
  <c r="J54" i="3"/>
  <c r="J70" i="3"/>
  <c r="J74" i="3"/>
  <c r="J78" i="3"/>
  <c r="J145" i="3"/>
  <c r="I149" i="3"/>
  <c r="I62" i="3"/>
  <c r="I71" i="3"/>
  <c r="I125" i="3"/>
  <c r="I118" i="3"/>
  <c r="I112" i="3"/>
  <c r="I100" i="3"/>
  <c r="I86" i="3"/>
  <c r="I92" i="3" s="1"/>
  <c r="I56" i="3"/>
  <c r="I46" i="3"/>
  <c r="I41" i="3"/>
  <c r="I32" i="3"/>
  <c r="I16" i="3"/>
  <c r="I9" i="3"/>
  <c r="H113" i="8"/>
  <c r="E68" i="5"/>
  <c r="G68" i="5"/>
  <c r="E40" i="5"/>
  <c r="F40" i="5"/>
  <c r="G40" i="5"/>
  <c r="G56" i="25"/>
  <c r="H56" i="25"/>
  <c r="G63" i="25"/>
  <c r="H63" i="25"/>
  <c r="G122" i="25"/>
  <c r="H121" i="25"/>
  <c r="G121" i="25"/>
  <c r="H120" i="25"/>
  <c r="G120" i="25"/>
  <c r="H119" i="25"/>
  <c r="G119" i="25"/>
  <c r="H118" i="25"/>
  <c r="G118" i="25"/>
  <c r="H116" i="25"/>
  <c r="G116" i="25"/>
  <c r="H115" i="25"/>
  <c r="G115" i="25"/>
  <c r="H114" i="25"/>
  <c r="I114" i="25" s="1"/>
  <c r="G114" i="25"/>
  <c r="H113" i="25"/>
  <c r="G138" i="3" s="1"/>
  <c r="G113" i="25"/>
  <c r="H44" i="25"/>
  <c r="I44" i="25" s="1"/>
  <c r="G44" i="25"/>
  <c r="H43" i="25"/>
  <c r="G43" i="25"/>
  <c r="H39" i="25"/>
  <c r="G39" i="25"/>
  <c r="H38" i="25"/>
  <c r="I38" i="25" s="1"/>
  <c r="G38" i="25"/>
  <c r="H36" i="25"/>
  <c r="G36" i="25"/>
  <c r="H35" i="25"/>
  <c r="G35" i="25"/>
  <c r="H34" i="25"/>
  <c r="G34" i="25"/>
  <c r="H29" i="25"/>
  <c r="I29" i="25" s="1"/>
  <c r="G29" i="25"/>
  <c r="H28" i="25"/>
  <c r="G28" i="25"/>
  <c r="H27" i="25"/>
  <c r="I27" i="25" s="1"/>
  <c r="G27" i="25"/>
  <c r="H26" i="25"/>
  <c r="G26" i="25"/>
  <c r="H25" i="25"/>
  <c r="I25" i="25" s="1"/>
  <c r="G25" i="25"/>
  <c r="H24" i="25"/>
  <c r="G24" i="25"/>
  <c r="G23" i="25"/>
  <c r="H22" i="25"/>
  <c r="G22" i="25"/>
  <c r="H21" i="25"/>
  <c r="G21" i="25"/>
  <c r="I21" i="25" s="1"/>
  <c r="H20" i="25"/>
  <c r="G20" i="25"/>
  <c r="H19" i="25"/>
  <c r="G19" i="25"/>
  <c r="G32" i="25" s="1"/>
  <c r="G14" i="25"/>
  <c r="G12" i="25"/>
  <c r="H11" i="25"/>
  <c r="G11" i="25"/>
  <c r="G8" i="25"/>
  <c r="I115" i="25"/>
  <c r="I101" i="25"/>
  <c r="I82" i="25"/>
  <c r="I67" i="25"/>
  <c r="I63" i="25"/>
  <c r="I56" i="25"/>
  <c r="I39" i="25"/>
  <c r="I36" i="25"/>
  <c r="I26" i="25"/>
  <c r="I22" i="25"/>
  <c r="I19" i="25"/>
  <c r="O73" i="25"/>
  <c r="O74" i="25" s="1"/>
  <c r="M122" i="25"/>
  <c r="H122" i="25" s="1"/>
  <c r="I122" i="25" s="1"/>
  <c r="AG75" i="25"/>
  <c r="AI75" i="25"/>
  <c r="U126" i="25"/>
  <c r="U130" i="25"/>
  <c r="K117" i="25"/>
  <c r="K126" i="25" s="1"/>
  <c r="K130" i="25" s="1"/>
  <c r="L117" i="25"/>
  <c r="M117" i="25"/>
  <c r="N117" i="25"/>
  <c r="N126" i="25" s="1"/>
  <c r="N130" i="25" s="1"/>
  <c r="O117" i="25"/>
  <c r="O126" i="25" s="1"/>
  <c r="O130" i="25" s="1"/>
  <c r="P117" i="25"/>
  <c r="P126" i="25" s="1"/>
  <c r="P130" i="25" s="1"/>
  <c r="Q117" i="25"/>
  <c r="Q126" i="25" s="1"/>
  <c r="Q130" i="25" s="1"/>
  <c r="R117" i="25"/>
  <c r="R126" i="25" s="1"/>
  <c r="R130" i="25" s="1"/>
  <c r="S117" i="25"/>
  <c r="S126" i="25" s="1"/>
  <c r="S130" i="25" s="1"/>
  <c r="T117" i="25"/>
  <c r="T126" i="25" s="1"/>
  <c r="T130" i="25" s="1"/>
  <c r="U117" i="25"/>
  <c r="V117" i="25"/>
  <c r="V126" i="25" s="1"/>
  <c r="V130" i="25" s="1"/>
  <c r="W117" i="25"/>
  <c r="W126" i="25" s="1"/>
  <c r="W130" i="25" s="1"/>
  <c r="X117" i="25"/>
  <c r="X126" i="25" s="1"/>
  <c r="X130" i="25" s="1"/>
  <c r="Y117" i="25"/>
  <c r="Y126" i="25" s="1"/>
  <c r="Y130" i="25" s="1"/>
  <c r="Z117" i="25"/>
  <c r="Z126" i="25" s="1"/>
  <c r="Z130" i="25" s="1"/>
  <c r="AA117" i="25"/>
  <c r="AA126" i="25" s="1"/>
  <c r="AA130" i="25" s="1"/>
  <c r="AB117" i="25"/>
  <c r="AB126" i="25" s="1"/>
  <c r="AB130" i="25" s="1"/>
  <c r="AC117" i="25"/>
  <c r="AC126" i="25" s="1"/>
  <c r="AC130" i="25" s="1"/>
  <c r="AD117" i="25"/>
  <c r="AD126" i="25" s="1"/>
  <c r="AD130" i="25" s="1"/>
  <c r="AE117" i="25"/>
  <c r="AE126" i="25" s="1"/>
  <c r="AE130" i="25" s="1"/>
  <c r="AF117" i="25"/>
  <c r="AF126" i="25" s="1"/>
  <c r="AF130" i="25" s="1"/>
  <c r="AG117" i="25"/>
  <c r="AG126" i="25" s="1"/>
  <c r="AG130" i="25" s="1"/>
  <c r="AH117" i="25"/>
  <c r="AH126" i="25" s="1"/>
  <c r="AH130" i="25" s="1"/>
  <c r="AI117" i="25"/>
  <c r="AI126" i="25" s="1"/>
  <c r="AI130" i="25" s="1"/>
  <c r="AJ117" i="25"/>
  <c r="AJ126" i="25" s="1"/>
  <c r="AJ130" i="25" s="1"/>
  <c r="AK117" i="25"/>
  <c r="AK126" i="25" s="1"/>
  <c r="AK130" i="25" s="1"/>
  <c r="O75" i="25"/>
  <c r="M75" i="25"/>
  <c r="M45" i="25"/>
  <c r="O42" i="25"/>
  <c r="O45" i="25"/>
  <c r="Y45" i="25"/>
  <c r="Y42" i="25"/>
  <c r="AE42" i="25"/>
  <c r="AE45" i="25"/>
  <c r="AG42" i="25"/>
  <c r="AK42" i="25"/>
  <c r="AK45" i="25"/>
  <c r="AK40" i="25"/>
  <c r="G40" i="25" s="1"/>
  <c r="AK37" i="25"/>
  <c r="G37" i="25" s="1"/>
  <c r="G96" i="6"/>
  <c r="G86" i="6"/>
  <c r="Q45" i="25" s="1"/>
  <c r="F84" i="6"/>
  <c r="F79" i="6"/>
  <c r="AC45" i="25" s="1"/>
  <c r="AA45" i="25"/>
  <c r="AG45" i="25"/>
  <c r="F64" i="6"/>
  <c r="F89" i="6" s="1"/>
  <c r="G59" i="6"/>
  <c r="Q42" i="25" s="1"/>
  <c r="F57" i="6"/>
  <c r="F53" i="6"/>
  <c r="AC42" i="25" s="1"/>
  <c r="F52" i="6"/>
  <c r="AA42" i="25" s="1"/>
  <c r="S40" i="25"/>
  <c r="G42" i="6"/>
  <c r="Q40" i="25" s="1"/>
  <c r="G38" i="6"/>
  <c r="K40" i="25" s="1"/>
  <c r="S37" i="25"/>
  <c r="G24" i="6"/>
  <c r="Q37" i="25" s="1"/>
  <c r="F75" i="5"/>
  <c r="F66" i="5"/>
  <c r="F49" i="6" s="1"/>
  <c r="F74" i="6" s="1"/>
  <c r="F65" i="5"/>
  <c r="F64" i="5"/>
  <c r="F56" i="6" s="1"/>
  <c r="F76" i="6" s="1"/>
  <c r="F48" i="5"/>
  <c r="AI73" i="25" s="1"/>
  <c r="AI74" i="25" s="1"/>
  <c r="F47" i="5"/>
  <c r="AK75" i="25" s="1"/>
  <c r="AK108" i="25" s="1"/>
  <c r="AK131" i="25" s="1"/>
  <c r="AK133" i="25" s="1"/>
  <c r="F46" i="5"/>
  <c r="AC73" i="25" s="1"/>
  <c r="AC74" i="25" s="1"/>
  <c r="F45" i="5"/>
  <c r="AA73" i="25" s="1"/>
  <c r="W73" i="25"/>
  <c r="W74" i="25" s="1"/>
  <c r="W108" i="25" s="1"/>
  <c r="S73" i="25"/>
  <c r="S74" i="25" s="1"/>
  <c r="S108" i="25" s="1"/>
  <c r="Q73" i="25"/>
  <c r="Q74" i="25" s="1"/>
  <c r="E86" i="4"/>
  <c r="E83" i="4"/>
  <c r="G83" i="4" s="1"/>
  <c r="E78" i="4"/>
  <c r="G78" i="4" s="1"/>
  <c r="E74" i="4"/>
  <c r="G74" i="4" s="1"/>
  <c r="E50" i="4"/>
  <c r="G50" i="4" s="1"/>
  <c r="E20" i="4"/>
  <c r="E14" i="4"/>
  <c r="E13" i="4"/>
  <c r="K37" i="25"/>
  <c r="F39" i="25"/>
  <c r="F38" i="25"/>
  <c r="F28" i="25"/>
  <c r="F27" i="25"/>
  <c r="F26" i="25"/>
  <c r="F25" i="25"/>
  <c r="F24" i="25"/>
  <c r="F22" i="25"/>
  <c r="F21" i="25"/>
  <c r="F20" i="25"/>
  <c r="K107" i="25"/>
  <c r="K100" i="25"/>
  <c r="K94" i="25"/>
  <c r="K74" i="25"/>
  <c r="K67" i="25"/>
  <c r="K63" i="25"/>
  <c r="K56" i="25"/>
  <c r="K46" i="25"/>
  <c r="K32" i="25"/>
  <c r="K16" i="25"/>
  <c r="K15" i="25"/>
  <c r="K10" i="25"/>
  <c r="K7" i="25"/>
  <c r="M94" i="25"/>
  <c r="M108" i="25" s="1"/>
  <c r="M74" i="25"/>
  <c r="M67" i="25"/>
  <c r="M63" i="25"/>
  <c r="M56" i="25"/>
  <c r="M41" i="25"/>
  <c r="M23" i="25"/>
  <c r="M32" i="25" s="1"/>
  <c r="M13" i="25"/>
  <c r="M16" i="25" s="1"/>
  <c r="M10" i="25"/>
  <c r="M8" i="25"/>
  <c r="H8" i="25" s="1"/>
  <c r="M7" i="25"/>
  <c r="O100" i="25"/>
  <c r="O94" i="25"/>
  <c r="O67" i="25"/>
  <c r="O63" i="25"/>
  <c r="O56" i="25"/>
  <c r="O41" i="25"/>
  <c r="O32" i="25"/>
  <c r="O16" i="25"/>
  <c r="O10" i="25"/>
  <c r="O9" i="25"/>
  <c r="Q100" i="25"/>
  <c r="Q94" i="25"/>
  <c r="Q67" i="25"/>
  <c r="Q63" i="25"/>
  <c r="Q56" i="25"/>
  <c r="Q32" i="25"/>
  <c r="Q10" i="25"/>
  <c r="Q7" i="25"/>
  <c r="Q9" i="25" s="1"/>
  <c r="S67" i="25"/>
  <c r="S63" i="25"/>
  <c r="S56" i="25"/>
  <c r="S46" i="25"/>
  <c r="S23" i="25"/>
  <c r="S32" i="25" s="1"/>
  <c r="S9" i="25"/>
  <c r="U107" i="25"/>
  <c r="U100" i="25"/>
  <c r="U94" i="25"/>
  <c r="U74" i="25"/>
  <c r="U67" i="25"/>
  <c r="U63" i="25"/>
  <c r="U56" i="25"/>
  <c r="U46" i="25"/>
  <c r="U41" i="25"/>
  <c r="U23" i="25"/>
  <c r="U32" i="25" s="1"/>
  <c r="U14" i="25"/>
  <c r="U13" i="25"/>
  <c r="U10" i="25"/>
  <c r="U7" i="25"/>
  <c r="U9" i="25" s="1"/>
  <c r="W67" i="25"/>
  <c r="W63" i="25"/>
  <c r="W56" i="25"/>
  <c r="W46" i="25"/>
  <c r="W32" i="25"/>
  <c r="W15" i="25"/>
  <c r="W16" i="25" s="1"/>
  <c r="W9" i="25"/>
  <c r="Y107" i="25"/>
  <c r="Y100" i="25"/>
  <c r="Y94" i="25"/>
  <c r="Y74" i="25"/>
  <c r="Y67" i="25"/>
  <c r="Y63" i="25"/>
  <c r="Y56" i="25"/>
  <c r="Y41" i="25"/>
  <c r="Y32" i="25"/>
  <c r="Y16" i="25"/>
  <c r="Y15" i="25"/>
  <c r="Y13" i="25"/>
  <c r="Y10" i="25"/>
  <c r="G10" i="25" s="1"/>
  <c r="Y9" i="25"/>
  <c r="Y7" i="25"/>
  <c r="G7" i="25" s="1"/>
  <c r="G9" i="25" s="1"/>
  <c r="AA67" i="25"/>
  <c r="AA63" i="25"/>
  <c r="AA56" i="25"/>
  <c r="AA41" i="25"/>
  <c r="AA32" i="25"/>
  <c r="AA13" i="25"/>
  <c r="AC107" i="25"/>
  <c r="AC100" i="25"/>
  <c r="AC94" i="25"/>
  <c r="AC67" i="25"/>
  <c r="AC63" i="25"/>
  <c r="AC56" i="25"/>
  <c r="AC41" i="25"/>
  <c r="AC32" i="25"/>
  <c r="AC15" i="25"/>
  <c r="AC13" i="25"/>
  <c r="AC16" i="25" s="1"/>
  <c r="AE107" i="25"/>
  <c r="AE100" i="25"/>
  <c r="AE94" i="25"/>
  <c r="AE74" i="25"/>
  <c r="AE67" i="25"/>
  <c r="AE63" i="25"/>
  <c r="AE56" i="25"/>
  <c r="AE41" i="25"/>
  <c r="AE32" i="25"/>
  <c r="AE16" i="25"/>
  <c r="AE13" i="25"/>
  <c r="AG107" i="25"/>
  <c r="AG100" i="25"/>
  <c r="AG94" i="25"/>
  <c r="AG74" i="25"/>
  <c r="AG67" i="25"/>
  <c r="AG63" i="25"/>
  <c r="AG56" i="25"/>
  <c r="AG41" i="25"/>
  <c r="AG32" i="25"/>
  <c r="AG13" i="25"/>
  <c r="AI107" i="25"/>
  <c r="AI100" i="25"/>
  <c r="AI94" i="25"/>
  <c r="AI67" i="25"/>
  <c r="AI63" i="25"/>
  <c r="AI56" i="25"/>
  <c r="AI41" i="25"/>
  <c r="AI32" i="25"/>
  <c r="AI15" i="25"/>
  <c r="AI13" i="25"/>
  <c r="AI16" i="25" s="1"/>
  <c r="AK74" i="25"/>
  <c r="AK67" i="25"/>
  <c r="AK63" i="25"/>
  <c r="AK56" i="25"/>
  <c r="AK32" i="25"/>
  <c r="AK15" i="25"/>
  <c r="AK13" i="25"/>
  <c r="AK9" i="25"/>
  <c r="O2" i="25"/>
  <c r="O1" i="25"/>
  <c r="F60" i="18"/>
  <c r="F61" i="18" s="1"/>
  <c r="F19" i="18"/>
  <c r="F20" i="18" s="1"/>
  <c r="E26" i="17"/>
  <c r="E10" i="17"/>
  <c r="E11" i="17" s="1"/>
  <c r="T14" i="16"/>
  <c r="T15" i="16"/>
  <c r="T16" i="16"/>
  <c r="T17" i="16"/>
  <c r="T18" i="16"/>
  <c r="T19" i="16"/>
  <c r="T20" i="16"/>
  <c r="T21" i="16"/>
  <c r="T22" i="16"/>
  <c r="T23" i="16"/>
  <c r="D27" i="16"/>
  <c r="T27" i="16" s="1"/>
  <c r="D26" i="16"/>
  <c r="T26" i="16" s="1"/>
  <c r="H20" i="7"/>
  <c r="H14" i="7"/>
  <c r="K114" i="8"/>
  <c r="G114" i="8" s="1"/>
  <c r="W84" i="8"/>
  <c r="G84" i="8" s="1"/>
  <c r="M86" i="8"/>
  <c r="G86" i="8" s="1"/>
  <c r="G85" i="8"/>
  <c r="H114" i="8"/>
  <c r="G139" i="3" s="1"/>
  <c r="H106" i="8"/>
  <c r="G106" i="8"/>
  <c r="H97" i="8"/>
  <c r="G97" i="8"/>
  <c r="H96" i="8"/>
  <c r="G96" i="8"/>
  <c r="H95" i="8"/>
  <c r="G95" i="8"/>
  <c r="H93" i="8"/>
  <c r="G93" i="8"/>
  <c r="H92" i="8"/>
  <c r="G92" i="8"/>
  <c r="H91" i="8"/>
  <c r="G91" i="8"/>
  <c r="H90" i="8"/>
  <c r="G90" i="8"/>
  <c r="H89" i="8"/>
  <c r="G89" i="8"/>
  <c r="H88" i="8"/>
  <c r="G88" i="8"/>
  <c r="H87" i="8"/>
  <c r="G87" i="8"/>
  <c r="H86" i="8"/>
  <c r="H85" i="8"/>
  <c r="H84" i="8"/>
  <c r="H83" i="8"/>
  <c r="G83" i="8"/>
  <c r="H75" i="8"/>
  <c r="G75" i="8"/>
  <c r="H73" i="8"/>
  <c r="G73" i="8"/>
  <c r="H45" i="8"/>
  <c r="G45" i="8"/>
  <c r="H44" i="8"/>
  <c r="G44" i="8"/>
  <c r="H43" i="8"/>
  <c r="G43" i="8"/>
  <c r="H42" i="8"/>
  <c r="G42" i="8"/>
  <c r="H40" i="8"/>
  <c r="G40" i="8"/>
  <c r="H39" i="8"/>
  <c r="G39" i="8"/>
  <c r="H38" i="8"/>
  <c r="G38" i="8"/>
  <c r="H37" i="8"/>
  <c r="G37" i="8"/>
  <c r="H28" i="8"/>
  <c r="G28" i="8"/>
  <c r="H27" i="8"/>
  <c r="G27" i="8"/>
  <c r="H26" i="8"/>
  <c r="G26" i="8"/>
  <c r="H25" i="8"/>
  <c r="G25" i="8"/>
  <c r="H24" i="8"/>
  <c r="G24" i="8"/>
  <c r="H23" i="8"/>
  <c r="G23" i="8"/>
  <c r="H22" i="8"/>
  <c r="G22" i="3" s="1"/>
  <c r="G22" i="8"/>
  <c r="F22" i="3" s="1"/>
  <c r="H21" i="8"/>
  <c r="G21" i="3" s="1"/>
  <c r="G21" i="8"/>
  <c r="F21" i="3" s="1"/>
  <c r="H20" i="8"/>
  <c r="G20" i="3" s="1"/>
  <c r="G20" i="8"/>
  <c r="F20" i="3" s="1"/>
  <c r="H19" i="8"/>
  <c r="G19" i="3" s="1"/>
  <c r="H15" i="8"/>
  <c r="H14" i="8"/>
  <c r="G14" i="8"/>
  <c r="H13" i="8"/>
  <c r="H12" i="8"/>
  <c r="G12" i="8"/>
  <c r="H11" i="8"/>
  <c r="G11" i="8"/>
  <c r="H10" i="8"/>
  <c r="H8" i="8"/>
  <c r="G8" i="8"/>
  <c r="F8" i="3" s="1"/>
  <c r="E7" i="8"/>
  <c r="H7" i="8"/>
  <c r="H9" i="8" s="1"/>
  <c r="G7" i="8"/>
  <c r="I7" i="8" s="1"/>
  <c r="AK29" i="8"/>
  <c r="G29" i="8" s="1"/>
  <c r="AI15" i="8"/>
  <c r="AG15" i="8"/>
  <c r="AE15" i="8"/>
  <c r="AE13" i="8"/>
  <c r="AC13" i="8"/>
  <c r="AA15" i="8"/>
  <c r="Y13" i="8"/>
  <c r="W16" i="8"/>
  <c r="U16" i="8"/>
  <c r="S16" i="8"/>
  <c r="O16" i="8"/>
  <c r="M15" i="8"/>
  <c r="M13" i="8"/>
  <c r="K19" i="8"/>
  <c r="K10" i="8"/>
  <c r="G10" i="8" s="1"/>
  <c r="K9" i="8"/>
  <c r="H72" i="8"/>
  <c r="G72" i="8"/>
  <c r="H71" i="8"/>
  <c r="G71" i="8"/>
  <c r="H70" i="8"/>
  <c r="G70" i="8"/>
  <c r="H69" i="8"/>
  <c r="G69" i="8"/>
  <c r="H68" i="8"/>
  <c r="G68" i="8"/>
  <c r="H129" i="8"/>
  <c r="G129" i="8"/>
  <c r="H128" i="8"/>
  <c r="G128" i="8"/>
  <c r="H127" i="8"/>
  <c r="G127" i="8"/>
  <c r="H125" i="8"/>
  <c r="G125" i="8"/>
  <c r="H124" i="8"/>
  <c r="G124" i="8"/>
  <c r="H123" i="8"/>
  <c r="G123" i="8"/>
  <c r="H122" i="8"/>
  <c r="H121" i="8"/>
  <c r="H120" i="8"/>
  <c r="G120" i="8"/>
  <c r="G122" i="8" s="1"/>
  <c r="H119" i="8"/>
  <c r="G119" i="8"/>
  <c r="H118" i="8"/>
  <c r="G118" i="8"/>
  <c r="H116" i="8"/>
  <c r="G116" i="8"/>
  <c r="H115" i="8"/>
  <c r="G115" i="8"/>
  <c r="H112" i="8"/>
  <c r="G112" i="8"/>
  <c r="H111" i="8"/>
  <c r="G111" i="8"/>
  <c r="H105" i="8"/>
  <c r="G105" i="8"/>
  <c r="H104" i="8"/>
  <c r="G104" i="8"/>
  <c r="H103" i="8"/>
  <c r="G103" i="8"/>
  <c r="H102" i="8"/>
  <c r="G102" i="8"/>
  <c r="D101" i="8"/>
  <c r="H99" i="8"/>
  <c r="G99" i="8"/>
  <c r="H98" i="8"/>
  <c r="G98" i="8"/>
  <c r="H81" i="8"/>
  <c r="G81" i="8"/>
  <c r="H80" i="8"/>
  <c r="G80" i="8"/>
  <c r="H79" i="8"/>
  <c r="G79" i="8"/>
  <c r="H78" i="8"/>
  <c r="G78" i="8"/>
  <c r="H77" i="8"/>
  <c r="G77" i="8"/>
  <c r="H76" i="8"/>
  <c r="H82" i="8" s="1"/>
  <c r="G76" i="8"/>
  <c r="G82" i="8" s="1"/>
  <c r="H62" i="8"/>
  <c r="G62" i="8"/>
  <c r="H61" i="8"/>
  <c r="G61" i="8"/>
  <c r="H60" i="8"/>
  <c r="G60" i="8"/>
  <c r="H59" i="8"/>
  <c r="G59" i="8"/>
  <c r="H55" i="8"/>
  <c r="G55" i="8"/>
  <c r="H54" i="8"/>
  <c r="G54" i="8"/>
  <c r="H53" i="8"/>
  <c r="G53" i="8"/>
  <c r="H52" i="8"/>
  <c r="G52" i="8"/>
  <c r="H51" i="8"/>
  <c r="G51" i="3" s="1"/>
  <c r="G51" i="8"/>
  <c r="F51" i="3" s="1"/>
  <c r="H50" i="8"/>
  <c r="G50" i="8"/>
  <c r="F50" i="3" s="1"/>
  <c r="H49" i="8"/>
  <c r="G49" i="8"/>
  <c r="H48" i="8"/>
  <c r="G48" i="8"/>
  <c r="G56" i="8" s="1"/>
  <c r="H47" i="8"/>
  <c r="G47" i="8"/>
  <c r="H36" i="8"/>
  <c r="G36" i="8"/>
  <c r="H35" i="8"/>
  <c r="G35" i="8"/>
  <c r="H34" i="8"/>
  <c r="G34" i="8"/>
  <c r="H31" i="8"/>
  <c r="G31" i="8"/>
  <c r="H30" i="8"/>
  <c r="G30" i="8"/>
  <c r="H18" i="8"/>
  <c r="G18" i="3" s="1"/>
  <c r="G18" i="8"/>
  <c r="F18" i="3" s="1"/>
  <c r="H17" i="8"/>
  <c r="G17" i="3" s="1"/>
  <c r="G17" i="8"/>
  <c r="F17" i="3" s="1"/>
  <c r="E23" i="7"/>
  <c r="F23" i="7"/>
  <c r="G23" i="7"/>
  <c r="H23" i="7"/>
  <c r="I23" i="7"/>
  <c r="H74" i="25" l="1"/>
  <c r="G75" i="25"/>
  <c r="I35" i="25"/>
  <c r="G50" i="3"/>
  <c r="F12" i="3"/>
  <c r="AE33" i="25"/>
  <c r="G15" i="25"/>
  <c r="H14" i="25"/>
  <c r="G14" i="3" s="1"/>
  <c r="K108" i="25"/>
  <c r="E56" i="4"/>
  <c r="G56" i="4" s="1"/>
  <c r="F50" i="6"/>
  <c r="F75" i="6" s="1"/>
  <c r="M126" i="25"/>
  <c r="M130" i="25" s="1"/>
  <c r="I11" i="25"/>
  <c r="I34" i="25"/>
  <c r="AI33" i="25"/>
  <c r="AG108" i="25"/>
  <c r="AG131" i="25" s="1"/>
  <c r="AC33" i="25"/>
  <c r="U108" i="25"/>
  <c r="U131" i="25" s="1"/>
  <c r="H10" i="25"/>
  <c r="I10" i="25" s="1"/>
  <c r="H117" i="25"/>
  <c r="H16" i="8"/>
  <c r="F23" i="3"/>
  <c r="F11" i="3"/>
  <c r="AK16" i="25"/>
  <c r="U57" i="25"/>
  <c r="U110" i="25" s="1"/>
  <c r="H15" i="25"/>
  <c r="I15" i="25" s="1"/>
  <c r="E23" i="4"/>
  <c r="H75" i="25"/>
  <c r="I75" i="25" s="1"/>
  <c r="O108" i="25"/>
  <c r="O131" i="25" s="1"/>
  <c r="I113" i="25"/>
  <c r="I117" i="25" s="1"/>
  <c r="Y16" i="8"/>
  <c r="G13" i="8"/>
  <c r="Q108" i="25"/>
  <c r="AC108" i="25"/>
  <c r="AC131" i="25" s="1"/>
  <c r="AC133" i="25" s="1"/>
  <c r="G73" i="25"/>
  <c r="AA74" i="25"/>
  <c r="AI42" i="25"/>
  <c r="F82" i="6"/>
  <c r="AI45" i="25" s="1"/>
  <c r="G45" i="25" s="1"/>
  <c r="K32" i="8"/>
  <c r="G19" i="8"/>
  <c r="F19" i="3" s="1"/>
  <c r="G8" i="3"/>
  <c r="G13" i="25"/>
  <c r="G16" i="25" s="1"/>
  <c r="G33" i="25" s="1"/>
  <c r="H13" i="25"/>
  <c r="G13" i="3" s="1"/>
  <c r="G63" i="8"/>
  <c r="G10" i="3"/>
  <c r="AE108" i="25"/>
  <c r="AE131" i="25" s="1"/>
  <c r="Y108" i="25"/>
  <c r="Y131" i="25" s="1"/>
  <c r="M9" i="25"/>
  <c r="K9" i="25"/>
  <c r="K33" i="25" s="1"/>
  <c r="K109" i="25" s="1"/>
  <c r="H7" i="25"/>
  <c r="G7" i="3" s="1"/>
  <c r="AI108" i="25"/>
  <c r="AI131" i="25" s="1"/>
  <c r="AI133" i="25" s="1"/>
  <c r="K131" i="25"/>
  <c r="H46" i="8"/>
  <c r="AG16" i="25"/>
  <c r="AG33" i="25" s="1"/>
  <c r="AG109" i="25" s="1"/>
  <c r="M131" i="25"/>
  <c r="G117" i="25"/>
  <c r="G126" i="25" s="1"/>
  <c r="G130" i="25" s="1"/>
  <c r="F68" i="5"/>
  <c r="F139" i="3" s="1"/>
  <c r="G24" i="7"/>
  <c r="H63" i="8"/>
  <c r="H56" i="8"/>
  <c r="AK33" i="25"/>
  <c r="AA16" i="25"/>
  <c r="AA33" i="25" s="1"/>
  <c r="O33" i="25"/>
  <c r="H45" i="25"/>
  <c r="I20" i="25"/>
  <c r="I24" i="25"/>
  <c r="I28" i="25"/>
  <c r="H126" i="25"/>
  <c r="H130" i="25" s="1"/>
  <c r="F14" i="3"/>
  <c r="I43" i="25"/>
  <c r="Y33" i="25"/>
  <c r="Y46" i="25"/>
  <c r="Y58" i="25" s="1"/>
  <c r="Y64" i="25" s="1"/>
  <c r="I8" i="25"/>
  <c r="H32" i="25"/>
  <c r="H23" i="25"/>
  <c r="I23" i="25" s="1"/>
  <c r="I32" i="25" s="1"/>
  <c r="H73" i="25"/>
  <c r="G113" i="8"/>
  <c r="F138" i="3" s="1"/>
  <c r="G9" i="8"/>
  <c r="S41" i="25"/>
  <c r="S57" i="25" s="1"/>
  <c r="Q46" i="25"/>
  <c r="H37" i="25"/>
  <c r="I37" i="25" s="1"/>
  <c r="W33" i="25"/>
  <c r="M33" i="25"/>
  <c r="H40" i="25"/>
  <c r="I40" i="25" s="1"/>
  <c r="I33" i="3"/>
  <c r="I58" i="3"/>
  <c r="F10" i="3"/>
  <c r="I57" i="3"/>
  <c r="I126" i="3"/>
  <c r="G12" i="3"/>
  <c r="E87" i="4"/>
  <c r="G41" i="25"/>
  <c r="AG46" i="25"/>
  <c r="AC46" i="25"/>
  <c r="AC58" i="25" s="1"/>
  <c r="AC64" i="25" s="1"/>
  <c r="H42" i="25"/>
  <c r="H41" i="8"/>
  <c r="G26" i="7"/>
  <c r="K16" i="8"/>
  <c r="K33" i="8" s="1"/>
  <c r="G15" i="8"/>
  <c r="F15" i="3" s="1"/>
  <c r="U16" i="25"/>
  <c r="U33" i="25" s="1"/>
  <c r="U109" i="25" s="1"/>
  <c r="Q16" i="25"/>
  <c r="Q33" i="25" s="1"/>
  <c r="G11" i="3"/>
  <c r="G15" i="3"/>
  <c r="S16" i="25"/>
  <c r="I12" i="25"/>
  <c r="F7" i="3"/>
  <c r="F9" i="3" s="1"/>
  <c r="I126" i="25"/>
  <c r="I130" i="25" s="1"/>
  <c r="W131" i="25"/>
  <c r="W133" i="25" s="1"/>
  <c r="S131" i="25"/>
  <c r="Q131" i="25"/>
  <c r="AA46" i="25"/>
  <c r="AA57" i="25" s="1"/>
  <c r="AE46" i="25"/>
  <c r="AE58" i="25" s="1"/>
  <c r="AE64" i="25" s="1"/>
  <c r="AE133" i="25" s="1"/>
  <c r="AK46" i="25"/>
  <c r="AK41" i="25"/>
  <c r="O46" i="25"/>
  <c r="O58" i="25" s="1"/>
  <c r="O64" i="25" s="1"/>
  <c r="W41" i="25"/>
  <c r="W58" i="25" s="1"/>
  <c r="W64" i="25" s="1"/>
  <c r="M46" i="25"/>
  <c r="M57" i="25" s="1"/>
  <c r="K41" i="25"/>
  <c r="K57" i="25" s="1"/>
  <c r="K110" i="25" s="1"/>
  <c r="Q41" i="25"/>
  <c r="Y109" i="25"/>
  <c r="AC109" i="25"/>
  <c r="AE109" i="25"/>
  <c r="AI109" i="25"/>
  <c r="H24" i="7"/>
  <c r="H26" i="7" s="1"/>
  <c r="G41" i="8"/>
  <c r="H32" i="8"/>
  <c r="H33" i="8" s="1"/>
  <c r="G46" i="8"/>
  <c r="G32" i="8"/>
  <c r="M16" i="8"/>
  <c r="H100" i="8"/>
  <c r="G94" i="8"/>
  <c r="H94" i="8"/>
  <c r="G107" i="8"/>
  <c r="G100" i="8"/>
  <c r="H107" i="8"/>
  <c r="H117" i="8"/>
  <c r="H126" i="8" s="1"/>
  <c r="H130" i="8" s="1"/>
  <c r="H57" i="8"/>
  <c r="J13" i="8"/>
  <c r="L86" i="8"/>
  <c r="O133" i="25" l="1"/>
  <c r="I14" i="25"/>
  <c r="H16" i="25"/>
  <c r="G9" i="3"/>
  <c r="H9" i="25"/>
  <c r="I7" i="25"/>
  <c r="I9" i="25" s="1"/>
  <c r="I13" i="25"/>
  <c r="I16" i="25" s="1"/>
  <c r="H108" i="25"/>
  <c r="H131" i="25" s="1"/>
  <c r="AG58" i="25"/>
  <c r="AG64" i="25" s="1"/>
  <c r="AG133" i="25" s="1"/>
  <c r="H46" i="25"/>
  <c r="S58" i="25"/>
  <c r="S64" i="25" s="1"/>
  <c r="S133" i="25" s="1"/>
  <c r="AI46" i="25"/>
  <c r="AI58" i="25" s="1"/>
  <c r="AI64" i="25" s="1"/>
  <c r="AG57" i="25"/>
  <c r="AG110" i="25" s="1"/>
  <c r="G42" i="25"/>
  <c r="I42" i="25" s="1"/>
  <c r="Y57" i="25"/>
  <c r="Y110" i="25" s="1"/>
  <c r="I45" i="25"/>
  <c r="F13" i="3"/>
  <c r="F16" i="3" s="1"/>
  <c r="G117" i="8"/>
  <c r="G126" i="8" s="1"/>
  <c r="G130" i="8" s="1"/>
  <c r="J26" i="7"/>
  <c r="G23" i="3"/>
  <c r="AI57" i="25"/>
  <c r="AI110" i="25" s="1"/>
  <c r="AA108" i="25"/>
  <c r="AA131" i="25" s="1"/>
  <c r="G74" i="25"/>
  <c r="G108" i="25" s="1"/>
  <c r="G131" i="25" s="1"/>
  <c r="F104" i="6"/>
  <c r="I73" i="25"/>
  <c r="I74" i="25" s="1"/>
  <c r="AC57" i="25"/>
  <c r="AC110" i="25" s="1"/>
  <c r="AK58" i="25"/>
  <c r="AK64" i="25" s="1"/>
  <c r="AA58" i="25"/>
  <c r="AA64" i="25" s="1"/>
  <c r="U58" i="25"/>
  <c r="U64" i="25" s="1"/>
  <c r="U133" i="25" s="1"/>
  <c r="F105" i="6"/>
  <c r="I41" i="25"/>
  <c r="H41" i="25"/>
  <c r="AE57" i="25"/>
  <c r="AE110" i="25" s="1"/>
  <c r="AK57" i="25"/>
  <c r="G16" i="8"/>
  <c r="G58" i="8" s="1"/>
  <c r="Q58" i="25"/>
  <c r="Q64" i="25" s="1"/>
  <c r="Q133" i="25" s="1"/>
  <c r="G16" i="3"/>
  <c r="S33" i="25"/>
  <c r="O57" i="25"/>
  <c r="W57" i="25"/>
  <c r="Q57" i="25"/>
  <c r="M58" i="25"/>
  <c r="M64" i="25" s="1"/>
  <c r="M133" i="25" s="1"/>
  <c r="K58" i="25"/>
  <c r="K64" i="25" s="1"/>
  <c r="K133" i="25" s="1"/>
  <c r="G57" i="8"/>
  <c r="G110" i="8" s="1"/>
  <c r="H58" i="8"/>
  <c r="H110" i="8"/>
  <c r="D120" i="14"/>
  <c r="D73" i="14"/>
  <c r="I33" i="25" l="1"/>
  <c r="H33" i="25"/>
  <c r="AA133" i="25"/>
  <c r="H58" i="25"/>
  <c r="H64" i="25" s="1"/>
  <c r="F106" i="6"/>
  <c r="G46" i="25"/>
  <c r="I46" i="25"/>
  <c r="I57" i="25" s="1"/>
  <c r="H57" i="25"/>
  <c r="G33" i="8"/>
  <c r="D92" i="24"/>
  <c r="E92" i="24" s="1"/>
  <c r="F92" i="24" s="1"/>
  <c r="O46" i="23"/>
  <c r="N41" i="23"/>
  <c r="J15" i="8"/>
  <c r="G57" i="25" l="1"/>
  <c r="G58" i="25"/>
  <c r="G64" i="25" s="1"/>
  <c r="I58" i="25"/>
  <c r="I64" i="25" s="1"/>
  <c r="D73" i="9"/>
  <c r="D84" i="9"/>
  <c r="D7" i="9" l="1"/>
  <c r="D12" i="7" l="1"/>
  <c r="L122" i="25"/>
  <c r="L126" i="25" s="1"/>
  <c r="L130" i="25" s="1"/>
  <c r="E80" i="6"/>
  <c r="E54" i="6"/>
  <c r="D13" i="9"/>
  <c r="D10" i="9"/>
  <c r="D84" i="14"/>
  <c r="D15" i="15"/>
  <c r="D121" i="15"/>
  <c r="D84" i="15"/>
  <c r="D48" i="5" l="1"/>
  <c r="J11" i="8"/>
  <c r="D10" i="17"/>
  <c r="D11" i="17" s="1"/>
  <c r="D26" i="17" l="1"/>
  <c r="D28" i="17" l="1"/>
  <c r="D30" i="17"/>
  <c r="C26" i="16"/>
  <c r="E106" i="24" l="1"/>
  <c r="F106" i="24" s="1"/>
  <c r="E115" i="24"/>
  <c r="F115" i="24" s="1"/>
  <c r="G114" i="23"/>
  <c r="I114" i="23"/>
  <c r="N46" i="23"/>
  <c r="F43" i="23"/>
  <c r="D79" i="22" l="1"/>
  <c r="E79" i="22"/>
  <c r="C79" i="22"/>
  <c r="D75" i="5"/>
  <c r="Z15" i="25"/>
  <c r="Z13" i="25"/>
  <c r="D45" i="5"/>
  <c r="AF75" i="25"/>
  <c r="D48" i="6"/>
  <c r="D73" i="6" s="1"/>
  <c r="AF45" i="25" s="1"/>
  <c r="D84" i="6"/>
  <c r="E113" i="8"/>
  <c r="D12" i="9"/>
  <c r="AV29" i="8"/>
  <c r="E29" i="8" s="1"/>
  <c r="AH15" i="8"/>
  <c r="AF15" i="8"/>
  <c r="AD15" i="8"/>
  <c r="AD13" i="8"/>
  <c r="J10" i="8"/>
  <c r="L15" i="8"/>
  <c r="L13" i="8"/>
  <c r="D96" i="6"/>
  <c r="E96" i="6"/>
  <c r="E111" i="8"/>
  <c r="E112" i="8"/>
  <c r="E129" i="8"/>
  <c r="E128" i="8"/>
  <c r="E127" i="8"/>
  <c r="E125" i="8"/>
  <c r="E124" i="8"/>
  <c r="E123" i="8"/>
  <c r="E122" i="8"/>
  <c r="E121" i="8"/>
  <c r="E120" i="8"/>
  <c r="E119" i="8"/>
  <c r="E118" i="8"/>
  <c r="E115" i="8"/>
  <c r="E116" i="8"/>
  <c r="E75" i="8"/>
  <c r="E81" i="8"/>
  <c r="E80" i="8"/>
  <c r="E79" i="8"/>
  <c r="E78" i="8"/>
  <c r="E77" i="8"/>
  <c r="E76" i="8"/>
  <c r="E68" i="8"/>
  <c r="E69" i="8"/>
  <c r="E70" i="8"/>
  <c r="E71" i="8"/>
  <c r="E72" i="8"/>
  <c r="E102" i="8"/>
  <c r="E103" i="8"/>
  <c r="E104" i="8"/>
  <c r="E105" i="8"/>
  <c r="E99" i="8"/>
  <c r="E101" i="8"/>
  <c r="E114" i="8"/>
  <c r="E106" i="8"/>
  <c r="E98" i="8"/>
  <c r="E97" i="8"/>
  <c r="E96" i="8"/>
  <c r="E95" i="8"/>
  <c r="E93" i="8"/>
  <c r="E92" i="8"/>
  <c r="E91" i="8"/>
  <c r="E90" i="8"/>
  <c r="E89" i="8"/>
  <c r="E88" i="8"/>
  <c r="E87" i="8"/>
  <c r="E86" i="8"/>
  <c r="E85" i="8"/>
  <c r="E84" i="8"/>
  <c r="E83" i="8"/>
  <c r="E73" i="8"/>
  <c r="E62" i="8"/>
  <c r="E61" i="8"/>
  <c r="E60" i="8"/>
  <c r="E59" i="8"/>
  <c r="E51" i="8"/>
  <c r="E52" i="8"/>
  <c r="E53" i="8"/>
  <c r="E54" i="8"/>
  <c r="E47" i="8"/>
  <c r="E48" i="8"/>
  <c r="E49" i="8"/>
  <c r="E34" i="8"/>
  <c r="E35" i="8"/>
  <c r="E36" i="8"/>
  <c r="E37" i="8"/>
  <c r="E38" i="8"/>
  <c r="E39" i="8"/>
  <c r="E40" i="8"/>
  <c r="E18" i="8"/>
  <c r="E19" i="8"/>
  <c r="E20" i="8"/>
  <c r="E21" i="8"/>
  <c r="E22" i="8"/>
  <c r="E23" i="8"/>
  <c r="E24" i="8"/>
  <c r="E25" i="8"/>
  <c r="E26" i="8"/>
  <c r="E27" i="8"/>
  <c r="E28" i="8"/>
  <c r="E30" i="8"/>
  <c r="E31" i="8"/>
  <c r="E17" i="8"/>
  <c r="E10" i="8"/>
  <c r="E55" i="8"/>
  <c r="E50" i="8"/>
  <c r="E45" i="8"/>
  <c r="E44" i="8"/>
  <c r="E43" i="8"/>
  <c r="E42" i="8"/>
  <c r="E15" i="8"/>
  <c r="E14" i="8"/>
  <c r="E13" i="8"/>
  <c r="E12" i="8"/>
  <c r="E11" i="8"/>
  <c r="E8" i="8"/>
  <c r="AF42" i="25" l="1"/>
  <c r="E74" i="8"/>
  <c r="E32" i="8"/>
  <c r="E82" i="8"/>
  <c r="D50" i="3"/>
  <c r="D122" i="25"/>
  <c r="E114" i="25"/>
  <c r="D114" i="25"/>
  <c r="E113" i="25"/>
  <c r="D113" i="25"/>
  <c r="D63" i="25"/>
  <c r="E63" i="25"/>
  <c r="E44" i="25"/>
  <c r="D44" i="25"/>
  <c r="E43" i="25"/>
  <c r="D43" i="25"/>
  <c r="E36" i="25"/>
  <c r="D36" i="25"/>
  <c r="E35" i="25"/>
  <c r="D35" i="25"/>
  <c r="E34" i="25"/>
  <c r="D34" i="25"/>
  <c r="E29" i="25"/>
  <c r="D29" i="25"/>
  <c r="D23" i="25"/>
  <c r="E19" i="25"/>
  <c r="D19" i="25"/>
  <c r="D14" i="25"/>
  <c r="E12" i="25"/>
  <c r="D12" i="25"/>
  <c r="D11" i="25"/>
  <c r="D8" i="25"/>
  <c r="F12" i="25" l="1"/>
  <c r="F34" i="25"/>
  <c r="F36" i="25"/>
  <c r="F44" i="25"/>
  <c r="F29" i="25"/>
  <c r="F43" i="25"/>
  <c r="F114" i="25"/>
  <c r="F35" i="25"/>
  <c r="F19" i="25"/>
  <c r="E117" i="25"/>
  <c r="F113" i="25"/>
  <c r="D32" i="25"/>
  <c r="D117" i="25"/>
  <c r="D126" i="25" s="1"/>
  <c r="D130" i="25" s="1"/>
  <c r="U2" i="25"/>
  <c r="AA2" i="25" s="1"/>
  <c r="U1" i="25"/>
  <c r="AG2" i="25" l="1"/>
  <c r="AK2" i="25" s="1"/>
  <c r="AG1" i="25"/>
  <c r="AK1" i="25" s="1"/>
  <c r="AA1" i="25"/>
  <c r="D52" i="6" l="1"/>
  <c r="D78" i="6"/>
  <c r="L13" i="25"/>
  <c r="E122" i="25"/>
  <c r="E126" i="25" l="1"/>
  <c r="E130" i="25" s="1"/>
  <c r="F122" i="25"/>
  <c r="AH13" i="25"/>
  <c r="AD13" i="25"/>
  <c r="X7" i="25"/>
  <c r="D7" i="25" s="1"/>
  <c r="V13" i="25"/>
  <c r="T13" i="25"/>
  <c r="R13" i="25"/>
  <c r="P13" i="25"/>
  <c r="D121" i="9"/>
  <c r="D11" i="9"/>
  <c r="D64" i="6"/>
  <c r="J113" i="8"/>
  <c r="D113" i="8" s="1"/>
  <c r="C138" i="3" s="1"/>
  <c r="E13" i="25" l="1"/>
  <c r="D9" i="25"/>
  <c r="R23" i="25"/>
  <c r="F56" i="25"/>
  <c r="F63" i="25"/>
  <c r="F67" i="25"/>
  <c r="F115" i="25"/>
  <c r="F101" i="25"/>
  <c r="F82" i="25"/>
  <c r="F117" i="25" l="1"/>
  <c r="F126" i="25" s="1"/>
  <c r="F130" i="25" s="1"/>
  <c r="J117" i="25"/>
  <c r="AJ107" i="25"/>
  <c r="AH107" i="25"/>
  <c r="AF107" i="25"/>
  <c r="AD107" i="25"/>
  <c r="AB107" i="25"/>
  <c r="Z107" i="25"/>
  <c r="X107" i="25"/>
  <c r="V107" i="25"/>
  <c r="T107" i="25"/>
  <c r="R107" i="25"/>
  <c r="P107" i="25"/>
  <c r="N107" i="25"/>
  <c r="L107" i="25"/>
  <c r="J107" i="25"/>
  <c r="AJ100" i="25"/>
  <c r="AH100" i="25"/>
  <c r="AF100" i="25"/>
  <c r="AD100" i="25"/>
  <c r="AB100" i="25"/>
  <c r="Z100" i="25"/>
  <c r="X100" i="25"/>
  <c r="V100" i="25"/>
  <c r="T100" i="25"/>
  <c r="R100" i="25"/>
  <c r="P100" i="25"/>
  <c r="N100" i="25"/>
  <c r="L100" i="25"/>
  <c r="J100" i="25"/>
  <c r="AJ94" i="25"/>
  <c r="AH94" i="25"/>
  <c r="AF94" i="25"/>
  <c r="AD94" i="25"/>
  <c r="AB94" i="25"/>
  <c r="Z94" i="25"/>
  <c r="X94" i="25"/>
  <c r="V94" i="25"/>
  <c r="T94" i="25"/>
  <c r="R94" i="25"/>
  <c r="P94" i="25"/>
  <c r="N94" i="25"/>
  <c r="L94" i="25"/>
  <c r="J94" i="25"/>
  <c r="AH75" i="25"/>
  <c r="N75" i="25"/>
  <c r="L75" i="25"/>
  <c r="AJ74" i="25"/>
  <c r="AF74" i="25"/>
  <c r="AD74" i="25"/>
  <c r="X74" i="25"/>
  <c r="T74" i="25"/>
  <c r="L74" i="25"/>
  <c r="J74" i="25"/>
  <c r="Z73" i="25"/>
  <c r="N73" i="25"/>
  <c r="AJ67" i="25"/>
  <c r="AH67" i="25"/>
  <c r="AF67" i="25"/>
  <c r="AD67" i="25"/>
  <c r="AB67" i="25"/>
  <c r="Z67" i="25"/>
  <c r="X67" i="25"/>
  <c r="V67" i="25"/>
  <c r="T67" i="25"/>
  <c r="R67" i="25"/>
  <c r="P67" i="25"/>
  <c r="N67" i="25"/>
  <c r="L67" i="25"/>
  <c r="J67" i="25"/>
  <c r="AJ63" i="25"/>
  <c r="AH63" i="25"/>
  <c r="AF63" i="25"/>
  <c r="AD63" i="25"/>
  <c r="AB63" i="25"/>
  <c r="Z63" i="25"/>
  <c r="X63" i="25"/>
  <c r="V63" i="25"/>
  <c r="T63" i="25"/>
  <c r="R63" i="25"/>
  <c r="P63" i="25"/>
  <c r="N63" i="25"/>
  <c r="L63" i="25"/>
  <c r="J63" i="25"/>
  <c r="AJ56" i="25"/>
  <c r="AH56" i="25"/>
  <c r="AF56" i="25"/>
  <c r="AD56" i="25"/>
  <c r="AB56" i="25"/>
  <c r="Z56" i="25"/>
  <c r="X56" i="25"/>
  <c r="V56" i="25"/>
  <c r="T56" i="25"/>
  <c r="R56" i="25"/>
  <c r="P56" i="25"/>
  <c r="N56" i="25"/>
  <c r="L56" i="25"/>
  <c r="J56" i="25"/>
  <c r="V46" i="25"/>
  <c r="T46" i="25"/>
  <c r="R46" i="25"/>
  <c r="J46" i="25"/>
  <c r="AJ45" i="25"/>
  <c r="AD45" i="25"/>
  <c r="X45" i="25"/>
  <c r="N45" i="25"/>
  <c r="L45" i="25"/>
  <c r="AJ42" i="25"/>
  <c r="AD42" i="25"/>
  <c r="X42" i="25"/>
  <c r="N42" i="25"/>
  <c r="L42" i="25"/>
  <c r="AH41" i="25"/>
  <c r="AF41" i="25"/>
  <c r="AD41" i="25"/>
  <c r="AB41" i="25"/>
  <c r="Z41" i="25"/>
  <c r="X41" i="25"/>
  <c r="T41" i="25"/>
  <c r="N41" i="25"/>
  <c r="L41" i="25"/>
  <c r="AJ40" i="25"/>
  <c r="D40" i="25" s="1"/>
  <c r="AJ37" i="25"/>
  <c r="D37" i="25" s="1"/>
  <c r="AJ32" i="25"/>
  <c r="AH32" i="25"/>
  <c r="AF32" i="25"/>
  <c r="AD32" i="25"/>
  <c r="AB32" i="25"/>
  <c r="Z32" i="25"/>
  <c r="X32" i="25"/>
  <c r="V32" i="25"/>
  <c r="R32" i="25"/>
  <c r="P32" i="25"/>
  <c r="N32" i="25"/>
  <c r="J32" i="25"/>
  <c r="T23" i="25"/>
  <c r="T32" i="25" s="1"/>
  <c r="L23" i="25"/>
  <c r="AD16" i="25"/>
  <c r="N16" i="25"/>
  <c r="AJ15" i="25"/>
  <c r="AH15" i="25"/>
  <c r="AH16" i="25" s="1"/>
  <c r="AF15" i="25"/>
  <c r="AB15" i="25"/>
  <c r="X15" i="25"/>
  <c r="V15" i="25"/>
  <c r="T15" i="25"/>
  <c r="R15" i="25"/>
  <c r="P15" i="25"/>
  <c r="L15" i="25"/>
  <c r="L16" i="25" s="1"/>
  <c r="J15" i="25"/>
  <c r="T14" i="25"/>
  <c r="R14" i="25"/>
  <c r="P14" i="25"/>
  <c r="AJ13" i="25"/>
  <c r="AF13" i="25"/>
  <c r="AB13" i="25"/>
  <c r="X13" i="25"/>
  <c r="T11" i="25"/>
  <c r="X10" i="25"/>
  <c r="D10" i="25" s="1"/>
  <c r="V10" i="25"/>
  <c r="T10" i="25"/>
  <c r="R10" i="25"/>
  <c r="P10" i="25"/>
  <c r="N10" i="25"/>
  <c r="L10" i="25"/>
  <c r="J10" i="25"/>
  <c r="AJ9" i="25"/>
  <c r="AH9" i="25"/>
  <c r="AF9" i="25"/>
  <c r="AD9" i="25"/>
  <c r="AB9" i="25"/>
  <c r="Z9" i="25"/>
  <c r="N9" i="25"/>
  <c r="L8" i="25"/>
  <c r="X9" i="25"/>
  <c r="V7" i="25"/>
  <c r="V9" i="25" s="1"/>
  <c r="T7" i="25"/>
  <c r="T9" i="25" s="1"/>
  <c r="R7" i="25"/>
  <c r="R9" i="25" s="1"/>
  <c r="P7" i="25"/>
  <c r="P9" i="25" s="1"/>
  <c r="L7" i="25"/>
  <c r="J7" i="25"/>
  <c r="J8" i="8"/>
  <c r="L108" i="25" l="1"/>
  <c r="L131" i="25" s="1"/>
  <c r="T108" i="25"/>
  <c r="T131" i="25" s="1"/>
  <c r="I94" i="25"/>
  <c r="I107" i="25"/>
  <c r="AD108" i="25"/>
  <c r="AD131" i="25" s="1"/>
  <c r="X108" i="25"/>
  <c r="X131" i="25" s="1"/>
  <c r="AF108" i="25"/>
  <c r="AF131" i="25" s="1"/>
  <c r="E7" i="25"/>
  <c r="I100" i="25"/>
  <c r="D15" i="25"/>
  <c r="E10" i="25"/>
  <c r="F10" i="25" s="1"/>
  <c r="E8" i="25"/>
  <c r="F8" i="25" s="1"/>
  <c r="E15" i="25"/>
  <c r="F15" i="25" s="1"/>
  <c r="P16" i="25"/>
  <c r="P33" i="25" s="1"/>
  <c r="E14" i="25"/>
  <c r="F14" i="25" s="1"/>
  <c r="D41" i="25"/>
  <c r="E11" i="25"/>
  <c r="F11" i="25" s="1"/>
  <c r="D13" i="25"/>
  <c r="F13" i="25" s="1"/>
  <c r="E23" i="25"/>
  <c r="F23" i="25" s="1"/>
  <c r="Z74" i="25"/>
  <c r="Z108" i="25" s="1"/>
  <c r="Z131" i="25" s="1"/>
  <c r="E75" i="25"/>
  <c r="L9" i="25"/>
  <c r="F100" i="25"/>
  <c r="J16" i="25"/>
  <c r="F94" i="25"/>
  <c r="F107" i="25"/>
  <c r="X16" i="25"/>
  <c r="X33" i="25" s="1"/>
  <c r="X109" i="25" s="1"/>
  <c r="AD46" i="25"/>
  <c r="AD58" i="25" s="1"/>
  <c r="AD64" i="25" s="1"/>
  <c r="AJ41" i="25"/>
  <c r="J126" i="25"/>
  <c r="J130" i="25" s="1"/>
  <c r="R16" i="25"/>
  <c r="R33" i="25" s="1"/>
  <c r="Z16" i="25"/>
  <c r="Z33" i="25" s="1"/>
  <c r="AJ16" i="25"/>
  <c r="AJ33" i="25" s="1"/>
  <c r="AJ109" i="25" s="1"/>
  <c r="T16" i="25"/>
  <c r="T33" i="25" s="1"/>
  <c r="T109" i="25" s="1"/>
  <c r="AB16" i="25"/>
  <c r="AB33" i="25" s="1"/>
  <c r="V41" i="25"/>
  <c r="V57" i="25" s="1"/>
  <c r="V110" i="25" s="1"/>
  <c r="AD33" i="25"/>
  <c r="AD109" i="25" s="1"/>
  <c r="N46" i="25"/>
  <c r="N58" i="25" s="1"/>
  <c r="N64" i="25" s="1"/>
  <c r="AJ46" i="25"/>
  <c r="X46" i="25"/>
  <c r="X57" i="25" s="1"/>
  <c r="X110" i="25" s="1"/>
  <c r="V16" i="25"/>
  <c r="V33" i="25" s="1"/>
  <c r="AF16" i="25"/>
  <c r="AF33" i="25" s="1"/>
  <c r="AF109" i="25" s="1"/>
  <c r="N33" i="25"/>
  <c r="AH33" i="25"/>
  <c r="T57" i="25"/>
  <c r="T110" i="25" s="1"/>
  <c r="N74" i="25"/>
  <c r="N108" i="25" s="1"/>
  <c r="N131" i="25" s="1"/>
  <c r="L32" i="25"/>
  <c r="L46" i="25"/>
  <c r="J9" i="25"/>
  <c r="J108" i="25"/>
  <c r="D89" i="6"/>
  <c r="D15" i="6"/>
  <c r="AG137" i="25" l="1"/>
  <c r="AF133" i="25"/>
  <c r="Y137" i="25"/>
  <c r="X133" i="25"/>
  <c r="AA137" i="25"/>
  <c r="Z133" i="25"/>
  <c r="O137" i="25"/>
  <c r="N133" i="25"/>
  <c r="U137" i="25"/>
  <c r="T133" i="25"/>
  <c r="AE137" i="25"/>
  <c r="AD133" i="25"/>
  <c r="M137" i="25"/>
  <c r="L133" i="25"/>
  <c r="I108" i="25"/>
  <c r="I131" i="25" s="1"/>
  <c r="F7" i="25"/>
  <c r="F9" i="25" s="1"/>
  <c r="E9" i="25"/>
  <c r="D7" i="3"/>
  <c r="N109" i="25"/>
  <c r="Z109" i="25"/>
  <c r="E32" i="25"/>
  <c r="D16" i="25"/>
  <c r="D33" i="25" s="1"/>
  <c r="E16" i="25"/>
  <c r="AD57" i="25"/>
  <c r="AD110" i="25" s="1"/>
  <c r="F32" i="25"/>
  <c r="F16" i="25"/>
  <c r="T58" i="25"/>
  <c r="T64" i="25" s="1"/>
  <c r="X58" i="25"/>
  <c r="X64" i="25" s="1"/>
  <c r="V58" i="25"/>
  <c r="V64" i="25" s="1"/>
  <c r="L58" i="25"/>
  <c r="L64" i="25" s="1"/>
  <c r="AJ57" i="25"/>
  <c r="AJ58" i="25"/>
  <c r="AJ64" i="25" s="1"/>
  <c r="N57" i="25"/>
  <c r="N110" i="25" s="1"/>
  <c r="J131" i="25"/>
  <c r="L33" i="25"/>
  <c r="L109" i="25" s="1"/>
  <c r="L57" i="25"/>
  <c r="L110" i="25" s="1"/>
  <c r="J33" i="25"/>
  <c r="J109" i="25" s="1"/>
  <c r="J114" i="8"/>
  <c r="D57" i="6"/>
  <c r="AH42" i="25" s="1"/>
  <c r="E22" i="6"/>
  <c r="J37" i="25" s="1"/>
  <c r="J133" i="25" l="1"/>
  <c r="E33" i="25"/>
  <c r="F33" i="25"/>
  <c r="D82" i="6"/>
  <c r="AH45" i="25" s="1"/>
  <c r="AH46" i="25" s="1"/>
  <c r="D65" i="5"/>
  <c r="D79" i="6"/>
  <c r="AB45" i="25" s="1"/>
  <c r="D53" i="6"/>
  <c r="AB42" i="25" s="1"/>
  <c r="Z45" i="25"/>
  <c r="Z42" i="25"/>
  <c r="E42" i="6"/>
  <c r="E24" i="6"/>
  <c r="D45" i="25" l="1"/>
  <c r="D42" i="25"/>
  <c r="Z46" i="25"/>
  <c r="Z58" i="25" s="1"/>
  <c r="Z64" i="25" s="1"/>
  <c r="AB46" i="25"/>
  <c r="AB58" i="25" s="1"/>
  <c r="AB64" i="25" s="1"/>
  <c r="P37" i="25"/>
  <c r="AH58" i="25"/>
  <c r="AH64" i="25" s="1"/>
  <c r="AH57" i="25"/>
  <c r="AH110" i="25" s="1"/>
  <c r="P40" i="25"/>
  <c r="E43" i="6"/>
  <c r="E25" i="6"/>
  <c r="R37" i="25" s="1"/>
  <c r="E86" i="6"/>
  <c r="E59" i="6"/>
  <c r="D46" i="25" l="1"/>
  <c r="D58" i="25" s="1"/>
  <c r="D64" i="25" s="1"/>
  <c r="E37" i="25"/>
  <c r="F37" i="25" s="1"/>
  <c r="Z57" i="25"/>
  <c r="Z110" i="25" s="1"/>
  <c r="AB57" i="25"/>
  <c r="AB110" i="25" s="1"/>
  <c r="P42" i="25"/>
  <c r="E42" i="25" s="1"/>
  <c r="F42" i="25" s="1"/>
  <c r="P41" i="25"/>
  <c r="P45" i="25"/>
  <c r="R40" i="25"/>
  <c r="R41" i="25" s="1"/>
  <c r="AF46" i="25"/>
  <c r="D57" i="25" l="1"/>
  <c r="E45" i="25"/>
  <c r="R57" i="25"/>
  <c r="R110" i="25" s="1"/>
  <c r="R58" i="25"/>
  <c r="R64" i="25" s="1"/>
  <c r="AF58" i="25"/>
  <c r="AF64" i="25" s="1"/>
  <c r="AF57" i="25"/>
  <c r="AF110" i="25" s="1"/>
  <c r="P46" i="25"/>
  <c r="P58" i="25" s="1"/>
  <c r="P64" i="25" s="1"/>
  <c r="E46" i="25" l="1"/>
  <c r="F45" i="25"/>
  <c r="F46" i="25" s="1"/>
  <c r="P57" i="25"/>
  <c r="P110" i="25" s="1"/>
  <c r="D64" i="5" l="1"/>
  <c r="D56" i="6" s="1"/>
  <c r="D66" i="5"/>
  <c r="D49" i="6" l="1"/>
  <c r="D74" i="6" s="1"/>
  <c r="D76" i="6"/>
  <c r="E38" i="6"/>
  <c r="D104" i="6" s="1"/>
  <c r="D37" i="6"/>
  <c r="J40" i="25" l="1"/>
  <c r="E40" i="25" s="1"/>
  <c r="D50" i="6"/>
  <c r="D75" i="6" s="1"/>
  <c r="E41" i="25" l="1"/>
  <c r="E57" i="25" s="1"/>
  <c r="F40" i="25"/>
  <c r="J41" i="25"/>
  <c r="D47" i="5"/>
  <c r="E58" i="25" l="1"/>
  <c r="E64" i="25" s="1"/>
  <c r="F41" i="25"/>
  <c r="F58" i="25" s="1"/>
  <c r="F64" i="25" s="1"/>
  <c r="D105" i="6"/>
  <c r="D106" i="6" s="1"/>
  <c r="AJ75" i="25"/>
  <c r="J57" i="25"/>
  <c r="J110" i="25" s="1"/>
  <c r="J58" i="25"/>
  <c r="J64" i="25" s="1"/>
  <c r="D9" i="13"/>
  <c r="D46" i="5"/>
  <c r="E42" i="5"/>
  <c r="E18" i="5"/>
  <c r="E19" i="5"/>
  <c r="D12" i="15"/>
  <c r="D13" i="15" s="1"/>
  <c r="D75" i="25" l="1"/>
  <c r="F75" i="25" s="1"/>
  <c r="AJ108" i="25"/>
  <c r="AJ131" i="25" s="1"/>
  <c r="F57" i="25"/>
  <c r="R73" i="25"/>
  <c r="R74" i="25" s="1"/>
  <c r="R108" i="25" s="1"/>
  <c r="R131" i="25" s="1"/>
  <c r="AH73" i="25"/>
  <c r="AH74" i="25" s="1"/>
  <c r="AH108" i="25" s="1"/>
  <c r="AH131" i="25" s="1"/>
  <c r="P73" i="25"/>
  <c r="V73" i="25"/>
  <c r="V74" i="25" s="1"/>
  <c r="V108" i="25" s="1"/>
  <c r="V131" i="25" s="1"/>
  <c r="W137" i="25" s="1"/>
  <c r="AB73" i="25"/>
  <c r="AJ110" i="25"/>
  <c r="E10" i="14"/>
  <c r="D14" i="14"/>
  <c r="D15" i="14" s="1"/>
  <c r="D12" i="14"/>
  <c r="D13" i="14" s="1"/>
  <c r="D7" i="14"/>
  <c r="D10" i="14"/>
  <c r="D8" i="14"/>
  <c r="D121" i="14"/>
  <c r="E94" i="12"/>
  <c r="S137" i="25" l="1"/>
  <c r="R133" i="25"/>
  <c r="AK137" i="25"/>
  <c r="AJ133" i="25"/>
  <c r="AI137" i="25"/>
  <c r="AH133" i="25"/>
  <c r="E73" i="25"/>
  <c r="AB74" i="25"/>
  <c r="D73" i="25"/>
  <c r="D74" i="25" s="1"/>
  <c r="D108" i="25" s="1"/>
  <c r="D131" i="25" s="1"/>
  <c r="V133" i="25"/>
  <c r="V109" i="25"/>
  <c r="P74" i="25"/>
  <c r="P108" i="25" s="1"/>
  <c r="P131" i="25" s="1"/>
  <c r="R109" i="25"/>
  <c r="AH109" i="25"/>
  <c r="K16" i="11"/>
  <c r="L16" i="11" s="1"/>
  <c r="Q137" i="25" l="1"/>
  <c r="P133" i="25"/>
  <c r="D133" i="25"/>
  <c r="G137" i="25"/>
  <c r="AB109" i="25"/>
  <c r="AB108" i="25"/>
  <c r="AB131" i="25" s="1"/>
  <c r="AB133" i="25" s="1"/>
  <c r="E74" i="25"/>
  <c r="E108" i="25" s="1"/>
  <c r="E131" i="25" s="1"/>
  <c r="F73" i="25"/>
  <c r="D91" i="5" s="1"/>
  <c r="P109" i="25"/>
  <c r="H33" i="4"/>
  <c r="D61" i="4"/>
  <c r="D54" i="4"/>
  <c r="D53" i="4"/>
  <c r="D52" i="4"/>
  <c r="D51" i="4"/>
  <c r="F74" i="25" l="1"/>
  <c r="F108" i="25" s="1"/>
  <c r="F131" i="25" s="1"/>
  <c r="I137" i="25" s="1"/>
  <c r="AC137" i="25"/>
  <c r="E133" i="25"/>
  <c r="H137" i="25"/>
  <c r="E16" i="24"/>
  <c r="E14" i="24"/>
  <c r="F133" i="25" l="1"/>
  <c r="E139" i="24"/>
  <c r="C27" i="16" l="1"/>
  <c r="S27" i="16" s="1"/>
  <c r="K43" i="23" l="1"/>
  <c r="K46" i="23" s="1"/>
  <c r="E91" i="23"/>
  <c r="L41" i="23"/>
  <c r="D68" i="5" l="1"/>
  <c r="J19" i="8" l="1"/>
  <c r="D23" i="7"/>
  <c r="C55" i="24" l="1"/>
  <c r="C29" i="24"/>
  <c r="C55" i="23" l="1"/>
  <c r="C29" i="23"/>
  <c r="E54" i="22" l="1"/>
  <c r="E28" i="22"/>
  <c r="S26" i="16" l="1"/>
  <c r="AB13" i="8" l="1"/>
  <c r="Z15" i="8"/>
  <c r="D40" i="5" l="1"/>
  <c r="AJ29" i="8" l="1"/>
  <c r="V84" i="8"/>
  <c r="X13" i="8"/>
  <c r="AX74" i="8" l="1"/>
  <c r="AW74" i="8"/>
  <c r="AV74" i="8"/>
  <c r="AU74" i="8"/>
  <c r="AT74" i="8"/>
  <c r="AS74" i="8"/>
  <c r="AR74" i="8"/>
  <c r="AQ74" i="8"/>
  <c r="AP74" i="8"/>
  <c r="AO74" i="8"/>
  <c r="AN74" i="8"/>
  <c r="AM74" i="8"/>
  <c r="AL74" i="8"/>
  <c r="AK74" i="8"/>
  <c r="AJ74" i="8"/>
  <c r="AI74" i="8"/>
  <c r="AH74" i="8"/>
  <c r="AG74" i="8"/>
  <c r="AF74" i="8"/>
  <c r="AE74" i="8"/>
  <c r="AD74" i="8"/>
  <c r="AC74" i="8"/>
  <c r="AB74" i="8"/>
  <c r="AA74" i="8"/>
  <c r="Z74" i="8"/>
  <c r="Y74" i="8"/>
  <c r="X74" i="8"/>
  <c r="W74" i="8"/>
  <c r="V74" i="8"/>
  <c r="U74" i="8"/>
  <c r="T74" i="8"/>
  <c r="S74" i="8"/>
  <c r="R74" i="8"/>
  <c r="Q74" i="8"/>
  <c r="P74" i="8"/>
  <c r="O74" i="8"/>
  <c r="N74" i="8"/>
  <c r="M74" i="8"/>
  <c r="L74" i="8"/>
  <c r="K74" i="8"/>
  <c r="J74" i="8"/>
  <c r="AW32" i="8"/>
  <c r="AU32" i="8"/>
  <c r="AT32" i="8"/>
  <c r="AS32" i="8"/>
  <c r="AR32" i="8"/>
  <c r="AQ32" i="8"/>
  <c r="AP32" i="8"/>
  <c r="AO32" i="8"/>
  <c r="AN32" i="8"/>
  <c r="AM32" i="8"/>
  <c r="AL32" i="8"/>
  <c r="AK32" i="8"/>
  <c r="AI32" i="8"/>
  <c r="AH32" i="8"/>
  <c r="AG32" i="8"/>
  <c r="AF32" i="8"/>
  <c r="AE32" i="8"/>
  <c r="AD32" i="8"/>
  <c r="AC32" i="8"/>
  <c r="AB32" i="8"/>
  <c r="AA32" i="8"/>
  <c r="Z32" i="8"/>
  <c r="Y32" i="8"/>
  <c r="X32" i="8"/>
  <c r="W32" i="8"/>
  <c r="V32" i="8"/>
  <c r="U32" i="8"/>
  <c r="T32" i="8"/>
  <c r="S32" i="8"/>
  <c r="R32" i="8"/>
  <c r="Q32" i="8"/>
  <c r="P32" i="8"/>
  <c r="O32" i="8"/>
  <c r="N32" i="8"/>
  <c r="M32" i="8"/>
  <c r="L32" i="8"/>
  <c r="AX32" i="8"/>
  <c r="AV32" i="8"/>
  <c r="AJ32" i="8"/>
  <c r="J32" i="8"/>
  <c r="AX16" i="8"/>
  <c r="AW16" i="8"/>
  <c r="AV16" i="8"/>
  <c r="AU16" i="8"/>
  <c r="AT16" i="8"/>
  <c r="AS16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E16" i="8"/>
  <c r="AC16" i="8"/>
  <c r="AB16" i="8"/>
  <c r="AA16" i="8"/>
  <c r="V16" i="8"/>
  <c r="T16" i="8"/>
  <c r="R16" i="8"/>
  <c r="Q16" i="8"/>
  <c r="P16" i="8"/>
  <c r="N16" i="8"/>
  <c r="L16" i="8"/>
  <c r="AF16" i="8"/>
  <c r="Z16" i="8"/>
  <c r="AD16" i="8"/>
  <c r="X16" i="8"/>
  <c r="J16" i="8"/>
  <c r="AX9" i="8"/>
  <c r="AW9" i="8"/>
  <c r="AV9" i="8"/>
  <c r="AU9" i="8"/>
  <c r="AT9" i="8"/>
  <c r="AS9" i="8"/>
  <c r="AR9" i="8"/>
  <c r="AQ9" i="8"/>
  <c r="AP9" i="8"/>
  <c r="AO9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R9" i="8"/>
  <c r="Q9" i="8"/>
  <c r="P9" i="8"/>
  <c r="O9" i="8"/>
  <c r="N9" i="8"/>
  <c r="M9" i="8"/>
  <c r="L9" i="8"/>
  <c r="J9" i="8"/>
  <c r="T28" i="16" l="1"/>
  <c r="S28" i="16"/>
  <c r="D29" i="8" l="1"/>
  <c r="D64" i="4"/>
  <c r="F7" i="11" l="1"/>
  <c r="F8" i="11"/>
  <c r="D9" i="11"/>
  <c r="E9" i="11"/>
  <c r="F10" i="11"/>
  <c r="F11" i="11"/>
  <c r="F12" i="11"/>
  <c r="F13" i="11"/>
  <c r="F14" i="11"/>
  <c r="F15" i="11"/>
  <c r="D16" i="11"/>
  <c r="E16" i="11"/>
  <c r="F17" i="11"/>
  <c r="F18" i="11"/>
  <c r="F19" i="11"/>
  <c r="F20" i="11"/>
  <c r="F21" i="11"/>
  <c r="F22" i="11"/>
  <c r="F23" i="11"/>
  <c r="F24" i="11"/>
  <c r="F25" i="11"/>
  <c r="F26" i="11"/>
  <c r="F27" i="11"/>
  <c r="F28" i="11"/>
  <c r="F29" i="11"/>
  <c r="F30" i="11"/>
  <c r="F31" i="11"/>
  <c r="D32" i="11"/>
  <c r="E32" i="11"/>
  <c r="F34" i="11"/>
  <c r="F35" i="11"/>
  <c r="F36" i="11"/>
  <c r="F37" i="11"/>
  <c r="F38" i="11"/>
  <c r="F39" i="11"/>
  <c r="F40" i="11"/>
  <c r="D41" i="11"/>
  <c r="E41" i="11"/>
  <c r="F42" i="11"/>
  <c r="F43" i="11"/>
  <c r="F44" i="11"/>
  <c r="F45" i="11"/>
  <c r="D46" i="11"/>
  <c r="E46" i="11"/>
  <c r="F47" i="11"/>
  <c r="F48" i="11"/>
  <c r="F49" i="11"/>
  <c r="F50" i="11"/>
  <c r="F51" i="11"/>
  <c r="F52" i="11"/>
  <c r="F53" i="11"/>
  <c r="F54" i="11"/>
  <c r="F55" i="11"/>
  <c r="D56" i="11"/>
  <c r="E56" i="11"/>
  <c r="F59" i="11"/>
  <c r="F60" i="11"/>
  <c r="F61" i="11"/>
  <c r="F62" i="11"/>
  <c r="D63" i="11"/>
  <c r="E63" i="11"/>
  <c r="F68" i="11"/>
  <c r="F69" i="11"/>
  <c r="F70" i="11"/>
  <c r="F71" i="11"/>
  <c r="F72" i="11"/>
  <c r="F73" i="11"/>
  <c r="D74" i="11"/>
  <c r="E74" i="11"/>
  <c r="F75" i="11"/>
  <c r="F76" i="11"/>
  <c r="F77" i="11"/>
  <c r="F78" i="11"/>
  <c r="F79" i="11"/>
  <c r="F80" i="11"/>
  <c r="F81" i="11"/>
  <c r="D82" i="11"/>
  <c r="E82" i="11"/>
  <c r="F83" i="11"/>
  <c r="F84" i="11"/>
  <c r="F85" i="11"/>
  <c r="F86" i="11"/>
  <c r="F87" i="11"/>
  <c r="F88" i="11"/>
  <c r="F89" i="11"/>
  <c r="F90" i="11"/>
  <c r="F91" i="11"/>
  <c r="F92" i="11"/>
  <c r="F93" i="11"/>
  <c r="D94" i="11"/>
  <c r="E94" i="11"/>
  <c r="F95" i="11"/>
  <c r="F96" i="11"/>
  <c r="F97" i="11"/>
  <c r="F98" i="11"/>
  <c r="F99" i="11"/>
  <c r="D100" i="11"/>
  <c r="E100" i="11"/>
  <c r="F101" i="11"/>
  <c r="F102" i="11"/>
  <c r="F105" i="11"/>
  <c r="F106" i="11"/>
  <c r="D107" i="11"/>
  <c r="E107" i="11"/>
  <c r="F111" i="11"/>
  <c r="F112" i="11"/>
  <c r="F113" i="11"/>
  <c r="F114" i="11"/>
  <c r="F115" i="11"/>
  <c r="F116" i="11"/>
  <c r="D117" i="11"/>
  <c r="E117" i="11"/>
  <c r="F118" i="11"/>
  <c r="F119" i="11"/>
  <c r="F120" i="11"/>
  <c r="F121" i="11"/>
  <c r="D122" i="11"/>
  <c r="E122" i="11"/>
  <c r="F123" i="11"/>
  <c r="F124" i="11"/>
  <c r="F125" i="11"/>
  <c r="F127" i="11"/>
  <c r="F128" i="11"/>
  <c r="F129" i="11"/>
  <c r="F7" i="12"/>
  <c r="I7" i="12"/>
  <c r="F8" i="12"/>
  <c r="I8" i="12"/>
  <c r="D9" i="12"/>
  <c r="E9" i="12"/>
  <c r="F10" i="12"/>
  <c r="I10" i="12"/>
  <c r="F11" i="12"/>
  <c r="I11" i="12"/>
  <c r="F12" i="12"/>
  <c r="I12" i="12"/>
  <c r="F13" i="12"/>
  <c r="I13" i="12"/>
  <c r="F14" i="12"/>
  <c r="I14" i="12"/>
  <c r="F15" i="12"/>
  <c r="I15" i="12"/>
  <c r="D16" i="12"/>
  <c r="E16" i="12"/>
  <c r="F17" i="12"/>
  <c r="I17" i="12"/>
  <c r="F18" i="12"/>
  <c r="I18" i="12"/>
  <c r="F19" i="12"/>
  <c r="I19" i="12"/>
  <c r="F20" i="12"/>
  <c r="I20" i="12"/>
  <c r="F21" i="12"/>
  <c r="I21" i="12"/>
  <c r="F22" i="12"/>
  <c r="I22" i="12"/>
  <c r="F23" i="12"/>
  <c r="I23" i="12"/>
  <c r="F24" i="12"/>
  <c r="I24" i="12"/>
  <c r="F25" i="12"/>
  <c r="I25" i="12"/>
  <c r="F26" i="12"/>
  <c r="I26" i="12"/>
  <c r="F27" i="12"/>
  <c r="I27" i="12"/>
  <c r="F28" i="12"/>
  <c r="I28" i="12"/>
  <c r="F29" i="12"/>
  <c r="I29" i="12"/>
  <c r="F30" i="12"/>
  <c r="I30" i="12"/>
  <c r="F31" i="12"/>
  <c r="I31" i="12"/>
  <c r="D32" i="12"/>
  <c r="E32" i="12"/>
  <c r="F34" i="12"/>
  <c r="I34" i="12"/>
  <c r="F35" i="12"/>
  <c r="I35" i="12"/>
  <c r="F36" i="12"/>
  <c r="I36" i="12"/>
  <c r="F37" i="12"/>
  <c r="I37" i="12"/>
  <c r="F38" i="12"/>
  <c r="I38" i="12"/>
  <c r="F39" i="12"/>
  <c r="I39" i="12"/>
  <c r="F40" i="12"/>
  <c r="I40" i="12"/>
  <c r="D41" i="12"/>
  <c r="E41" i="12"/>
  <c r="F42" i="12"/>
  <c r="I42" i="12"/>
  <c r="F43" i="12"/>
  <c r="I43" i="12"/>
  <c r="F44" i="12"/>
  <c r="I44" i="12"/>
  <c r="F45" i="12"/>
  <c r="I45" i="12"/>
  <c r="D46" i="12"/>
  <c r="E46" i="12"/>
  <c r="F47" i="12"/>
  <c r="I47" i="12"/>
  <c r="F48" i="12"/>
  <c r="I48" i="12"/>
  <c r="F49" i="12"/>
  <c r="I49" i="12"/>
  <c r="F50" i="12"/>
  <c r="I50" i="12"/>
  <c r="F51" i="12"/>
  <c r="I51" i="12"/>
  <c r="F52" i="12"/>
  <c r="I52" i="12"/>
  <c r="F53" i="12"/>
  <c r="I53" i="12"/>
  <c r="F54" i="12"/>
  <c r="I54" i="12"/>
  <c r="F55" i="12"/>
  <c r="I55" i="12"/>
  <c r="D56" i="12"/>
  <c r="E56" i="12"/>
  <c r="F59" i="12"/>
  <c r="I59" i="12"/>
  <c r="F60" i="12"/>
  <c r="I60" i="12"/>
  <c r="F61" i="12"/>
  <c r="I61" i="12"/>
  <c r="F62" i="12"/>
  <c r="I62" i="12"/>
  <c r="D63" i="12"/>
  <c r="E63" i="12"/>
  <c r="F68" i="12"/>
  <c r="I68" i="12"/>
  <c r="F69" i="12"/>
  <c r="I69" i="12"/>
  <c r="F70" i="12"/>
  <c r="I70" i="12"/>
  <c r="F71" i="12"/>
  <c r="I71" i="12"/>
  <c r="F72" i="12"/>
  <c r="I72" i="12"/>
  <c r="F73" i="12"/>
  <c r="I73" i="12"/>
  <c r="D74" i="12"/>
  <c r="E74" i="12"/>
  <c r="F75" i="12"/>
  <c r="I75" i="12"/>
  <c r="F76" i="12"/>
  <c r="I76" i="12"/>
  <c r="F77" i="12"/>
  <c r="I77" i="12"/>
  <c r="F78" i="12"/>
  <c r="I78" i="12"/>
  <c r="F79" i="12"/>
  <c r="I79" i="12"/>
  <c r="F80" i="12"/>
  <c r="I80" i="12"/>
  <c r="F81" i="12"/>
  <c r="I81" i="12"/>
  <c r="D82" i="12"/>
  <c r="E82" i="12"/>
  <c r="F83" i="12"/>
  <c r="I83" i="12"/>
  <c r="F84" i="12"/>
  <c r="I84" i="12"/>
  <c r="F85" i="12"/>
  <c r="I85" i="12"/>
  <c r="F86" i="12"/>
  <c r="I86" i="12"/>
  <c r="F87" i="12"/>
  <c r="I87" i="12"/>
  <c r="F88" i="12"/>
  <c r="I88" i="12"/>
  <c r="F89" i="12"/>
  <c r="I89" i="12"/>
  <c r="F90" i="12"/>
  <c r="I90" i="12"/>
  <c r="F91" i="12"/>
  <c r="I91" i="12"/>
  <c r="F92" i="12"/>
  <c r="I92" i="12"/>
  <c r="F93" i="12"/>
  <c r="I93" i="12"/>
  <c r="D94" i="12"/>
  <c r="F95" i="12"/>
  <c r="I95" i="12"/>
  <c r="F96" i="12"/>
  <c r="I96" i="12"/>
  <c r="F97" i="12"/>
  <c r="I97" i="12"/>
  <c r="F98" i="12"/>
  <c r="I98" i="12"/>
  <c r="F99" i="12"/>
  <c r="I99" i="12"/>
  <c r="D100" i="12"/>
  <c r="E100" i="12"/>
  <c r="F101" i="12"/>
  <c r="I101" i="12"/>
  <c r="F102" i="12"/>
  <c r="I102" i="12"/>
  <c r="F105" i="12"/>
  <c r="I105" i="12"/>
  <c r="F106" i="12"/>
  <c r="I106" i="12"/>
  <c r="D107" i="12"/>
  <c r="E107" i="12"/>
  <c r="F111" i="12"/>
  <c r="I111" i="12"/>
  <c r="F112" i="12"/>
  <c r="I112" i="12"/>
  <c r="F113" i="12"/>
  <c r="I113" i="12"/>
  <c r="F114" i="12"/>
  <c r="I114" i="12"/>
  <c r="F115" i="12"/>
  <c r="I115" i="12"/>
  <c r="F116" i="12"/>
  <c r="I116" i="12"/>
  <c r="D117" i="12"/>
  <c r="E117" i="12"/>
  <c r="F118" i="12"/>
  <c r="I118" i="12"/>
  <c r="F119" i="12"/>
  <c r="I119" i="12"/>
  <c r="F120" i="12"/>
  <c r="I120" i="12"/>
  <c r="F121" i="12"/>
  <c r="I121" i="12"/>
  <c r="D122" i="12"/>
  <c r="E122" i="12"/>
  <c r="I122" i="12"/>
  <c r="F123" i="12"/>
  <c r="I123" i="12"/>
  <c r="F124" i="12"/>
  <c r="I124" i="12"/>
  <c r="F125" i="12"/>
  <c r="I125" i="12"/>
  <c r="E126" i="12"/>
  <c r="E130" i="12" s="1"/>
  <c r="F127" i="12"/>
  <c r="I127" i="12"/>
  <c r="F128" i="12"/>
  <c r="I128" i="12"/>
  <c r="F129" i="12"/>
  <c r="I129" i="12"/>
  <c r="F7" i="13"/>
  <c r="I7" i="13"/>
  <c r="F8" i="13"/>
  <c r="I8" i="13"/>
  <c r="E9" i="13"/>
  <c r="F10" i="13"/>
  <c r="I10" i="13"/>
  <c r="F11" i="13"/>
  <c r="I11" i="13"/>
  <c r="F12" i="13"/>
  <c r="I12" i="13"/>
  <c r="F13" i="13"/>
  <c r="I13" i="13"/>
  <c r="F14" i="13"/>
  <c r="I14" i="13"/>
  <c r="F15" i="13"/>
  <c r="I15" i="13"/>
  <c r="D16" i="13"/>
  <c r="E16" i="13"/>
  <c r="F17" i="13"/>
  <c r="I17" i="13"/>
  <c r="F18" i="13"/>
  <c r="I18" i="13"/>
  <c r="F19" i="13"/>
  <c r="I19" i="13"/>
  <c r="F20" i="13"/>
  <c r="I20" i="13"/>
  <c r="F21" i="13"/>
  <c r="I21" i="13"/>
  <c r="F22" i="13"/>
  <c r="I22" i="13"/>
  <c r="F23" i="13"/>
  <c r="I23" i="13"/>
  <c r="F24" i="13"/>
  <c r="I24" i="13"/>
  <c r="F25" i="13"/>
  <c r="I25" i="13"/>
  <c r="F26" i="13"/>
  <c r="I26" i="13"/>
  <c r="F27" i="13"/>
  <c r="I27" i="13"/>
  <c r="F28" i="13"/>
  <c r="I28" i="13"/>
  <c r="F29" i="13"/>
  <c r="I29" i="13"/>
  <c r="F30" i="13"/>
  <c r="I30" i="13"/>
  <c r="F31" i="13"/>
  <c r="I31" i="13"/>
  <c r="D32" i="13"/>
  <c r="E32" i="13"/>
  <c r="F34" i="13"/>
  <c r="I34" i="13"/>
  <c r="F35" i="13"/>
  <c r="I35" i="13"/>
  <c r="F36" i="13"/>
  <c r="I36" i="13"/>
  <c r="F37" i="13"/>
  <c r="I37" i="13"/>
  <c r="F38" i="13"/>
  <c r="I38" i="13"/>
  <c r="F39" i="13"/>
  <c r="I39" i="13"/>
  <c r="F40" i="13"/>
  <c r="I40" i="13"/>
  <c r="D41" i="13"/>
  <c r="E41" i="13"/>
  <c r="F42" i="13"/>
  <c r="I42" i="13"/>
  <c r="F43" i="13"/>
  <c r="I43" i="13"/>
  <c r="F44" i="13"/>
  <c r="I44" i="13"/>
  <c r="F45" i="13"/>
  <c r="I45" i="13"/>
  <c r="D46" i="13"/>
  <c r="E46" i="13"/>
  <c r="F47" i="13"/>
  <c r="I47" i="13"/>
  <c r="F48" i="13"/>
  <c r="I48" i="13"/>
  <c r="F49" i="13"/>
  <c r="I49" i="13"/>
  <c r="F50" i="13"/>
  <c r="I50" i="13"/>
  <c r="F51" i="13"/>
  <c r="I51" i="13"/>
  <c r="F52" i="13"/>
  <c r="I52" i="13"/>
  <c r="F53" i="13"/>
  <c r="I53" i="13"/>
  <c r="F54" i="13"/>
  <c r="I54" i="13"/>
  <c r="F55" i="13"/>
  <c r="I55" i="13"/>
  <c r="D56" i="13"/>
  <c r="E56" i="13"/>
  <c r="F59" i="13"/>
  <c r="I59" i="13"/>
  <c r="F60" i="13"/>
  <c r="I60" i="13"/>
  <c r="F61" i="13"/>
  <c r="I61" i="13"/>
  <c r="F62" i="13"/>
  <c r="I62" i="13"/>
  <c r="D63" i="13"/>
  <c r="E63" i="13"/>
  <c r="F68" i="13"/>
  <c r="I68" i="13"/>
  <c r="F69" i="13"/>
  <c r="I69" i="13"/>
  <c r="F70" i="13"/>
  <c r="I70" i="13"/>
  <c r="F71" i="13"/>
  <c r="I71" i="13"/>
  <c r="F72" i="13"/>
  <c r="I72" i="13"/>
  <c r="F73" i="13"/>
  <c r="I73" i="13"/>
  <c r="D74" i="13"/>
  <c r="E74" i="13"/>
  <c r="F75" i="13"/>
  <c r="I75" i="13"/>
  <c r="F76" i="13"/>
  <c r="I76" i="13"/>
  <c r="F77" i="13"/>
  <c r="I77" i="13"/>
  <c r="F78" i="13"/>
  <c r="I78" i="13"/>
  <c r="F79" i="13"/>
  <c r="I79" i="13"/>
  <c r="F80" i="13"/>
  <c r="I80" i="13"/>
  <c r="F81" i="13"/>
  <c r="I81" i="13"/>
  <c r="D82" i="13"/>
  <c r="E82" i="13"/>
  <c r="F83" i="13"/>
  <c r="I83" i="13"/>
  <c r="F84" i="13"/>
  <c r="I84" i="13"/>
  <c r="F85" i="13"/>
  <c r="I85" i="13"/>
  <c r="F86" i="13"/>
  <c r="I86" i="13"/>
  <c r="F87" i="13"/>
  <c r="I87" i="13"/>
  <c r="F88" i="13"/>
  <c r="I88" i="13"/>
  <c r="F89" i="13"/>
  <c r="I89" i="13"/>
  <c r="F90" i="13"/>
  <c r="I90" i="13"/>
  <c r="F91" i="13"/>
  <c r="I91" i="13"/>
  <c r="F92" i="13"/>
  <c r="I92" i="13"/>
  <c r="F93" i="13"/>
  <c r="I93" i="13"/>
  <c r="D94" i="13"/>
  <c r="E94" i="13"/>
  <c r="F95" i="13"/>
  <c r="I95" i="13"/>
  <c r="F96" i="13"/>
  <c r="I96" i="13"/>
  <c r="F97" i="13"/>
  <c r="I97" i="13"/>
  <c r="F98" i="13"/>
  <c r="I98" i="13"/>
  <c r="F99" i="13"/>
  <c r="I99" i="13"/>
  <c r="D100" i="13"/>
  <c r="E100" i="13"/>
  <c r="F101" i="13"/>
  <c r="I101" i="13"/>
  <c r="F102" i="13"/>
  <c r="I102" i="13"/>
  <c r="F105" i="13"/>
  <c r="I105" i="13"/>
  <c r="F106" i="13"/>
  <c r="I106" i="13"/>
  <c r="D107" i="13"/>
  <c r="E107" i="13"/>
  <c r="F111" i="13"/>
  <c r="I111" i="13"/>
  <c r="F112" i="13"/>
  <c r="I112" i="13"/>
  <c r="F113" i="13"/>
  <c r="I113" i="13"/>
  <c r="F114" i="13"/>
  <c r="I114" i="13"/>
  <c r="F115" i="13"/>
  <c r="I115" i="13"/>
  <c r="F116" i="13"/>
  <c r="I116" i="13"/>
  <c r="D117" i="13"/>
  <c r="E117" i="13"/>
  <c r="F118" i="13"/>
  <c r="I118" i="13"/>
  <c r="F119" i="13"/>
  <c r="I119" i="13"/>
  <c r="F120" i="13"/>
  <c r="I120" i="13"/>
  <c r="F121" i="13"/>
  <c r="D122" i="13"/>
  <c r="E122" i="13"/>
  <c r="F123" i="13"/>
  <c r="I123" i="13"/>
  <c r="F124" i="13"/>
  <c r="I124" i="13"/>
  <c r="F125" i="13"/>
  <c r="I125" i="13"/>
  <c r="E126" i="13"/>
  <c r="E130" i="13" s="1"/>
  <c r="F127" i="13"/>
  <c r="I127" i="13"/>
  <c r="F128" i="13"/>
  <c r="I128" i="13"/>
  <c r="F129" i="13"/>
  <c r="I129" i="13"/>
  <c r="F7" i="14"/>
  <c r="I7" i="14"/>
  <c r="F8" i="14"/>
  <c r="I8" i="14"/>
  <c r="E9" i="14"/>
  <c r="F10" i="14"/>
  <c r="I10" i="14"/>
  <c r="F11" i="14"/>
  <c r="I11" i="14"/>
  <c r="F12" i="14"/>
  <c r="I12" i="14"/>
  <c r="F13" i="14"/>
  <c r="I13" i="14"/>
  <c r="F14" i="14"/>
  <c r="I14" i="14"/>
  <c r="F15" i="14"/>
  <c r="I15" i="14"/>
  <c r="E16" i="14"/>
  <c r="F17" i="14"/>
  <c r="I17" i="14"/>
  <c r="F18" i="14"/>
  <c r="I18" i="14"/>
  <c r="F19" i="14"/>
  <c r="I19" i="14"/>
  <c r="F20" i="14"/>
  <c r="I20" i="14"/>
  <c r="F21" i="14"/>
  <c r="I21" i="14"/>
  <c r="F22" i="14"/>
  <c r="I22" i="14"/>
  <c r="F23" i="14"/>
  <c r="I23" i="14"/>
  <c r="F24" i="14"/>
  <c r="I24" i="14"/>
  <c r="F25" i="14"/>
  <c r="I25" i="14"/>
  <c r="F26" i="14"/>
  <c r="I26" i="14"/>
  <c r="F27" i="14"/>
  <c r="I27" i="14"/>
  <c r="F28" i="14"/>
  <c r="I28" i="14"/>
  <c r="F29" i="14"/>
  <c r="I29" i="14"/>
  <c r="F30" i="14"/>
  <c r="I30" i="14"/>
  <c r="F31" i="14"/>
  <c r="I31" i="14"/>
  <c r="D32" i="14"/>
  <c r="E32" i="14"/>
  <c r="F34" i="14"/>
  <c r="I34" i="14"/>
  <c r="F35" i="14"/>
  <c r="I35" i="14"/>
  <c r="F36" i="14"/>
  <c r="I36" i="14"/>
  <c r="F37" i="14"/>
  <c r="I37" i="14"/>
  <c r="F38" i="14"/>
  <c r="I38" i="14"/>
  <c r="F39" i="14"/>
  <c r="I39" i="14"/>
  <c r="F40" i="14"/>
  <c r="I40" i="14"/>
  <c r="D41" i="14"/>
  <c r="E41" i="14"/>
  <c r="F42" i="14"/>
  <c r="I42" i="14"/>
  <c r="F43" i="14"/>
  <c r="I43" i="14"/>
  <c r="F44" i="14"/>
  <c r="I44" i="14"/>
  <c r="F45" i="14"/>
  <c r="I45" i="14"/>
  <c r="D46" i="14"/>
  <c r="E46" i="14"/>
  <c r="F47" i="14"/>
  <c r="I47" i="14"/>
  <c r="F48" i="14"/>
  <c r="I48" i="14"/>
  <c r="F49" i="14"/>
  <c r="I49" i="14"/>
  <c r="F50" i="14"/>
  <c r="I50" i="14"/>
  <c r="F51" i="14"/>
  <c r="I51" i="14"/>
  <c r="F52" i="14"/>
  <c r="I52" i="14"/>
  <c r="F53" i="14"/>
  <c r="I53" i="14"/>
  <c r="F54" i="14"/>
  <c r="I54" i="14"/>
  <c r="F55" i="14"/>
  <c r="I55" i="14"/>
  <c r="D56" i="14"/>
  <c r="E56" i="14"/>
  <c r="F59" i="14"/>
  <c r="I59" i="14"/>
  <c r="F60" i="14"/>
  <c r="I60" i="14"/>
  <c r="F61" i="14"/>
  <c r="I61" i="14"/>
  <c r="F62" i="14"/>
  <c r="I62" i="14"/>
  <c r="D63" i="14"/>
  <c r="E63" i="14"/>
  <c r="F68" i="14"/>
  <c r="I68" i="14"/>
  <c r="F69" i="14"/>
  <c r="I69" i="14"/>
  <c r="F70" i="14"/>
  <c r="I70" i="14"/>
  <c r="F71" i="14"/>
  <c r="I71" i="14"/>
  <c r="F72" i="14"/>
  <c r="I72" i="14"/>
  <c r="F73" i="14"/>
  <c r="I73" i="14"/>
  <c r="D74" i="14"/>
  <c r="E74" i="14"/>
  <c r="F75" i="14"/>
  <c r="I75" i="14"/>
  <c r="F76" i="14"/>
  <c r="I76" i="14"/>
  <c r="F77" i="14"/>
  <c r="I77" i="14"/>
  <c r="F78" i="14"/>
  <c r="I78" i="14"/>
  <c r="F79" i="14"/>
  <c r="I79" i="14"/>
  <c r="F80" i="14"/>
  <c r="I80" i="14"/>
  <c r="F81" i="14"/>
  <c r="I81" i="14"/>
  <c r="D82" i="14"/>
  <c r="E82" i="14"/>
  <c r="F83" i="14"/>
  <c r="I83" i="14"/>
  <c r="F84" i="14"/>
  <c r="I84" i="14"/>
  <c r="F85" i="14"/>
  <c r="I85" i="14"/>
  <c r="F86" i="14"/>
  <c r="I86" i="14"/>
  <c r="F87" i="14"/>
  <c r="I87" i="14"/>
  <c r="F88" i="14"/>
  <c r="I88" i="14"/>
  <c r="F89" i="14"/>
  <c r="I89" i="14"/>
  <c r="F90" i="14"/>
  <c r="I90" i="14"/>
  <c r="F91" i="14"/>
  <c r="I91" i="14"/>
  <c r="F92" i="14"/>
  <c r="I92" i="14"/>
  <c r="F93" i="14"/>
  <c r="I93" i="14"/>
  <c r="D94" i="14"/>
  <c r="E94" i="14"/>
  <c r="F95" i="14"/>
  <c r="I95" i="14"/>
  <c r="F96" i="14"/>
  <c r="I96" i="14"/>
  <c r="F97" i="14"/>
  <c r="I97" i="14"/>
  <c r="F98" i="14"/>
  <c r="I98" i="14"/>
  <c r="F99" i="14"/>
  <c r="I99" i="14"/>
  <c r="D100" i="14"/>
  <c r="E100" i="14"/>
  <c r="F101" i="14"/>
  <c r="I101" i="14"/>
  <c r="F102" i="14"/>
  <c r="I102" i="14"/>
  <c r="F105" i="14"/>
  <c r="I105" i="14"/>
  <c r="F106" i="14"/>
  <c r="I106" i="14"/>
  <c r="D107" i="14"/>
  <c r="E107" i="14"/>
  <c r="F111" i="14"/>
  <c r="I111" i="14"/>
  <c r="F112" i="14"/>
  <c r="I112" i="14"/>
  <c r="F113" i="14"/>
  <c r="I113" i="14"/>
  <c r="F114" i="14"/>
  <c r="I114" i="14"/>
  <c r="F115" i="14"/>
  <c r="I115" i="14"/>
  <c r="F116" i="14"/>
  <c r="I116" i="14"/>
  <c r="D117" i="14"/>
  <c r="E117" i="14"/>
  <c r="F118" i="14"/>
  <c r="I118" i="14"/>
  <c r="F119" i="14"/>
  <c r="I119" i="14"/>
  <c r="F120" i="14"/>
  <c r="I120" i="14"/>
  <c r="I121" i="14"/>
  <c r="D122" i="14"/>
  <c r="E122" i="14"/>
  <c r="I122" i="14"/>
  <c r="F123" i="14"/>
  <c r="I123" i="14"/>
  <c r="F124" i="14"/>
  <c r="I124" i="14"/>
  <c r="F125" i="14"/>
  <c r="I125" i="14"/>
  <c r="F127" i="14"/>
  <c r="I127" i="14"/>
  <c r="F128" i="14"/>
  <c r="I128" i="14"/>
  <c r="F129" i="14"/>
  <c r="I129" i="14"/>
  <c r="F7" i="15"/>
  <c r="I7" i="15"/>
  <c r="F8" i="15"/>
  <c r="I8" i="15"/>
  <c r="D9" i="15"/>
  <c r="E9" i="15"/>
  <c r="F10" i="15"/>
  <c r="I10" i="15"/>
  <c r="F11" i="15"/>
  <c r="I11" i="15"/>
  <c r="F12" i="15"/>
  <c r="I12" i="15"/>
  <c r="I13" i="15"/>
  <c r="F14" i="15"/>
  <c r="I14" i="15"/>
  <c r="F15" i="15"/>
  <c r="I15" i="15"/>
  <c r="E16" i="15"/>
  <c r="F17" i="15"/>
  <c r="I17" i="15"/>
  <c r="F18" i="15"/>
  <c r="I18" i="15"/>
  <c r="F19" i="15"/>
  <c r="I19" i="15"/>
  <c r="F20" i="15"/>
  <c r="I20" i="15"/>
  <c r="F21" i="15"/>
  <c r="I21" i="15"/>
  <c r="F22" i="15"/>
  <c r="I22" i="15"/>
  <c r="F23" i="15"/>
  <c r="I23" i="15"/>
  <c r="F24" i="15"/>
  <c r="I24" i="15"/>
  <c r="F25" i="15"/>
  <c r="I25" i="15"/>
  <c r="F26" i="15"/>
  <c r="I26" i="15"/>
  <c r="F27" i="15"/>
  <c r="I27" i="15"/>
  <c r="F28" i="15"/>
  <c r="I28" i="15"/>
  <c r="F29" i="15"/>
  <c r="I29" i="15"/>
  <c r="F30" i="15"/>
  <c r="I30" i="15"/>
  <c r="F31" i="15"/>
  <c r="I31" i="15"/>
  <c r="D32" i="15"/>
  <c r="E32" i="15"/>
  <c r="F34" i="15"/>
  <c r="I34" i="15"/>
  <c r="F35" i="15"/>
  <c r="I35" i="15"/>
  <c r="F36" i="15"/>
  <c r="I36" i="15"/>
  <c r="F37" i="15"/>
  <c r="I37" i="15"/>
  <c r="F38" i="15"/>
  <c r="I38" i="15"/>
  <c r="F39" i="15"/>
  <c r="I39" i="15"/>
  <c r="F40" i="15"/>
  <c r="I40" i="15"/>
  <c r="D41" i="15"/>
  <c r="E41" i="15"/>
  <c r="F42" i="15"/>
  <c r="I42" i="15"/>
  <c r="F43" i="15"/>
  <c r="I43" i="15"/>
  <c r="F44" i="15"/>
  <c r="I44" i="15"/>
  <c r="F45" i="15"/>
  <c r="I45" i="15"/>
  <c r="D46" i="15"/>
  <c r="E46" i="15"/>
  <c r="F47" i="15"/>
  <c r="I47" i="15"/>
  <c r="F48" i="15"/>
  <c r="I48" i="15"/>
  <c r="F49" i="15"/>
  <c r="I49" i="15"/>
  <c r="F50" i="15"/>
  <c r="I50" i="15"/>
  <c r="F51" i="15"/>
  <c r="I51" i="15"/>
  <c r="F52" i="15"/>
  <c r="I52" i="15"/>
  <c r="F53" i="15"/>
  <c r="I53" i="15"/>
  <c r="F54" i="15"/>
  <c r="I54" i="15"/>
  <c r="F55" i="15"/>
  <c r="I55" i="15"/>
  <c r="D56" i="15"/>
  <c r="E56" i="15"/>
  <c r="F59" i="15"/>
  <c r="I59" i="15"/>
  <c r="F60" i="15"/>
  <c r="I60" i="15"/>
  <c r="F61" i="15"/>
  <c r="I61" i="15"/>
  <c r="F62" i="15"/>
  <c r="I62" i="15"/>
  <c r="D63" i="15"/>
  <c r="E63" i="15"/>
  <c r="F68" i="15"/>
  <c r="I68" i="15"/>
  <c r="F69" i="15"/>
  <c r="I69" i="15"/>
  <c r="F70" i="15"/>
  <c r="I70" i="15"/>
  <c r="F71" i="15"/>
  <c r="I71" i="15"/>
  <c r="F72" i="15"/>
  <c r="I72" i="15"/>
  <c r="F73" i="15"/>
  <c r="I73" i="15"/>
  <c r="D74" i="15"/>
  <c r="E74" i="15"/>
  <c r="F75" i="15"/>
  <c r="I75" i="15"/>
  <c r="F76" i="15"/>
  <c r="I76" i="15"/>
  <c r="F77" i="15"/>
  <c r="I77" i="15"/>
  <c r="F78" i="15"/>
  <c r="I78" i="15"/>
  <c r="F79" i="15"/>
  <c r="I79" i="15"/>
  <c r="F80" i="15"/>
  <c r="I80" i="15"/>
  <c r="F81" i="15"/>
  <c r="I81" i="15"/>
  <c r="D82" i="15"/>
  <c r="E82" i="15"/>
  <c r="F83" i="15"/>
  <c r="I83" i="15"/>
  <c r="F84" i="15"/>
  <c r="I84" i="15"/>
  <c r="F85" i="15"/>
  <c r="I85" i="15"/>
  <c r="F86" i="15"/>
  <c r="I86" i="15"/>
  <c r="F87" i="15"/>
  <c r="I87" i="15"/>
  <c r="F88" i="15"/>
  <c r="I88" i="15"/>
  <c r="F89" i="15"/>
  <c r="I89" i="15"/>
  <c r="F90" i="15"/>
  <c r="I90" i="15"/>
  <c r="F91" i="15"/>
  <c r="I91" i="15"/>
  <c r="F92" i="15"/>
  <c r="I92" i="15"/>
  <c r="F93" i="15"/>
  <c r="I93" i="15"/>
  <c r="D94" i="15"/>
  <c r="E94" i="15"/>
  <c r="F95" i="15"/>
  <c r="I95" i="15"/>
  <c r="F96" i="15"/>
  <c r="I96" i="15"/>
  <c r="F97" i="15"/>
  <c r="I97" i="15"/>
  <c r="F98" i="15"/>
  <c r="I98" i="15"/>
  <c r="F99" i="15"/>
  <c r="I99" i="15"/>
  <c r="D100" i="15"/>
  <c r="E100" i="15"/>
  <c r="F101" i="15"/>
  <c r="I101" i="15"/>
  <c r="F102" i="15"/>
  <c r="I102" i="15"/>
  <c r="F105" i="15"/>
  <c r="I105" i="15"/>
  <c r="F106" i="15"/>
  <c r="I106" i="15"/>
  <c r="D107" i="15"/>
  <c r="E107" i="15"/>
  <c r="F111" i="15"/>
  <c r="I111" i="15"/>
  <c r="F112" i="15"/>
  <c r="I112" i="15"/>
  <c r="F113" i="15"/>
  <c r="I113" i="15"/>
  <c r="F114" i="15"/>
  <c r="I114" i="15"/>
  <c r="F115" i="15"/>
  <c r="I115" i="15"/>
  <c r="F116" i="15"/>
  <c r="I116" i="15"/>
  <c r="D117" i="15"/>
  <c r="E117" i="15"/>
  <c r="F118" i="15"/>
  <c r="I118" i="15"/>
  <c r="F119" i="15"/>
  <c r="I119" i="15"/>
  <c r="F120" i="15"/>
  <c r="I120" i="15"/>
  <c r="F121" i="15"/>
  <c r="I121" i="15"/>
  <c r="E122" i="15"/>
  <c r="F123" i="15"/>
  <c r="I123" i="15"/>
  <c r="F124" i="15"/>
  <c r="I124" i="15"/>
  <c r="F125" i="15"/>
  <c r="I125" i="15"/>
  <c r="F127" i="15"/>
  <c r="I127" i="15"/>
  <c r="F128" i="15"/>
  <c r="I128" i="15"/>
  <c r="F129" i="15"/>
  <c r="I129" i="15"/>
  <c r="S8" i="16"/>
  <c r="T8" i="16"/>
  <c r="S9" i="16"/>
  <c r="T9" i="16"/>
  <c r="S10" i="16"/>
  <c r="T10" i="16"/>
  <c r="S11" i="16"/>
  <c r="T11" i="16"/>
  <c r="C12" i="16"/>
  <c r="D12" i="16"/>
  <c r="E12" i="16"/>
  <c r="F12" i="16"/>
  <c r="G12" i="16"/>
  <c r="H12" i="16"/>
  <c r="I12" i="16"/>
  <c r="J12" i="16"/>
  <c r="K12" i="16"/>
  <c r="L12" i="16"/>
  <c r="M12" i="16"/>
  <c r="N12" i="16"/>
  <c r="O12" i="16"/>
  <c r="P12" i="16"/>
  <c r="Q12" i="16"/>
  <c r="R12" i="16"/>
  <c r="S13" i="16"/>
  <c r="T13" i="16"/>
  <c r="S14" i="16"/>
  <c r="S15" i="16"/>
  <c r="S16" i="16"/>
  <c r="S17" i="16"/>
  <c r="S18" i="16"/>
  <c r="S19" i="16"/>
  <c r="S20" i="16"/>
  <c r="S21" i="16"/>
  <c r="S22" i="16"/>
  <c r="S23" i="16"/>
  <c r="C24" i="16"/>
  <c r="D24" i="16"/>
  <c r="E24" i="16"/>
  <c r="F24" i="16"/>
  <c r="G24" i="16"/>
  <c r="H24" i="16"/>
  <c r="I24" i="16"/>
  <c r="J24" i="16"/>
  <c r="K24" i="16"/>
  <c r="L24" i="16"/>
  <c r="M24" i="16"/>
  <c r="N24" i="16"/>
  <c r="O24" i="16"/>
  <c r="P24" i="16"/>
  <c r="Q24" i="16"/>
  <c r="R24" i="16"/>
  <c r="S25" i="16"/>
  <c r="T25" i="16"/>
  <c r="S29" i="16"/>
  <c r="T29" i="16"/>
  <c r="S30" i="16"/>
  <c r="T30" i="16"/>
  <c r="S31" i="16"/>
  <c r="T31" i="16"/>
  <c r="C32" i="16"/>
  <c r="D32" i="16"/>
  <c r="E32" i="16"/>
  <c r="F32" i="16"/>
  <c r="G32" i="16"/>
  <c r="H32" i="16"/>
  <c r="I32" i="16"/>
  <c r="J32" i="16"/>
  <c r="K32" i="16"/>
  <c r="L32" i="16"/>
  <c r="M32" i="16"/>
  <c r="N32" i="16"/>
  <c r="O32" i="16"/>
  <c r="P32" i="16"/>
  <c r="Q32" i="16"/>
  <c r="R32" i="16"/>
  <c r="S33" i="16"/>
  <c r="T33" i="16"/>
  <c r="S34" i="16"/>
  <c r="T34" i="16"/>
  <c r="S35" i="16"/>
  <c r="T35" i="16"/>
  <c r="C36" i="16"/>
  <c r="D36" i="16"/>
  <c r="E36" i="16"/>
  <c r="F36" i="16"/>
  <c r="G36" i="16"/>
  <c r="H36" i="16"/>
  <c r="I36" i="16"/>
  <c r="J36" i="16"/>
  <c r="K36" i="16"/>
  <c r="L36" i="16"/>
  <c r="M36" i="16"/>
  <c r="N36" i="16"/>
  <c r="O36" i="16"/>
  <c r="P36" i="16"/>
  <c r="Q36" i="16"/>
  <c r="R36" i="16"/>
  <c r="E28" i="17"/>
  <c r="D13" i="18"/>
  <c r="C59" i="3" s="1"/>
  <c r="E13" i="18"/>
  <c r="E22" i="18" s="1"/>
  <c r="F13" i="18"/>
  <c r="F59" i="3" s="1"/>
  <c r="G13" i="18"/>
  <c r="G59" i="3" s="1"/>
  <c r="E60" i="24" s="1"/>
  <c r="D19" i="18"/>
  <c r="F61" i="3"/>
  <c r="D30" i="18"/>
  <c r="E30" i="18"/>
  <c r="F30" i="18"/>
  <c r="F33" i="18" s="1"/>
  <c r="G30" i="18"/>
  <c r="G33" i="18" s="1"/>
  <c r="D33" i="18"/>
  <c r="E33" i="18"/>
  <c r="D49" i="18"/>
  <c r="E49" i="18"/>
  <c r="F49" i="18"/>
  <c r="G49" i="18"/>
  <c r="D55" i="18"/>
  <c r="C129" i="3" s="1"/>
  <c r="E55" i="18"/>
  <c r="D129" i="3" s="1"/>
  <c r="F55" i="18"/>
  <c r="F129" i="3" s="1"/>
  <c r="G55" i="18"/>
  <c r="G129" i="3" s="1"/>
  <c r="D56" i="18"/>
  <c r="D58" i="18"/>
  <c r="C130" i="3" s="1"/>
  <c r="E58" i="18"/>
  <c r="D130" i="3" s="1"/>
  <c r="F58" i="18"/>
  <c r="F130" i="3" s="1"/>
  <c r="G58" i="18"/>
  <c r="G130" i="3" s="1"/>
  <c r="D60" i="18"/>
  <c r="C131" i="3" s="1"/>
  <c r="E60" i="18"/>
  <c r="E61" i="18" s="1"/>
  <c r="F131" i="3"/>
  <c r="G60" i="18"/>
  <c r="G131" i="3" s="1"/>
  <c r="D83" i="18"/>
  <c r="E83" i="18"/>
  <c r="F83" i="18"/>
  <c r="G83" i="18"/>
  <c r="I8" i="19"/>
  <c r="I9" i="19"/>
  <c r="I10" i="19"/>
  <c r="C11" i="19"/>
  <c r="D11" i="19"/>
  <c r="E11" i="19"/>
  <c r="F11" i="19"/>
  <c r="G11" i="19"/>
  <c r="H11" i="19"/>
  <c r="I12" i="19"/>
  <c r="C14" i="19"/>
  <c r="D14" i="19"/>
  <c r="E14" i="19"/>
  <c r="F14" i="19"/>
  <c r="G14" i="19"/>
  <c r="H14" i="19"/>
  <c r="I14" i="19"/>
  <c r="I15" i="19"/>
  <c r="I16" i="19"/>
  <c r="I17" i="19"/>
  <c r="C18" i="19"/>
  <c r="D18" i="19"/>
  <c r="E18" i="19"/>
  <c r="F18" i="19"/>
  <c r="G18" i="19"/>
  <c r="H18" i="19"/>
  <c r="I19" i="19"/>
  <c r="I20" i="19"/>
  <c r="I21" i="19"/>
  <c r="C22" i="19"/>
  <c r="D22" i="19"/>
  <c r="E22" i="19"/>
  <c r="F22" i="19"/>
  <c r="G22" i="19"/>
  <c r="H22" i="19"/>
  <c r="C60" i="3"/>
  <c r="D60" i="3"/>
  <c r="F60" i="3"/>
  <c r="G60" i="3"/>
  <c r="E61" i="24" s="1"/>
  <c r="D61" i="3"/>
  <c r="G61" i="3"/>
  <c r="E63" i="3"/>
  <c r="H63" i="3"/>
  <c r="E64" i="3"/>
  <c r="H64" i="3"/>
  <c r="C65" i="3"/>
  <c r="E65" i="3" s="1"/>
  <c r="F65" i="3"/>
  <c r="H65" i="3" s="1"/>
  <c r="J65" i="3" s="1"/>
  <c r="E66" i="3"/>
  <c r="H66" i="3"/>
  <c r="E67" i="3"/>
  <c r="C68" i="23" s="1"/>
  <c r="H67" i="3"/>
  <c r="E68" i="3"/>
  <c r="C69" i="23" s="1"/>
  <c r="N69" i="23" s="1"/>
  <c r="H68" i="3"/>
  <c r="E69" i="3"/>
  <c r="E69" i="22" s="1"/>
  <c r="H69" i="3"/>
  <c r="D86" i="3"/>
  <c r="G86" i="3"/>
  <c r="E133" i="3"/>
  <c r="E133" i="22" s="1"/>
  <c r="H133" i="3"/>
  <c r="E134" i="3"/>
  <c r="C135" i="24" s="1"/>
  <c r="H134" i="3"/>
  <c r="E135" i="3"/>
  <c r="E135" i="22" s="1"/>
  <c r="H135" i="3"/>
  <c r="E136" i="3"/>
  <c r="E136" i="22" s="1"/>
  <c r="H136" i="3"/>
  <c r="C137" i="3"/>
  <c r="D137" i="3"/>
  <c r="F137" i="3"/>
  <c r="G137" i="3"/>
  <c r="E140" i="3"/>
  <c r="C140" i="23" s="1"/>
  <c r="P140" i="23" s="1"/>
  <c r="H140" i="3"/>
  <c r="J140" i="3" s="1"/>
  <c r="E141" i="3"/>
  <c r="H141" i="3"/>
  <c r="J141" i="3" s="1"/>
  <c r="E19" i="21"/>
  <c r="C9" i="22"/>
  <c r="D9" i="22"/>
  <c r="C16" i="22"/>
  <c r="D16" i="22"/>
  <c r="C32" i="22"/>
  <c r="D32" i="22"/>
  <c r="C41" i="22"/>
  <c r="D41" i="22"/>
  <c r="C46" i="22"/>
  <c r="D46" i="22"/>
  <c r="C56" i="22"/>
  <c r="D56" i="22"/>
  <c r="C62" i="22"/>
  <c r="C71" i="22" s="1"/>
  <c r="C75" i="22" s="1"/>
  <c r="D62" i="22"/>
  <c r="D71" i="22" s="1"/>
  <c r="D75" i="22" s="1"/>
  <c r="E70" i="22"/>
  <c r="E74" i="22"/>
  <c r="C86" i="22"/>
  <c r="C92" i="22" s="1"/>
  <c r="D86" i="22"/>
  <c r="D92" i="22" s="1"/>
  <c r="C100" i="22"/>
  <c r="D100" i="22"/>
  <c r="C112" i="22"/>
  <c r="D112" i="22"/>
  <c r="C118" i="22"/>
  <c r="D118" i="22"/>
  <c r="C125" i="22"/>
  <c r="D125" i="22"/>
  <c r="C132" i="22"/>
  <c r="D132" i="22"/>
  <c r="C137" i="22"/>
  <c r="D137" i="22"/>
  <c r="C142" i="22"/>
  <c r="D142" i="22"/>
  <c r="E145" i="22"/>
  <c r="D41" i="23"/>
  <c r="D42" i="23" s="1"/>
  <c r="E41" i="23"/>
  <c r="E42" i="23" s="1"/>
  <c r="F41" i="23"/>
  <c r="F42" i="23" s="1"/>
  <c r="G41" i="23"/>
  <c r="G42" i="23" s="1"/>
  <c r="H41" i="23"/>
  <c r="H42" i="23" s="1"/>
  <c r="I41" i="23"/>
  <c r="I42" i="23" s="1"/>
  <c r="J41" i="23"/>
  <c r="J42" i="23" s="1"/>
  <c r="K41" i="23"/>
  <c r="K42" i="23" s="1"/>
  <c r="L42" i="23"/>
  <c r="M41" i="23"/>
  <c r="M42" i="23" s="1"/>
  <c r="N42" i="23"/>
  <c r="O41" i="23"/>
  <c r="O42" i="23" s="1"/>
  <c r="L43" i="23"/>
  <c r="L46" i="23" s="1"/>
  <c r="L47" i="23" s="1"/>
  <c r="D46" i="23"/>
  <c r="D47" i="23" s="1"/>
  <c r="E46" i="23"/>
  <c r="E47" i="23" s="1"/>
  <c r="F46" i="23"/>
  <c r="F47" i="23" s="1"/>
  <c r="G46" i="23"/>
  <c r="G47" i="23" s="1"/>
  <c r="H46" i="23"/>
  <c r="H47" i="23" s="1"/>
  <c r="I46" i="23"/>
  <c r="I47" i="23" s="1"/>
  <c r="J46" i="23"/>
  <c r="J47" i="23" s="1"/>
  <c r="M46" i="23"/>
  <c r="M47" i="23" s="1"/>
  <c r="N47" i="23"/>
  <c r="O47" i="23"/>
  <c r="D63" i="23"/>
  <c r="E63" i="23"/>
  <c r="F63" i="23"/>
  <c r="G63" i="23"/>
  <c r="H63" i="23"/>
  <c r="I63" i="23"/>
  <c r="J63" i="23"/>
  <c r="K63" i="23"/>
  <c r="L63" i="23"/>
  <c r="M63" i="23"/>
  <c r="N63" i="23"/>
  <c r="O63" i="23"/>
  <c r="C71" i="23"/>
  <c r="C75" i="23"/>
  <c r="D91" i="23"/>
  <c r="D118" i="23"/>
  <c r="E118" i="23"/>
  <c r="F118" i="23"/>
  <c r="G118" i="23"/>
  <c r="H118" i="23"/>
  <c r="I118" i="23"/>
  <c r="J118" i="23"/>
  <c r="K118" i="23"/>
  <c r="L118" i="23"/>
  <c r="M118" i="23"/>
  <c r="N118" i="23"/>
  <c r="O118" i="23"/>
  <c r="D132" i="23"/>
  <c r="E132" i="23"/>
  <c r="F132" i="23"/>
  <c r="G132" i="23"/>
  <c r="H132" i="23"/>
  <c r="I132" i="23"/>
  <c r="J132" i="23"/>
  <c r="K132" i="23"/>
  <c r="L132" i="23"/>
  <c r="M132" i="23"/>
  <c r="N132" i="23"/>
  <c r="O132" i="23"/>
  <c r="D137" i="23"/>
  <c r="E137" i="23"/>
  <c r="F137" i="23"/>
  <c r="G137" i="23"/>
  <c r="H137" i="23"/>
  <c r="I137" i="23"/>
  <c r="J137" i="23"/>
  <c r="K137" i="23"/>
  <c r="L137" i="23"/>
  <c r="M137" i="23"/>
  <c r="N137" i="23"/>
  <c r="O137" i="23"/>
  <c r="D142" i="23"/>
  <c r="E142" i="23"/>
  <c r="F142" i="23"/>
  <c r="G142" i="23"/>
  <c r="H142" i="23"/>
  <c r="I142" i="23"/>
  <c r="J142" i="23"/>
  <c r="K142" i="23"/>
  <c r="L142" i="23"/>
  <c r="M142" i="23"/>
  <c r="N142" i="23"/>
  <c r="O142" i="23"/>
  <c r="C145" i="23"/>
  <c r="P145" i="23" s="1"/>
  <c r="E12" i="24"/>
  <c r="F12" i="24" s="1"/>
  <c r="E13" i="24"/>
  <c r="F14" i="24"/>
  <c r="E15" i="24"/>
  <c r="F15" i="24" s="1"/>
  <c r="F16" i="24"/>
  <c r="D17" i="24"/>
  <c r="E18" i="24"/>
  <c r="F18" i="24" s="1"/>
  <c r="E19" i="24"/>
  <c r="F19" i="24" s="1"/>
  <c r="E20" i="24"/>
  <c r="F20" i="24" s="1"/>
  <c r="E21" i="24"/>
  <c r="F21" i="24" s="1"/>
  <c r="E22" i="24"/>
  <c r="E23" i="24"/>
  <c r="F23" i="24" s="1"/>
  <c r="E24" i="24"/>
  <c r="F24" i="24" s="1"/>
  <c r="E25" i="24"/>
  <c r="F25" i="24" s="1"/>
  <c r="E26" i="24"/>
  <c r="F26" i="24" s="1"/>
  <c r="E27" i="24"/>
  <c r="F27" i="24" s="1"/>
  <c r="E28" i="24"/>
  <c r="F28" i="24" s="1"/>
  <c r="E29" i="24"/>
  <c r="F29" i="24" s="1"/>
  <c r="E31" i="24"/>
  <c r="F31" i="24" s="1"/>
  <c r="E32" i="24"/>
  <c r="F32" i="24" s="1"/>
  <c r="D33" i="24"/>
  <c r="E35" i="24"/>
  <c r="F35" i="24" s="1"/>
  <c r="F36" i="24"/>
  <c r="E37" i="24"/>
  <c r="F37" i="24" s="1"/>
  <c r="E38" i="24"/>
  <c r="F38" i="24" s="1"/>
  <c r="E39" i="24"/>
  <c r="F39" i="24" s="1"/>
  <c r="E40" i="24"/>
  <c r="F40" i="24" s="1"/>
  <c r="D41" i="24"/>
  <c r="D42" i="24" s="1"/>
  <c r="E45" i="24"/>
  <c r="F45" i="24" s="1"/>
  <c r="D46" i="24"/>
  <c r="D47" i="24" s="1"/>
  <c r="E55" i="24"/>
  <c r="F55" i="24"/>
  <c r="D57" i="24"/>
  <c r="E62" i="24"/>
  <c r="F62" i="24" s="1"/>
  <c r="D63" i="24"/>
  <c r="D72" i="24" s="1"/>
  <c r="D76" i="24" s="1"/>
  <c r="E64" i="24"/>
  <c r="E65" i="24"/>
  <c r="E66" i="24"/>
  <c r="F66" i="24" s="1"/>
  <c r="E67" i="24"/>
  <c r="C68" i="24"/>
  <c r="E68" i="24"/>
  <c r="E69" i="24"/>
  <c r="E70" i="24"/>
  <c r="C71" i="24"/>
  <c r="E71" i="24"/>
  <c r="F71" i="24"/>
  <c r="C75" i="24"/>
  <c r="E75" i="24"/>
  <c r="F75" i="24"/>
  <c r="C80" i="24"/>
  <c r="D80" i="24"/>
  <c r="E80" i="24"/>
  <c r="F80" i="24"/>
  <c r="E81" i="24"/>
  <c r="E82" i="24"/>
  <c r="F82" i="24" s="1"/>
  <c r="E83" i="24"/>
  <c r="F83" i="24" s="1"/>
  <c r="E84" i="24"/>
  <c r="F84" i="24" s="1"/>
  <c r="E85" i="24"/>
  <c r="F85" i="24" s="1"/>
  <c r="E86" i="24"/>
  <c r="F86" i="24" s="1"/>
  <c r="D87" i="24"/>
  <c r="E88" i="24"/>
  <c r="F88" i="24" s="1"/>
  <c r="E89" i="24"/>
  <c r="F89" i="24" s="1"/>
  <c r="E90" i="24"/>
  <c r="F90" i="24" s="1"/>
  <c r="E91" i="24"/>
  <c r="F91" i="24" s="1"/>
  <c r="E95" i="24"/>
  <c r="E96" i="24"/>
  <c r="F96" i="24" s="1"/>
  <c r="E97" i="24"/>
  <c r="F97" i="24" s="1"/>
  <c r="E98" i="24"/>
  <c r="F98" i="24" s="1"/>
  <c r="E99" i="24"/>
  <c r="F99" i="24" s="1"/>
  <c r="E100" i="24"/>
  <c r="F100" i="24" s="1"/>
  <c r="D101" i="24"/>
  <c r="E102" i="24"/>
  <c r="F102" i="24" s="1"/>
  <c r="F103" i="24"/>
  <c r="F104" i="24"/>
  <c r="F105" i="24"/>
  <c r="F107" i="24"/>
  <c r="E108" i="24"/>
  <c r="F108" i="24" s="1"/>
  <c r="E109" i="24"/>
  <c r="F109" i="24" s="1"/>
  <c r="E110" i="24"/>
  <c r="F110" i="24" s="1"/>
  <c r="E111" i="24"/>
  <c r="F111" i="24" s="1"/>
  <c r="E112" i="24"/>
  <c r="F112" i="24" s="1"/>
  <c r="D113" i="24"/>
  <c r="E114" i="24"/>
  <c r="F114" i="24" s="1"/>
  <c r="E116" i="24"/>
  <c r="F116" i="24" s="1"/>
  <c r="E117" i="24"/>
  <c r="F117" i="24" s="1"/>
  <c r="E118" i="24"/>
  <c r="F118" i="24" s="1"/>
  <c r="E120" i="24"/>
  <c r="F120" i="24" s="1"/>
  <c r="E121" i="24"/>
  <c r="F121" i="24" s="1"/>
  <c r="E122" i="24"/>
  <c r="F122" i="24" s="1"/>
  <c r="E123" i="24"/>
  <c r="E124" i="24"/>
  <c r="F124" i="24" s="1"/>
  <c r="E125" i="24"/>
  <c r="F125" i="24" s="1"/>
  <c r="D126" i="24"/>
  <c r="E130" i="24"/>
  <c r="F130" i="24" s="1"/>
  <c r="E131" i="24"/>
  <c r="F131" i="24" s="1"/>
  <c r="E132" i="24"/>
  <c r="F132" i="24" s="1"/>
  <c r="D133" i="24"/>
  <c r="D134" i="24"/>
  <c r="E134" i="24" s="1"/>
  <c r="F134" i="24" s="1"/>
  <c r="D135" i="24"/>
  <c r="E135" i="24" s="1"/>
  <c r="F135" i="24" s="1"/>
  <c r="D136" i="24"/>
  <c r="E136" i="24" s="1"/>
  <c r="F136" i="24" s="1"/>
  <c r="D137" i="24"/>
  <c r="E137" i="24" s="1"/>
  <c r="F137" i="24" s="1"/>
  <c r="F139" i="24"/>
  <c r="E141" i="24"/>
  <c r="F141" i="24" s="1"/>
  <c r="E142" i="24"/>
  <c r="F142" i="24" s="1"/>
  <c r="D143" i="24"/>
  <c r="E144" i="24"/>
  <c r="F144" i="24" s="1"/>
  <c r="E145" i="24"/>
  <c r="F145" i="24" s="1"/>
  <c r="C146" i="24"/>
  <c r="E146" i="24"/>
  <c r="F146" i="24" s="1"/>
  <c r="E147" i="24"/>
  <c r="F147" i="24" s="1"/>
  <c r="E148" i="24"/>
  <c r="F148" i="24" s="1"/>
  <c r="E149" i="24"/>
  <c r="F149" i="24" s="1"/>
  <c r="D13" i="4"/>
  <c r="C97" i="3" s="1"/>
  <c r="E97" i="3" s="1"/>
  <c r="F97" i="3"/>
  <c r="H97" i="3" s="1"/>
  <c r="J97" i="3" s="1"/>
  <c r="D14" i="4"/>
  <c r="D20" i="4"/>
  <c r="F32" i="4"/>
  <c r="D34" i="4"/>
  <c r="E34" i="4"/>
  <c r="F99" i="3" s="1"/>
  <c r="H99" i="3" s="1"/>
  <c r="J99" i="3" s="1"/>
  <c r="D50" i="4"/>
  <c r="F80" i="3"/>
  <c r="F81" i="3"/>
  <c r="H81" i="3" s="1"/>
  <c r="J81" i="3" s="1"/>
  <c r="F82" i="3"/>
  <c r="H82" i="3" s="1"/>
  <c r="J82" i="3" s="1"/>
  <c r="D78" i="4"/>
  <c r="C83" i="3" s="1"/>
  <c r="E83" i="3" s="1"/>
  <c r="F83" i="3"/>
  <c r="H83" i="3" s="1"/>
  <c r="J83" i="3" s="1"/>
  <c r="D83" i="4"/>
  <c r="C84" i="3" s="1"/>
  <c r="E84" i="3" s="1"/>
  <c r="F84" i="3"/>
  <c r="H84" i="3" s="1"/>
  <c r="J84" i="3" s="1"/>
  <c r="D86" i="4"/>
  <c r="F85" i="3"/>
  <c r="H85" i="3" s="1"/>
  <c r="J85" i="3" s="1"/>
  <c r="D12" i="5"/>
  <c r="E12" i="5"/>
  <c r="F12" i="5"/>
  <c r="G12" i="5"/>
  <c r="D15" i="5"/>
  <c r="E15" i="5"/>
  <c r="F15" i="5"/>
  <c r="G15" i="5"/>
  <c r="D20" i="5"/>
  <c r="E20" i="5"/>
  <c r="F20" i="5"/>
  <c r="G20" i="5"/>
  <c r="D24" i="5"/>
  <c r="D25" i="5" s="1"/>
  <c r="E24" i="5"/>
  <c r="F24" i="5"/>
  <c r="G24" i="5"/>
  <c r="D28" i="5"/>
  <c r="E28" i="5"/>
  <c r="F28" i="5"/>
  <c r="G28" i="5"/>
  <c r="D31" i="5"/>
  <c r="E31" i="5"/>
  <c r="F31" i="5"/>
  <c r="G31" i="5"/>
  <c r="D34" i="5"/>
  <c r="E34" i="5"/>
  <c r="F34" i="5"/>
  <c r="G34" i="5"/>
  <c r="E49" i="5"/>
  <c r="F49" i="5"/>
  <c r="G49" i="5"/>
  <c r="D54" i="5"/>
  <c r="E54" i="5"/>
  <c r="F54" i="5"/>
  <c r="G54" i="5"/>
  <c r="D57" i="5"/>
  <c r="E57" i="5"/>
  <c r="F57" i="5"/>
  <c r="G57" i="5"/>
  <c r="D60" i="5"/>
  <c r="E60" i="5"/>
  <c r="F60" i="5"/>
  <c r="G60" i="5"/>
  <c r="D63" i="5"/>
  <c r="E63" i="5"/>
  <c r="F63" i="5"/>
  <c r="G63" i="5"/>
  <c r="D71" i="5"/>
  <c r="E71" i="5"/>
  <c r="F71" i="5"/>
  <c r="G71" i="5"/>
  <c r="D77" i="5"/>
  <c r="E77" i="5"/>
  <c r="F77" i="5"/>
  <c r="G77" i="5"/>
  <c r="D80" i="5"/>
  <c r="E80" i="5"/>
  <c r="F80" i="5"/>
  <c r="G80" i="5"/>
  <c r="D83" i="5"/>
  <c r="E83" i="5"/>
  <c r="F83" i="5"/>
  <c r="G83" i="5"/>
  <c r="D86" i="5"/>
  <c r="E86" i="5"/>
  <c r="F86" i="5"/>
  <c r="G86" i="5"/>
  <c r="G87" i="5" s="1"/>
  <c r="E11" i="6"/>
  <c r="F11" i="6"/>
  <c r="G11" i="6"/>
  <c r="D16" i="6"/>
  <c r="E16" i="6"/>
  <c r="F16" i="6"/>
  <c r="G16" i="6"/>
  <c r="E19" i="6"/>
  <c r="F19" i="6"/>
  <c r="G19" i="6"/>
  <c r="D29" i="6"/>
  <c r="F29" i="6"/>
  <c r="G29" i="6"/>
  <c r="D31" i="6"/>
  <c r="E31" i="6"/>
  <c r="F31" i="6"/>
  <c r="G31" i="6"/>
  <c r="D33" i="6"/>
  <c r="E33" i="6"/>
  <c r="F33" i="6"/>
  <c r="G33" i="6"/>
  <c r="F45" i="6"/>
  <c r="G45" i="6"/>
  <c r="E66" i="6"/>
  <c r="F66" i="6"/>
  <c r="G66" i="6"/>
  <c r="D68" i="6"/>
  <c r="E68" i="6"/>
  <c r="F68" i="6"/>
  <c r="G68" i="6"/>
  <c r="D71" i="6"/>
  <c r="E71" i="6"/>
  <c r="F71" i="6"/>
  <c r="G71" i="6"/>
  <c r="E91" i="6"/>
  <c r="F91" i="6"/>
  <c r="G91" i="6"/>
  <c r="F12" i="7"/>
  <c r="I12" i="7"/>
  <c r="F13" i="7"/>
  <c r="I13" i="7"/>
  <c r="D14" i="7"/>
  <c r="C30" i="3" s="1"/>
  <c r="E14" i="7"/>
  <c r="D30" i="3" s="1"/>
  <c r="F30" i="3"/>
  <c r="G30" i="3"/>
  <c r="F16" i="7"/>
  <c r="I16" i="7"/>
  <c r="F17" i="7"/>
  <c r="I17" i="7"/>
  <c r="F18" i="7"/>
  <c r="I18" i="7"/>
  <c r="F19" i="7"/>
  <c r="I19" i="7"/>
  <c r="D20" i="7"/>
  <c r="E20" i="7"/>
  <c r="O1" i="8"/>
  <c r="U1" i="8"/>
  <c r="O2" i="8"/>
  <c r="U2" i="8"/>
  <c r="D7" i="8"/>
  <c r="D8" i="3"/>
  <c r="AY9" i="8"/>
  <c r="D10" i="8"/>
  <c r="C10" i="3" s="1"/>
  <c r="D10" i="3"/>
  <c r="E11" i="2"/>
  <c r="F11" i="2"/>
  <c r="D11" i="8"/>
  <c r="C11" i="3" s="1"/>
  <c r="D11" i="3"/>
  <c r="D12" i="8"/>
  <c r="C12" i="3" s="1"/>
  <c r="D12" i="3"/>
  <c r="D14" i="8"/>
  <c r="C14" i="3" s="1"/>
  <c r="D14" i="3"/>
  <c r="D15" i="3"/>
  <c r="S33" i="8"/>
  <c r="AY16" i="8"/>
  <c r="D17" i="8"/>
  <c r="D17" i="3"/>
  <c r="C13" i="2" s="1"/>
  <c r="F13" i="2"/>
  <c r="D18" i="8"/>
  <c r="C18" i="3" s="1"/>
  <c r="D19" i="8"/>
  <c r="C19" i="3" s="1"/>
  <c r="D20" i="8"/>
  <c r="D20" i="3"/>
  <c r="D21" i="8"/>
  <c r="D21" i="3"/>
  <c r="D22" i="8"/>
  <c r="D22" i="3"/>
  <c r="D23" i="8"/>
  <c r="C23" i="3" s="1"/>
  <c r="D23" i="3"/>
  <c r="D24" i="8"/>
  <c r="D24" i="3"/>
  <c r="F24" i="3"/>
  <c r="D25" i="8"/>
  <c r="C25" i="3" s="1"/>
  <c r="D25" i="3"/>
  <c r="F25" i="3"/>
  <c r="G25" i="3"/>
  <c r="D26" i="8"/>
  <c r="D26" i="3"/>
  <c r="F26" i="3"/>
  <c r="D27" i="8"/>
  <c r="C27" i="3" s="1"/>
  <c r="F27" i="3"/>
  <c r="G27" i="3"/>
  <c r="D28" i="8"/>
  <c r="F29" i="3"/>
  <c r="G29" i="3"/>
  <c r="D30" i="8"/>
  <c r="D31" i="8"/>
  <c r="M33" i="8"/>
  <c r="O33" i="8"/>
  <c r="P33" i="8"/>
  <c r="Q33" i="8"/>
  <c r="T33" i="8"/>
  <c r="U33" i="8"/>
  <c r="W33" i="8"/>
  <c r="AE33" i="8"/>
  <c r="AG33" i="8"/>
  <c r="AL33" i="8"/>
  <c r="AN33" i="8"/>
  <c r="AO33" i="8"/>
  <c r="AP33" i="8"/>
  <c r="AQ33" i="8"/>
  <c r="AT33" i="8"/>
  <c r="AU33" i="8"/>
  <c r="AV33" i="8"/>
  <c r="AY32" i="8"/>
  <c r="AI33" i="8"/>
  <c r="AM33" i="8"/>
  <c r="AS33" i="8"/>
  <c r="D34" i="8"/>
  <c r="D35" i="8"/>
  <c r="D36" i="8"/>
  <c r="D37" i="8"/>
  <c r="D38" i="8"/>
  <c r="D39" i="8"/>
  <c r="D40" i="8"/>
  <c r="J41" i="8"/>
  <c r="K41" i="8"/>
  <c r="L41" i="8"/>
  <c r="M41" i="8"/>
  <c r="N41" i="8"/>
  <c r="O41" i="8"/>
  <c r="P41" i="8"/>
  <c r="Q41" i="8"/>
  <c r="R41" i="8"/>
  <c r="S41" i="8"/>
  <c r="T41" i="8"/>
  <c r="U41" i="8"/>
  <c r="V41" i="8"/>
  <c r="W41" i="8"/>
  <c r="X41" i="8"/>
  <c r="Y41" i="8"/>
  <c r="Z41" i="8"/>
  <c r="AA41" i="8"/>
  <c r="AB41" i="8"/>
  <c r="AC41" i="8"/>
  <c r="AD41" i="8"/>
  <c r="AE41" i="8"/>
  <c r="AF41" i="8"/>
  <c r="AG41" i="8"/>
  <c r="AH41" i="8"/>
  <c r="AI41" i="8"/>
  <c r="AJ41" i="8"/>
  <c r="AK41" i="8"/>
  <c r="AL41" i="8"/>
  <c r="AM41" i="8"/>
  <c r="AN41" i="8"/>
  <c r="AO41" i="8"/>
  <c r="AP41" i="8"/>
  <c r="AQ41" i="8"/>
  <c r="AR41" i="8"/>
  <c r="AS41" i="8"/>
  <c r="AT41" i="8"/>
  <c r="AU41" i="8"/>
  <c r="AV41" i="8"/>
  <c r="AW41" i="8"/>
  <c r="AX41" i="8"/>
  <c r="AY41" i="8"/>
  <c r="D42" i="8"/>
  <c r="D43" i="8"/>
  <c r="D44" i="8"/>
  <c r="D45" i="8"/>
  <c r="J46" i="8"/>
  <c r="K46" i="8"/>
  <c r="L46" i="8"/>
  <c r="M46" i="8"/>
  <c r="N46" i="8"/>
  <c r="O46" i="8"/>
  <c r="P46" i="8"/>
  <c r="Q46" i="8"/>
  <c r="R46" i="8"/>
  <c r="S46" i="8"/>
  <c r="T46" i="8"/>
  <c r="U46" i="8"/>
  <c r="V46" i="8"/>
  <c r="W46" i="8"/>
  <c r="X46" i="8"/>
  <c r="Y46" i="8"/>
  <c r="Z46" i="8"/>
  <c r="AA46" i="8"/>
  <c r="AB46" i="8"/>
  <c r="AC46" i="8"/>
  <c r="AD46" i="8"/>
  <c r="AE46" i="8"/>
  <c r="AF46" i="8"/>
  <c r="AG46" i="8"/>
  <c r="AH46" i="8"/>
  <c r="AI46" i="8"/>
  <c r="AJ46" i="8"/>
  <c r="AK46" i="8"/>
  <c r="AL46" i="8"/>
  <c r="AM46" i="8"/>
  <c r="AN46" i="8"/>
  <c r="AO46" i="8"/>
  <c r="AP46" i="8"/>
  <c r="AQ46" i="8"/>
  <c r="AR46" i="8"/>
  <c r="AS46" i="8"/>
  <c r="AT46" i="8"/>
  <c r="AU46" i="8"/>
  <c r="AV46" i="8"/>
  <c r="AW46" i="8"/>
  <c r="AX46" i="8"/>
  <c r="AY46" i="8"/>
  <c r="D47" i="8"/>
  <c r="C47" i="3" s="1"/>
  <c r="D47" i="3"/>
  <c r="G47" i="3"/>
  <c r="D48" i="8"/>
  <c r="C48" i="3" s="1"/>
  <c r="G48" i="3"/>
  <c r="D49" i="8"/>
  <c r="C49" i="3" s="1"/>
  <c r="D49" i="3"/>
  <c r="G49" i="3"/>
  <c r="D50" i="8"/>
  <c r="C50" i="3" s="1"/>
  <c r="D51" i="8"/>
  <c r="C51" i="3" s="1"/>
  <c r="D51" i="3"/>
  <c r="D52" i="8"/>
  <c r="C52" i="3" s="1"/>
  <c r="F52" i="3"/>
  <c r="G52" i="3"/>
  <c r="D53" i="8"/>
  <c r="C53" i="3" s="1"/>
  <c r="D53" i="3"/>
  <c r="G53" i="3"/>
  <c r="D54" i="8"/>
  <c r="D55" i="8"/>
  <c r="C55" i="3" s="1"/>
  <c r="D55" i="3"/>
  <c r="G55" i="3"/>
  <c r="J56" i="8"/>
  <c r="K56" i="8"/>
  <c r="L56" i="8"/>
  <c r="M56" i="8"/>
  <c r="N56" i="8"/>
  <c r="O56" i="8"/>
  <c r="P56" i="8"/>
  <c r="Q56" i="8"/>
  <c r="R56" i="8"/>
  <c r="S56" i="8"/>
  <c r="T56" i="8"/>
  <c r="U56" i="8"/>
  <c r="V56" i="8"/>
  <c r="W56" i="8"/>
  <c r="X56" i="8"/>
  <c r="Y56" i="8"/>
  <c r="Z56" i="8"/>
  <c r="AA56" i="8"/>
  <c r="AB56" i="8"/>
  <c r="AC56" i="8"/>
  <c r="AD56" i="8"/>
  <c r="AE56" i="8"/>
  <c r="AF56" i="8"/>
  <c r="AG56" i="8"/>
  <c r="AH56" i="8"/>
  <c r="AI56" i="8"/>
  <c r="AJ56" i="8"/>
  <c r="AK56" i="8"/>
  <c r="AL56" i="8"/>
  <c r="AM56" i="8"/>
  <c r="AN56" i="8"/>
  <c r="AO56" i="8"/>
  <c r="AP56" i="8"/>
  <c r="AQ56" i="8"/>
  <c r="AR56" i="8"/>
  <c r="AS56" i="8"/>
  <c r="AT56" i="8"/>
  <c r="AU56" i="8"/>
  <c r="AV56" i="8"/>
  <c r="AW56" i="8"/>
  <c r="AX56" i="8"/>
  <c r="AY56" i="8"/>
  <c r="D59" i="8"/>
  <c r="D60" i="8"/>
  <c r="C72" i="3" s="1"/>
  <c r="G72" i="3"/>
  <c r="D61" i="8"/>
  <c r="C73" i="3" s="1"/>
  <c r="D73" i="3"/>
  <c r="G73" i="3"/>
  <c r="D62" i="8"/>
  <c r="J63" i="8"/>
  <c r="K63" i="8"/>
  <c r="L63" i="8"/>
  <c r="M63" i="8"/>
  <c r="N63" i="8"/>
  <c r="O63" i="8"/>
  <c r="P63" i="8"/>
  <c r="Q63" i="8"/>
  <c r="R63" i="8"/>
  <c r="S63" i="8"/>
  <c r="T63" i="8"/>
  <c r="U63" i="8"/>
  <c r="V63" i="8"/>
  <c r="W63" i="8"/>
  <c r="X63" i="8"/>
  <c r="Y63" i="8"/>
  <c r="Z63" i="8"/>
  <c r="AA63" i="8"/>
  <c r="AB63" i="8"/>
  <c r="AC63" i="8"/>
  <c r="AD63" i="8"/>
  <c r="AE63" i="8"/>
  <c r="AF63" i="8"/>
  <c r="AG63" i="8"/>
  <c r="AH63" i="8"/>
  <c r="AI63" i="8"/>
  <c r="AJ63" i="8"/>
  <c r="AK63" i="8"/>
  <c r="AL63" i="8"/>
  <c r="AM63" i="8"/>
  <c r="AN63" i="8"/>
  <c r="AO63" i="8"/>
  <c r="AP63" i="8"/>
  <c r="AQ63" i="8"/>
  <c r="AR63" i="8"/>
  <c r="AS63" i="8"/>
  <c r="AT63" i="8"/>
  <c r="AU63" i="8"/>
  <c r="AV63" i="8"/>
  <c r="AW63" i="8"/>
  <c r="AX63" i="8"/>
  <c r="AY63" i="8"/>
  <c r="D68" i="8"/>
  <c r="D69" i="8"/>
  <c r="C87" i="3" s="1"/>
  <c r="F87" i="3"/>
  <c r="D70" i="8"/>
  <c r="C88" i="3" s="1"/>
  <c r="D88" i="3"/>
  <c r="F88" i="3"/>
  <c r="G88" i="3"/>
  <c r="D71" i="8"/>
  <c r="C89" i="3" s="1"/>
  <c r="G89" i="3"/>
  <c r="D72" i="8"/>
  <c r="C90" i="3" s="1"/>
  <c r="D90" i="3"/>
  <c r="D73" i="8"/>
  <c r="AY74" i="8"/>
  <c r="D75" i="8"/>
  <c r="D76" i="8"/>
  <c r="D94" i="3"/>
  <c r="F94" i="3"/>
  <c r="G94" i="3"/>
  <c r="D77" i="8"/>
  <c r="C95" i="3" s="1"/>
  <c r="F95" i="3"/>
  <c r="G95" i="3"/>
  <c r="D78" i="8"/>
  <c r="C96" i="3" s="1"/>
  <c r="D96" i="3"/>
  <c r="F96" i="3"/>
  <c r="G96" i="3"/>
  <c r="D79" i="8"/>
  <c r="D80" i="8"/>
  <c r="D81" i="8"/>
  <c r="D83" i="8"/>
  <c r="C101" i="3" s="1"/>
  <c r="F101" i="3"/>
  <c r="G101" i="3"/>
  <c r="D102" i="3"/>
  <c r="G102" i="3"/>
  <c r="D84" i="8"/>
  <c r="D85" i="8"/>
  <c r="C103" i="3" s="1"/>
  <c r="D103" i="3"/>
  <c r="F103" i="3"/>
  <c r="D104" i="3"/>
  <c r="F104" i="3"/>
  <c r="G104" i="3"/>
  <c r="D87" i="8"/>
  <c r="C105" i="3" s="1"/>
  <c r="D105" i="3"/>
  <c r="F105" i="3"/>
  <c r="G105" i="3"/>
  <c r="D88" i="8"/>
  <c r="C106" i="3" s="1"/>
  <c r="F106" i="3"/>
  <c r="D89" i="8"/>
  <c r="C107" i="3" s="1"/>
  <c r="D107" i="3"/>
  <c r="F107" i="3"/>
  <c r="G107" i="3"/>
  <c r="D90" i="8"/>
  <c r="C108" i="3" s="1"/>
  <c r="F108" i="3"/>
  <c r="G108" i="3"/>
  <c r="D91" i="8"/>
  <c r="C109" i="3" s="1"/>
  <c r="D109" i="3"/>
  <c r="F109" i="3"/>
  <c r="G109" i="3"/>
  <c r="D92" i="8"/>
  <c r="C110" i="3" s="1"/>
  <c r="F110" i="3"/>
  <c r="G110" i="3"/>
  <c r="D93" i="8"/>
  <c r="C111" i="3" s="1"/>
  <c r="D111" i="3"/>
  <c r="F111" i="3"/>
  <c r="J94" i="8"/>
  <c r="K94" i="8"/>
  <c r="K109" i="8" s="1"/>
  <c r="M94" i="8"/>
  <c r="N94" i="8"/>
  <c r="O94" i="8"/>
  <c r="P94" i="8"/>
  <c r="Q94" i="8"/>
  <c r="R94" i="8"/>
  <c r="S94" i="8"/>
  <c r="T94" i="8"/>
  <c r="U94" i="8"/>
  <c r="V94" i="8"/>
  <c r="W94" i="8"/>
  <c r="X94" i="8"/>
  <c r="Y94" i="8"/>
  <c r="Z94" i="8"/>
  <c r="AA94" i="8"/>
  <c r="AB94" i="8"/>
  <c r="AC94" i="8"/>
  <c r="AD94" i="8"/>
  <c r="AE94" i="8"/>
  <c r="AF94" i="8"/>
  <c r="AG94" i="8"/>
  <c r="AH94" i="8"/>
  <c r="AI94" i="8"/>
  <c r="AJ94" i="8"/>
  <c r="AK94" i="8"/>
  <c r="AL94" i="8"/>
  <c r="AM94" i="8"/>
  <c r="AN94" i="8"/>
  <c r="AO94" i="8"/>
  <c r="AP94" i="8"/>
  <c r="AQ94" i="8"/>
  <c r="AR94" i="8"/>
  <c r="AS94" i="8"/>
  <c r="AT94" i="8"/>
  <c r="AU94" i="8"/>
  <c r="AV94" i="8"/>
  <c r="AW94" i="8"/>
  <c r="AX94" i="8"/>
  <c r="AY94" i="8"/>
  <c r="D95" i="8"/>
  <c r="D96" i="8"/>
  <c r="D97" i="8"/>
  <c r="D98" i="8"/>
  <c r="D99" i="8"/>
  <c r="J100" i="8"/>
  <c r="K100" i="8"/>
  <c r="L100" i="8"/>
  <c r="M100" i="8"/>
  <c r="N100" i="8"/>
  <c r="O100" i="8"/>
  <c r="P100" i="8"/>
  <c r="Q100" i="8"/>
  <c r="R100" i="8"/>
  <c r="S100" i="8"/>
  <c r="T100" i="8"/>
  <c r="U100" i="8"/>
  <c r="V100" i="8"/>
  <c r="W100" i="8"/>
  <c r="X100" i="8"/>
  <c r="Y100" i="8"/>
  <c r="Z100" i="8"/>
  <c r="AA100" i="8"/>
  <c r="AB100" i="8"/>
  <c r="AC100" i="8"/>
  <c r="AD100" i="8"/>
  <c r="AE100" i="8"/>
  <c r="AF100" i="8"/>
  <c r="AG100" i="8"/>
  <c r="AH100" i="8"/>
  <c r="AI100" i="8"/>
  <c r="AJ100" i="8"/>
  <c r="AK100" i="8"/>
  <c r="AL100" i="8"/>
  <c r="AM100" i="8"/>
  <c r="AN100" i="8"/>
  <c r="AO100" i="8"/>
  <c r="AP100" i="8"/>
  <c r="AQ100" i="8"/>
  <c r="AR100" i="8"/>
  <c r="AS100" i="8"/>
  <c r="AT100" i="8"/>
  <c r="AU100" i="8"/>
  <c r="AV100" i="8"/>
  <c r="AW100" i="8"/>
  <c r="AX100" i="8"/>
  <c r="AY100" i="8"/>
  <c r="D119" i="3"/>
  <c r="F119" i="3"/>
  <c r="D102" i="8"/>
  <c r="C120" i="3" s="1"/>
  <c r="F120" i="3"/>
  <c r="G120" i="3"/>
  <c r="D103" i="8"/>
  <c r="C121" i="3" s="1"/>
  <c r="D121" i="3"/>
  <c r="D104" i="8"/>
  <c r="C122" i="3" s="1"/>
  <c r="D122" i="3"/>
  <c r="F122" i="3"/>
  <c r="G122" i="3"/>
  <c r="D105" i="8"/>
  <c r="C123" i="3" s="1"/>
  <c r="F123" i="3"/>
  <c r="G123" i="3"/>
  <c r="D106" i="8"/>
  <c r="C124" i="3" s="1"/>
  <c r="F124" i="3"/>
  <c r="G124" i="3"/>
  <c r="J107" i="8"/>
  <c r="K107" i="8"/>
  <c r="L107" i="8"/>
  <c r="M107" i="8"/>
  <c r="N107" i="8"/>
  <c r="O107" i="8"/>
  <c r="P107" i="8"/>
  <c r="Q107" i="8"/>
  <c r="R107" i="8"/>
  <c r="S107" i="8"/>
  <c r="T107" i="8"/>
  <c r="U107" i="8"/>
  <c r="V107" i="8"/>
  <c r="W107" i="8"/>
  <c r="X107" i="8"/>
  <c r="Y107" i="8"/>
  <c r="Z107" i="8"/>
  <c r="AA107" i="8"/>
  <c r="AB107" i="8"/>
  <c r="AC107" i="8"/>
  <c r="AD107" i="8"/>
  <c r="AE107" i="8"/>
  <c r="AF107" i="8"/>
  <c r="AG107" i="8"/>
  <c r="AH107" i="8"/>
  <c r="AI107" i="8"/>
  <c r="AJ107" i="8"/>
  <c r="AK107" i="8"/>
  <c r="AL107" i="8"/>
  <c r="AM107" i="8"/>
  <c r="AN107" i="8"/>
  <c r="AO107" i="8"/>
  <c r="AP107" i="8"/>
  <c r="AQ107" i="8"/>
  <c r="AR107" i="8"/>
  <c r="AS107" i="8"/>
  <c r="AT107" i="8"/>
  <c r="AU107" i="8"/>
  <c r="AV107" i="8"/>
  <c r="AW107" i="8"/>
  <c r="AX107" i="8"/>
  <c r="AY107" i="8"/>
  <c r="D111" i="8"/>
  <c r="D112" i="8"/>
  <c r="D138" i="3"/>
  <c r="D114" i="8"/>
  <c r="C139" i="3" s="1"/>
  <c r="D139" i="3"/>
  <c r="D115" i="8"/>
  <c r="D116" i="8"/>
  <c r="J117" i="8"/>
  <c r="J126" i="8" s="1"/>
  <c r="J130" i="8" s="1"/>
  <c r="K117" i="8"/>
  <c r="K126" i="8" s="1"/>
  <c r="K130" i="8" s="1"/>
  <c r="L117" i="8"/>
  <c r="L126" i="8" s="1"/>
  <c r="L130" i="8" s="1"/>
  <c r="M117" i="8"/>
  <c r="M126" i="8" s="1"/>
  <c r="M130" i="8" s="1"/>
  <c r="N117" i="8"/>
  <c r="N126" i="8" s="1"/>
  <c r="N130" i="8" s="1"/>
  <c r="O117" i="8"/>
  <c r="O126" i="8" s="1"/>
  <c r="O130" i="8" s="1"/>
  <c r="P117" i="8"/>
  <c r="P126" i="8" s="1"/>
  <c r="P130" i="8" s="1"/>
  <c r="Q117" i="8"/>
  <c r="Q126" i="8" s="1"/>
  <c r="Q130" i="8" s="1"/>
  <c r="R117" i="8"/>
  <c r="R126" i="8" s="1"/>
  <c r="R130" i="8" s="1"/>
  <c r="S117" i="8"/>
  <c r="S126" i="8" s="1"/>
  <c r="S130" i="8" s="1"/>
  <c r="T117" i="8"/>
  <c r="T126" i="8" s="1"/>
  <c r="T130" i="8" s="1"/>
  <c r="U117" i="8"/>
  <c r="U126" i="8" s="1"/>
  <c r="U130" i="8" s="1"/>
  <c r="V117" i="8"/>
  <c r="V126" i="8" s="1"/>
  <c r="V130" i="8" s="1"/>
  <c r="W117" i="8"/>
  <c r="W126" i="8" s="1"/>
  <c r="W130" i="8" s="1"/>
  <c r="X117" i="8"/>
  <c r="X126" i="8" s="1"/>
  <c r="X130" i="8" s="1"/>
  <c r="Y117" i="8"/>
  <c r="Y126" i="8" s="1"/>
  <c r="Y130" i="8" s="1"/>
  <c r="Z117" i="8"/>
  <c r="Z126" i="8" s="1"/>
  <c r="Z130" i="8" s="1"/>
  <c r="AA117" i="8"/>
  <c r="AA126" i="8" s="1"/>
  <c r="AA130" i="8" s="1"/>
  <c r="AB117" i="8"/>
  <c r="AB126" i="8" s="1"/>
  <c r="AB130" i="8" s="1"/>
  <c r="AC117" i="8"/>
  <c r="AC126" i="8" s="1"/>
  <c r="AC130" i="8" s="1"/>
  <c r="AD117" i="8"/>
  <c r="AD126" i="8" s="1"/>
  <c r="AD130" i="8" s="1"/>
  <c r="AE117" i="8"/>
  <c r="AE126" i="8" s="1"/>
  <c r="AE130" i="8" s="1"/>
  <c r="AF117" i="8"/>
  <c r="AF126" i="8" s="1"/>
  <c r="AF130" i="8" s="1"/>
  <c r="AG117" i="8"/>
  <c r="AG126" i="8" s="1"/>
  <c r="AG130" i="8" s="1"/>
  <c r="AH117" i="8"/>
  <c r="AH126" i="8" s="1"/>
  <c r="AH130" i="8" s="1"/>
  <c r="AI117" i="8"/>
  <c r="AI126" i="8" s="1"/>
  <c r="AI130" i="8" s="1"/>
  <c r="AJ117" i="8"/>
  <c r="AJ126" i="8" s="1"/>
  <c r="AJ130" i="8" s="1"/>
  <c r="AK117" i="8"/>
  <c r="AK126" i="8" s="1"/>
  <c r="AK130" i="8" s="1"/>
  <c r="AL117" i="8"/>
  <c r="AL126" i="8" s="1"/>
  <c r="AL130" i="8" s="1"/>
  <c r="AM117" i="8"/>
  <c r="AM126" i="8" s="1"/>
  <c r="AM130" i="8" s="1"/>
  <c r="AN117" i="8"/>
  <c r="AN126" i="8" s="1"/>
  <c r="AN130" i="8" s="1"/>
  <c r="AO117" i="8"/>
  <c r="AO126" i="8" s="1"/>
  <c r="AO130" i="8" s="1"/>
  <c r="AP117" i="8"/>
  <c r="AP126" i="8" s="1"/>
  <c r="AP130" i="8" s="1"/>
  <c r="AQ117" i="8"/>
  <c r="AQ126" i="8" s="1"/>
  <c r="AQ130" i="8" s="1"/>
  <c r="AR117" i="8"/>
  <c r="AR126" i="8" s="1"/>
  <c r="AR130" i="8" s="1"/>
  <c r="AS117" i="8"/>
  <c r="AS126" i="8" s="1"/>
  <c r="AS130" i="8" s="1"/>
  <c r="AT117" i="8"/>
  <c r="AT126" i="8" s="1"/>
  <c r="AT130" i="8" s="1"/>
  <c r="AU117" i="8"/>
  <c r="AU126" i="8" s="1"/>
  <c r="AU130" i="8" s="1"/>
  <c r="AV117" i="8"/>
  <c r="AV126" i="8" s="1"/>
  <c r="AV130" i="8" s="1"/>
  <c r="AW117" i="8"/>
  <c r="AW126" i="8" s="1"/>
  <c r="AW130" i="8" s="1"/>
  <c r="AX117" i="8"/>
  <c r="AX126" i="8" s="1"/>
  <c r="AX130" i="8" s="1"/>
  <c r="AY117" i="8"/>
  <c r="D118" i="8"/>
  <c r="C143" i="3" s="1"/>
  <c r="D143" i="3"/>
  <c r="F143" i="3"/>
  <c r="G143" i="3"/>
  <c r="D119" i="8"/>
  <c r="C144" i="3" s="1"/>
  <c r="D144" i="3"/>
  <c r="F144" i="3"/>
  <c r="G144" i="3"/>
  <c r="D120" i="8"/>
  <c r="F121" i="8"/>
  <c r="D123" i="8"/>
  <c r="D146" i="3"/>
  <c r="F146" i="3"/>
  <c r="G146" i="3"/>
  <c r="D124" i="8"/>
  <c r="C147" i="3" s="1"/>
  <c r="F147" i="3"/>
  <c r="D125" i="8"/>
  <c r="C148" i="3" s="1"/>
  <c r="D148" i="3"/>
  <c r="G148" i="3"/>
  <c r="D127" i="8"/>
  <c r="C150" i="3" s="1"/>
  <c r="D150" i="3"/>
  <c r="G150" i="3"/>
  <c r="D128" i="8"/>
  <c r="C151" i="3" s="1"/>
  <c r="F151" i="3"/>
  <c r="D129" i="8"/>
  <c r="C152" i="3" s="1"/>
  <c r="D152" i="3"/>
  <c r="G152" i="3"/>
  <c r="F7" i="9"/>
  <c r="F8" i="9"/>
  <c r="E9" i="9"/>
  <c r="F10" i="9"/>
  <c r="F11" i="9"/>
  <c r="F12" i="9"/>
  <c r="F13" i="9"/>
  <c r="F14" i="9"/>
  <c r="F15" i="9"/>
  <c r="E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D32" i="9"/>
  <c r="E32" i="9"/>
  <c r="F34" i="9"/>
  <c r="F35" i="9"/>
  <c r="F36" i="9"/>
  <c r="F37" i="9"/>
  <c r="F38" i="9"/>
  <c r="F39" i="9"/>
  <c r="F40" i="9"/>
  <c r="D41" i="9"/>
  <c r="E41" i="9"/>
  <c r="F42" i="9"/>
  <c r="F43" i="9"/>
  <c r="F44" i="9"/>
  <c r="F45" i="9"/>
  <c r="D46" i="9"/>
  <c r="E46" i="9"/>
  <c r="F47" i="9"/>
  <c r="F48" i="9"/>
  <c r="F49" i="9"/>
  <c r="F50" i="9"/>
  <c r="F51" i="9"/>
  <c r="F52" i="9"/>
  <c r="F53" i="9"/>
  <c r="F54" i="9"/>
  <c r="F55" i="9"/>
  <c r="D56" i="9"/>
  <c r="E56" i="9"/>
  <c r="F59" i="9"/>
  <c r="F60" i="9"/>
  <c r="F61" i="9"/>
  <c r="F62" i="9"/>
  <c r="D63" i="9"/>
  <c r="E63" i="9"/>
  <c r="F68" i="9"/>
  <c r="F69" i="9"/>
  <c r="F70" i="9"/>
  <c r="F71" i="9"/>
  <c r="F72" i="9"/>
  <c r="D74" i="9"/>
  <c r="E74" i="9"/>
  <c r="F75" i="9"/>
  <c r="F76" i="9"/>
  <c r="F77" i="9"/>
  <c r="F78" i="9"/>
  <c r="F79" i="9"/>
  <c r="F80" i="9"/>
  <c r="F81" i="9"/>
  <c r="D82" i="9"/>
  <c r="E82" i="9"/>
  <c r="F83" i="9"/>
  <c r="F84" i="9"/>
  <c r="F85" i="9"/>
  <c r="F86" i="9"/>
  <c r="F87" i="9"/>
  <c r="F88" i="9"/>
  <c r="F89" i="9"/>
  <c r="F90" i="9"/>
  <c r="F91" i="9"/>
  <c r="F92" i="9"/>
  <c r="F93" i="9"/>
  <c r="D94" i="9"/>
  <c r="E94" i="9"/>
  <c r="F95" i="9"/>
  <c r="F96" i="9"/>
  <c r="F97" i="9"/>
  <c r="F98" i="9"/>
  <c r="F99" i="9"/>
  <c r="D100" i="9"/>
  <c r="E100" i="9"/>
  <c r="F101" i="9"/>
  <c r="F102" i="9"/>
  <c r="F103" i="9"/>
  <c r="F104" i="9"/>
  <c r="F105" i="9"/>
  <c r="F106" i="9"/>
  <c r="D107" i="9"/>
  <c r="E107" i="9"/>
  <c r="F111" i="9"/>
  <c r="F112" i="9"/>
  <c r="F113" i="9"/>
  <c r="F114" i="9"/>
  <c r="F115" i="9"/>
  <c r="F116" i="9"/>
  <c r="D117" i="9"/>
  <c r="E117" i="9"/>
  <c r="F118" i="9"/>
  <c r="F119" i="9"/>
  <c r="F120" i="9"/>
  <c r="F121" i="9"/>
  <c r="D122" i="9"/>
  <c r="E122" i="9"/>
  <c r="F123" i="9"/>
  <c r="F124" i="9"/>
  <c r="F125" i="9"/>
  <c r="F127" i="9"/>
  <c r="F128" i="9"/>
  <c r="F129" i="9"/>
  <c r="F7" i="10"/>
  <c r="F8" i="10"/>
  <c r="D9" i="10"/>
  <c r="E9" i="10"/>
  <c r="F10" i="10"/>
  <c r="F11" i="10"/>
  <c r="F12" i="10"/>
  <c r="F13" i="10"/>
  <c r="F14" i="10"/>
  <c r="F15" i="10"/>
  <c r="D16" i="10"/>
  <c r="E16" i="10"/>
  <c r="F17" i="10"/>
  <c r="F18" i="10"/>
  <c r="F19" i="10"/>
  <c r="F20" i="10"/>
  <c r="F21" i="10"/>
  <c r="F22" i="10"/>
  <c r="F23" i="10"/>
  <c r="F24" i="10"/>
  <c r="F25" i="10"/>
  <c r="F26" i="10"/>
  <c r="F27" i="10"/>
  <c r="F28" i="10"/>
  <c r="F29" i="10"/>
  <c r="F30" i="10"/>
  <c r="F31" i="10"/>
  <c r="D32" i="10"/>
  <c r="E32" i="10"/>
  <c r="F34" i="10"/>
  <c r="F35" i="10"/>
  <c r="F36" i="10"/>
  <c r="F37" i="10"/>
  <c r="F38" i="10"/>
  <c r="F39" i="10"/>
  <c r="F40" i="10"/>
  <c r="D41" i="10"/>
  <c r="E41" i="10"/>
  <c r="F42" i="10"/>
  <c r="F43" i="10"/>
  <c r="F44" i="10"/>
  <c r="F45" i="10"/>
  <c r="D46" i="10"/>
  <c r="E46" i="10"/>
  <c r="F47" i="10"/>
  <c r="F48" i="10"/>
  <c r="F49" i="10"/>
  <c r="F50" i="10"/>
  <c r="F51" i="10"/>
  <c r="F52" i="10"/>
  <c r="F53" i="10"/>
  <c r="F54" i="10"/>
  <c r="F55" i="10"/>
  <c r="D56" i="10"/>
  <c r="E56" i="10"/>
  <c r="F59" i="10"/>
  <c r="F60" i="10"/>
  <c r="F61" i="10"/>
  <c r="F62" i="10"/>
  <c r="D63" i="10"/>
  <c r="E63" i="10"/>
  <c r="F68" i="10"/>
  <c r="F69" i="10"/>
  <c r="F70" i="10"/>
  <c r="F71" i="10"/>
  <c r="F72" i="10"/>
  <c r="F73" i="10"/>
  <c r="D74" i="10"/>
  <c r="E74" i="10"/>
  <c r="F75" i="10"/>
  <c r="F76" i="10"/>
  <c r="F77" i="10"/>
  <c r="F78" i="10"/>
  <c r="F79" i="10"/>
  <c r="F80" i="10"/>
  <c r="F81" i="10"/>
  <c r="D82" i="10"/>
  <c r="E82" i="10"/>
  <c r="F83" i="10"/>
  <c r="F84" i="10"/>
  <c r="F85" i="10"/>
  <c r="F86" i="10"/>
  <c r="F87" i="10"/>
  <c r="F88" i="10"/>
  <c r="F89" i="10"/>
  <c r="F90" i="10"/>
  <c r="F91" i="10"/>
  <c r="F92" i="10"/>
  <c r="F93" i="10"/>
  <c r="D94" i="10"/>
  <c r="E94" i="10"/>
  <c r="F95" i="10"/>
  <c r="F96" i="10"/>
  <c r="F97" i="10"/>
  <c r="F98" i="10"/>
  <c r="F99" i="10"/>
  <c r="D100" i="10"/>
  <c r="E100" i="10"/>
  <c r="F101" i="10"/>
  <c r="F102" i="10"/>
  <c r="F105" i="10"/>
  <c r="F106" i="10"/>
  <c r="D107" i="10"/>
  <c r="E107" i="10"/>
  <c r="F111" i="10"/>
  <c r="F112" i="10"/>
  <c r="F113" i="10"/>
  <c r="F114" i="10"/>
  <c r="F115" i="10"/>
  <c r="F116" i="10"/>
  <c r="D117" i="10"/>
  <c r="E117" i="10"/>
  <c r="F118" i="10"/>
  <c r="F119" i="10"/>
  <c r="F120" i="10"/>
  <c r="F121" i="10"/>
  <c r="D122" i="10"/>
  <c r="E122" i="10"/>
  <c r="F123" i="10"/>
  <c r="F124" i="10"/>
  <c r="F125" i="10"/>
  <c r="F127" i="10"/>
  <c r="F128" i="10"/>
  <c r="F129" i="10"/>
  <c r="F87" i="5" l="1"/>
  <c r="J12" i="7"/>
  <c r="C7" i="3"/>
  <c r="F7" i="8"/>
  <c r="F68" i="24"/>
  <c r="J67" i="3"/>
  <c r="D31" i="3"/>
  <c r="E24" i="7"/>
  <c r="E26" i="7" s="1"/>
  <c r="F69" i="24"/>
  <c r="J68" i="3"/>
  <c r="F67" i="24"/>
  <c r="J66" i="3"/>
  <c r="F65" i="24"/>
  <c r="J64" i="3"/>
  <c r="AG1" i="8"/>
  <c r="AM1" i="8" s="1"/>
  <c r="AA1" i="8"/>
  <c r="F70" i="24"/>
  <c r="J69" i="3"/>
  <c r="F64" i="24"/>
  <c r="J63" i="3"/>
  <c r="AN109" i="8"/>
  <c r="AG2" i="8"/>
  <c r="AM2" i="8" s="1"/>
  <c r="AA2" i="8"/>
  <c r="G90" i="3"/>
  <c r="H74" i="8"/>
  <c r="F90" i="3"/>
  <c r="G74" i="8"/>
  <c r="AE108" i="8"/>
  <c r="D74" i="8"/>
  <c r="D82" i="8"/>
  <c r="D63" i="8"/>
  <c r="O57" i="8"/>
  <c r="O110" i="8" s="1"/>
  <c r="AH58" i="8"/>
  <c r="AH64" i="8" s="1"/>
  <c r="Q109" i="8"/>
  <c r="D14" i="18"/>
  <c r="C132" i="3"/>
  <c r="C70" i="24"/>
  <c r="E67" i="22"/>
  <c r="D131" i="3"/>
  <c r="E131" i="3" s="1"/>
  <c r="I42" i="8"/>
  <c r="I36" i="8"/>
  <c r="I34" i="8"/>
  <c r="C137" i="24"/>
  <c r="G62" i="18"/>
  <c r="G75" i="18" s="1"/>
  <c r="G61" i="18"/>
  <c r="D61" i="18"/>
  <c r="F122" i="11"/>
  <c r="D62" i="18"/>
  <c r="D75" i="18" s="1"/>
  <c r="G14" i="18"/>
  <c r="F63" i="11"/>
  <c r="G56" i="18"/>
  <c r="F82" i="15"/>
  <c r="E62" i="18"/>
  <c r="E75" i="18" s="1"/>
  <c r="G22" i="18"/>
  <c r="G39" i="18" s="1"/>
  <c r="F14" i="18"/>
  <c r="E56" i="18"/>
  <c r="E107" i="3"/>
  <c r="C107" i="23" s="1"/>
  <c r="C135" i="23"/>
  <c r="P135" i="23" s="1"/>
  <c r="I111" i="8"/>
  <c r="E14" i="18"/>
  <c r="G35" i="3"/>
  <c r="D59" i="3"/>
  <c r="D62" i="3" s="1"/>
  <c r="D71" i="3" s="1"/>
  <c r="F62" i="18"/>
  <c r="F75" i="18" s="1"/>
  <c r="F100" i="12"/>
  <c r="F63" i="15"/>
  <c r="F63" i="14"/>
  <c r="F100" i="13"/>
  <c r="D45" i="3"/>
  <c r="F56" i="18"/>
  <c r="E150" i="3"/>
  <c r="E150" i="22" s="1"/>
  <c r="I115" i="8"/>
  <c r="I112" i="8"/>
  <c r="AG109" i="8"/>
  <c r="M109" i="8"/>
  <c r="F62" i="8"/>
  <c r="F63" i="9"/>
  <c r="I20" i="7"/>
  <c r="I24" i="7" s="1"/>
  <c r="E57" i="15"/>
  <c r="E110" i="15" s="1"/>
  <c r="I9" i="15"/>
  <c r="F63" i="13"/>
  <c r="E134" i="12"/>
  <c r="I74" i="12"/>
  <c r="F63" i="10"/>
  <c r="I122" i="8"/>
  <c r="AM109" i="8"/>
  <c r="E126" i="15"/>
  <c r="E130" i="15" s="1"/>
  <c r="E134" i="15" s="1"/>
  <c r="I116" i="8"/>
  <c r="F112" i="8"/>
  <c r="F111" i="8"/>
  <c r="F99" i="8"/>
  <c r="F97" i="8"/>
  <c r="D138" i="24"/>
  <c r="D150" i="24" s="1"/>
  <c r="D154" i="24" s="1"/>
  <c r="F133" i="24"/>
  <c r="F119" i="8"/>
  <c r="I94" i="14"/>
  <c r="I74" i="14"/>
  <c r="I74" i="13"/>
  <c r="I56" i="13"/>
  <c r="F74" i="12"/>
  <c r="F132" i="3"/>
  <c r="I54" i="8"/>
  <c r="AY58" i="8"/>
  <c r="AY64" i="8" s="1"/>
  <c r="AI109" i="8"/>
  <c r="I30" i="8"/>
  <c r="D114" i="3"/>
  <c r="I41" i="12"/>
  <c r="C136" i="23"/>
  <c r="P136" i="23" s="1"/>
  <c r="I32" i="15"/>
  <c r="F82" i="12"/>
  <c r="F82" i="11"/>
  <c r="F22" i="18"/>
  <c r="F39" i="18" s="1"/>
  <c r="AE57" i="8"/>
  <c r="AE110" i="8" s="1"/>
  <c r="F82" i="10"/>
  <c r="F117" i="9"/>
  <c r="F107" i="9"/>
  <c r="L149" i="23"/>
  <c r="L153" i="23" s="1"/>
  <c r="H149" i="23"/>
  <c r="H153" i="23" s="1"/>
  <c r="D149" i="23"/>
  <c r="D153" i="23" s="1"/>
  <c r="I46" i="15"/>
  <c r="E57" i="13"/>
  <c r="E110" i="13" s="1"/>
  <c r="E33" i="13"/>
  <c r="E109" i="13" s="1"/>
  <c r="F9" i="11"/>
  <c r="AE131" i="8"/>
  <c r="D68" i="23"/>
  <c r="G68" i="23"/>
  <c r="K68" i="23"/>
  <c r="L68" i="23"/>
  <c r="I40" i="8"/>
  <c r="G31" i="3"/>
  <c r="I100" i="14"/>
  <c r="F125" i="8"/>
  <c r="F120" i="8"/>
  <c r="AW108" i="8"/>
  <c r="AW131" i="8" s="1"/>
  <c r="AM108" i="8"/>
  <c r="AM131" i="8" s="1"/>
  <c r="AI108" i="8"/>
  <c r="AI131" i="8" s="1"/>
  <c r="W108" i="8"/>
  <c r="W131" i="8" s="1"/>
  <c r="W109" i="8"/>
  <c r="J108" i="8"/>
  <c r="J131" i="8" s="1"/>
  <c r="AY57" i="8"/>
  <c r="AY110" i="8" s="1"/>
  <c r="AU57" i="8"/>
  <c r="AU110" i="8" s="1"/>
  <c r="AQ57" i="8"/>
  <c r="AQ110" i="8" s="1"/>
  <c r="AK57" i="8"/>
  <c r="AK110" i="8" s="1"/>
  <c r="AG57" i="8"/>
  <c r="AG110" i="8" s="1"/>
  <c r="AC57" i="8"/>
  <c r="AC110" i="8" s="1"/>
  <c r="U57" i="8"/>
  <c r="U110" i="8" s="1"/>
  <c r="Q57" i="8"/>
  <c r="Q110" i="8" s="1"/>
  <c r="I52" i="8"/>
  <c r="E51" i="3"/>
  <c r="C52" i="24" s="1"/>
  <c r="C136" i="24"/>
  <c r="C133" i="23"/>
  <c r="P133" i="23" s="1"/>
  <c r="C70" i="23"/>
  <c r="M70" i="23" s="1"/>
  <c r="C142" i="24"/>
  <c r="E141" i="22"/>
  <c r="C66" i="24"/>
  <c r="C66" i="23"/>
  <c r="E65" i="22"/>
  <c r="C64" i="24"/>
  <c r="E63" i="22"/>
  <c r="E23" i="19"/>
  <c r="E39" i="18"/>
  <c r="F9" i="15"/>
  <c r="F117" i="14"/>
  <c r="F107" i="14"/>
  <c r="E108" i="14"/>
  <c r="E57" i="14"/>
  <c r="E110" i="14" s="1"/>
  <c r="I41" i="14"/>
  <c r="F122" i="13"/>
  <c r="I63" i="12"/>
  <c r="F9" i="12"/>
  <c r="I121" i="8"/>
  <c r="D126" i="9"/>
  <c r="D130" i="9" s="1"/>
  <c r="D134" i="9" s="1"/>
  <c r="AY126" i="8"/>
  <c r="AY130" i="8" s="1"/>
  <c r="H144" i="3"/>
  <c r="J144" i="3" s="1"/>
  <c r="F116" i="8"/>
  <c r="F115" i="8"/>
  <c r="I102" i="8"/>
  <c r="I68" i="8"/>
  <c r="I62" i="8"/>
  <c r="I59" i="8"/>
  <c r="AX57" i="8"/>
  <c r="AX110" i="8" s="1"/>
  <c r="AP58" i="8"/>
  <c r="AP64" i="8" s="1"/>
  <c r="AJ57" i="8"/>
  <c r="AJ110" i="8" s="1"/>
  <c r="AF57" i="8"/>
  <c r="AF110" i="8" s="1"/>
  <c r="AB57" i="8"/>
  <c r="AB110" i="8" s="1"/>
  <c r="P58" i="8"/>
  <c r="P64" i="8" s="1"/>
  <c r="L57" i="8"/>
  <c r="L110" i="8" s="1"/>
  <c r="I44" i="8"/>
  <c r="Z58" i="8"/>
  <c r="Z64" i="8" s="1"/>
  <c r="G11" i="2"/>
  <c r="C134" i="24"/>
  <c r="O149" i="23"/>
  <c r="O153" i="23" s="1"/>
  <c r="E137" i="3"/>
  <c r="C67" i="24"/>
  <c r="E66" i="22"/>
  <c r="P37" i="16"/>
  <c r="L37" i="16"/>
  <c r="D37" i="16"/>
  <c r="I9" i="14"/>
  <c r="F9" i="13"/>
  <c r="F107" i="12"/>
  <c r="F63" i="12"/>
  <c r="I9" i="12"/>
  <c r="C141" i="24"/>
  <c r="E140" i="22"/>
  <c r="C65" i="24"/>
  <c r="C65" i="23"/>
  <c r="K64" i="23" s="1"/>
  <c r="E64" i="22"/>
  <c r="H61" i="3"/>
  <c r="J61" i="3" s="1"/>
  <c r="C37" i="16"/>
  <c r="K37" i="16"/>
  <c r="I16" i="14"/>
  <c r="I9" i="13"/>
  <c r="G149" i="23"/>
  <c r="G153" i="23" s="1"/>
  <c r="D87" i="5"/>
  <c r="D24" i="7"/>
  <c r="D26" i="7" s="1"/>
  <c r="D23" i="4"/>
  <c r="C84" i="24"/>
  <c r="C83" i="23"/>
  <c r="O83" i="23" s="1"/>
  <c r="E83" i="22"/>
  <c r="C98" i="24"/>
  <c r="C97" i="23"/>
  <c r="O97" i="23" s="1"/>
  <c r="E97" i="22"/>
  <c r="C99" i="3"/>
  <c r="E99" i="3" s="1"/>
  <c r="F142" i="3"/>
  <c r="D113" i="3"/>
  <c r="E50" i="5"/>
  <c r="E51" i="5" s="1"/>
  <c r="D124" i="3"/>
  <c r="F117" i="3"/>
  <c r="F116" i="3"/>
  <c r="F115" i="3"/>
  <c r="F114" i="3"/>
  <c r="F50" i="5"/>
  <c r="F51" i="5" s="1"/>
  <c r="E87" i="5"/>
  <c r="AV108" i="8"/>
  <c r="AV131" i="8" s="1"/>
  <c r="AR108" i="8"/>
  <c r="AR131" i="8" s="1"/>
  <c r="AD108" i="8"/>
  <c r="AD131" i="8" s="1"/>
  <c r="R108" i="8"/>
  <c r="R131" i="8" s="1"/>
  <c r="C85" i="24"/>
  <c r="C84" i="23"/>
  <c r="P84" i="23" s="1"/>
  <c r="E84" i="22"/>
  <c r="E53" i="3"/>
  <c r="C54" i="24" s="1"/>
  <c r="H50" i="3"/>
  <c r="J50" i="3" s="1"/>
  <c r="D57" i="22"/>
  <c r="D128" i="22" s="1"/>
  <c r="D33" i="22"/>
  <c r="D127" i="22" s="1"/>
  <c r="C57" i="22"/>
  <c r="C128" i="22" s="1"/>
  <c r="E33" i="14"/>
  <c r="E109" i="14" s="1"/>
  <c r="F44" i="3"/>
  <c r="G39" i="3"/>
  <c r="C44" i="3"/>
  <c r="C43" i="3"/>
  <c r="D39" i="3"/>
  <c r="D43" i="3"/>
  <c r="F38" i="3"/>
  <c r="C142" i="3"/>
  <c r="C39" i="3"/>
  <c r="C38" i="3"/>
  <c r="E92" i="6"/>
  <c r="G36" i="3"/>
  <c r="E57" i="9"/>
  <c r="E110" i="9" s="1"/>
  <c r="AQ109" i="8"/>
  <c r="AU108" i="8"/>
  <c r="AU131" i="8" s="1"/>
  <c r="AQ108" i="8"/>
  <c r="AQ131" i="8" s="1"/>
  <c r="AO108" i="8"/>
  <c r="AO131" i="8" s="1"/>
  <c r="AK108" i="8"/>
  <c r="AK131" i="8" s="1"/>
  <c r="AG108" i="8"/>
  <c r="AG131" i="8" s="1"/>
  <c r="AC108" i="8"/>
  <c r="AC131" i="8" s="1"/>
  <c r="Y108" i="8"/>
  <c r="Y131" i="8" s="1"/>
  <c r="U108" i="8"/>
  <c r="U131" i="8" s="1"/>
  <c r="M108" i="8"/>
  <c r="M131" i="8" s="1"/>
  <c r="I73" i="8"/>
  <c r="AP109" i="8"/>
  <c r="AT109" i="8"/>
  <c r="AX108" i="8"/>
  <c r="AX131" i="8" s="1"/>
  <c r="AT108" i="8"/>
  <c r="AT131" i="8" s="1"/>
  <c r="AP108" i="8"/>
  <c r="AP131" i="8" s="1"/>
  <c r="AN108" i="8"/>
  <c r="AN131" i="8" s="1"/>
  <c r="AJ108" i="8"/>
  <c r="AJ131" i="8" s="1"/>
  <c r="AF108" i="8"/>
  <c r="AF131" i="8" s="1"/>
  <c r="I75" i="8"/>
  <c r="AU109" i="8"/>
  <c r="N108" i="8"/>
  <c r="N131" i="8" s="1"/>
  <c r="T109" i="8"/>
  <c r="I81" i="8"/>
  <c r="I79" i="8"/>
  <c r="I77" i="8"/>
  <c r="U109" i="8"/>
  <c r="F31" i="8"/>
  <c r="H27" i="3"/>
  <c r="J27" i="3" s="1"/>
  <c r="H25" i="3"/>
  <c r="J25" i="3" s="1"/>
  <c r="H23" i="3"/>
  <c r="J23" i="3" s="1"/>
  <c r="I12" i="8"/>
  <c r="F11" i="8"/>
  <c r="O109" i="8"/>
  <c r="I10" i="8"/>
  <c r="I31" i="8"/>
  <c r="I15" i="8"/>
  <c r="F42" i="3"/>
  <c r="F92" i="6"/>
  <c r="C37" i="3"/>
  <c r="F34" i="3"/>
  <c r="G40" i="3"/>
  <c r="G142" i="3"/>
  <c r="F25" i="5"/>
  <c r="F91" i="3" s="1"/>
  <c r="C117" i="3"/>
  <c r="C116" i="3"/>
  <c r="C115" i="3"/>
  <c r="C114" i="3"/>
  <c r="E25" i="5"/>
  <c r="D91" i="3" s="1"/>
  <c r="G25" i="5"/>
  <c r="G91" i="3" s="1"/>
  <c r="G116" i="3"/>
  <c r="G50" i="5"/>
  <c r="G51" i="5" s="1"/>
  <c r="G93" i="3" s="1"/>
  <c r="F22" i="2" s="1"/>
  <c r="F74" i="15"/>
  <c r="F94" i="12"/>
  <c r="E108" i="12"/>
  <c r="E131" i="12" s="1"/>
  <c r="F41" i="12"/>
  <c r="F74" i="14"/>
  <c r="F94" i="11"/>
  <c r="H37" i="16"/>
  <c r="D57" i="10"/>
  <c r="D110" i="10" s="1"/>
  <c r="E33" i="10"/>
  <c r="E109" i="10" s="1"/>
  <c r="D33" i="10"/>
  <c r="D109" i="10" s="1"/>
  <c r="X57" i="8"/>
  <c r="X110" i="8" s="1"/>
  <c r="E94" i="8"/>
  <c r="P109" i="8"/>
  <c r="F28" i="8"/>
  <c r="AV58" i="8"/>
  <c r="AV64" i="8" s="1"/>
  <c r="AW33" i="8"/>
  <c r="AW109" i="8" s="1"/>
  <c r="H29" i="3"/>
  <c r="J29" i="3" s="1"/>
  <c r="E25" i="3"/>
  <c r="AL58" i="8"/>
  <c r="AL64" i="8" s="1"/>
  <c r="F25" i="8"/>
  <c r="AE109" i="8"/>
  <c r="V58" i="8"/>
  <c r="V64" i="8" s="1"/>
  <c r="R58" i="8"/>
  <c r="R64" i="8" s="1"/>
  <c r="N58" i="8"/>
  <c r="N64" i="8" s="1"/>
  <c r="C17" i="3"/>
  <c r="B13" i="2" s="1"/>
  <c r="D13" i="2" s="1"/>
  <c r="D57" i="14"/>
  <c r="D110" i="14" s="1"/>
  <c r="F94" i="13"/>
  <c r="F74" i="13"/>
  <c r="F74" i="11"/>
  <c r="E58" i="11"/>
  <c r="E64" i="11" s="1"/>
  <c r="F122" i="10"/>
  <c r="D126" i="10"/>
  <c r="D130" i="10" s="1"/>
  <c r="D134" i="10" s="1"/>
  <c r="F107" i="10"/>
  <c r="F94" i="10"/>
  <c r="E14" i="3"/>
  <c r="F9" i="10"/>
  <c r="D9" i="3"/>
  <c r="C10" i="2" s="1"/>
  <c r="F9" i="9"/>
  <c r="D74" i="4"/>
  <c r="C80" i="3"/>
  <c r="E80" i="3" s="1"/>
  <c r="G87" i="3"/>
  <c r="H87" i="3" s="1"/>
  <c r="J87" i="3" s="1"/>
  <c r="I69" i="8"/>
  <c r="AN57" i="8"/>
  <c r="AN110" i="8" s="1"/>
  <c r="AN58" i="8"/>
  <c r="AN64" i="8" s="1"/>
  <c r="E58" i="9"/>
  <c r="E64" i="9" s="1"/>
  <c r="G151" i="3"/>
  <c r="H151" i="3" s="1"/>
  <c r="I151" i="3" s="1"/>
  <c r="I128" i="8"/>
  <c r="D142" i="3"/>
  <c r="E117" i="8"/>
  <c r="AY108" i="8"/>
  <c r="Q108" i="8"/>
  <c r="Q131" i="8" s="1"/>
  <c r="D120" i="3"/>
  <c r="E120" i="3" s="1"/>
  <c r="F102" i="8"/>
  <c r="O108" i="8"/>
  <c r="O131" i="8" s="1"/>
  <c r="F96" i="8"/>
  <c r="AS108" i="8"/>
  <c r="AS131" i="8" s="1"/>
  <c r="AA108" i="8"/>
  <c r="AA131" i="8" s="1"/>
  <c r="S108" i="8"/>
  <c r="S131" i="8" s="1"/>
  <c r="K108" i="8"/>
  <c r="K131" i="8" s="1"/>
  <c r="F89" i="3"/>
  <c r="H89" i="3" s="1"/>
  <c r="J89" i="3" s="1"/>
  <c r="P57" i="8"/>
  <c r="P110" i="8" s="1"/>
  <c r="F48" i="3"/>
  <c r="H48" i="3" s="1"/>
  <c r="J48" i="3" s="1"/>
  <c r="I48" i="8"/>
  <c r="G38" i="3"/>
  <c r="I38" i="8"/>
  <c r="G37" i="3"/>
  <c r="C35" i="3"/>
  <c r="D41" i="8"/>
  <c r="F74" i="10"/>
  <c r="E58" i="10"/>
  <c r="E64" i="10" s="1"/>
  <c r="C146" i="3"/>
  <c r="E146" i="3" s="1"/>
  <c r="C146" i="23" s="1"/>
  <c r="P146" i="23" s="1"/>
  <c r="F123" i="8"/>
  <c r="C94" i="3"/>
  <c r="E94" i="3" s="1"/>
  <c r="F72" i="3"/>
  <c r="H72" i="3" s="1"/>
  <c r="I72" i="3" s="1"/>
  <c r="J72" i="3" s="1"/>
  <c r="I60" i="8"/>
  <c r="D27" i="3"/>
  <c r="E27" i="3" s="1"/>
  <c r="F27" i="8"/>
  <c r="E10" i="2"/>
  <c r="AT57" i="8"/>
  <c r="AT110" i="8" s="1"/>
  <c r="AT58" i="8"/>
  <c r="AT64" i="8" s="1"/>
  <c r="T57" i="8"/>
  <c r="T110" i="8" s="1"/>
  <c r="T58" i="8"/>
  <c r="T64" i="8" s="1"/>
  <c r="AK33" i="8"/>
  <c r="AK109" i="8" s="1"/>
  <c r="AK58" i="8"/>
  <c r="AK64" i="8" s="1"/>
  <c r="F41" i="13"/>
  <c r="F100" i="10"/>
  <c r="F41" i="10"/>
  <c r="G147" i="3"/>
  <c r="H147" i="3" s="1"/>
  <c r="J147" i="3" s="1"/>
  <c r="I124" i="8"/>
  <c r="G114" i="3"/>
  <c r="I96" i="8"/>
  <c r="G106" i="3"/>
  <c r="H106" i="3" s="1"/>
  <c r="J106" i="3" s="1"/>
  <c r="I88" i="8"/>
  <c r="AP57" i="8"/>
  <c r="AP110" i="8" s="1"/>
  <c r="E57" i="10"/>
  <c r="E110" i="10" s="1"/>
  <c r="F41" i="9"/>
  <c r="E33" i="9"/>
  <c r="E109" i="9" s="1"/>
  <c r="D9" i="9"/>
  <c r="E152" i="3"/>
  <c r="E152" i="22" s="1"/>
  <c r="E148" i="3"/>
  <c r="E148" i="22" s="1"/>
  <c r="I120" i="8"/>
  <c r="I119" i="8"/>
  <c r="E144" i="3"/>
  <c r="C144" i="23" s="1"/>
  <c r="P144" i="23" s="1"/>
  <c r="F113" i="8"/>
  <c r="I106" i="8"/>
  <c r="F104" i="8"/>
  <c r="AL108" i="8"/>
  <c r="AL131" i="8" s="1"/>
  <c r="AH108" i="8"/>
  <c r="AH131" i="8" s="1"/>
  <c r="Z108" i="8"/>
  <c r="Z131" i="8" s="1"/>
  <c r="V108" i="8"/>
  <c r="V131" i="8" s="1"/>
  <c r="AO109" i="8"/>
  <c r="I92" i="8"/>
  <c r="I83" i="8"/>
  <c r="F81" i="8"/>
  <c r="F80" i="8"/>
  <c r="H95" i="3"/>
  <c r="J95" i="3" s="1"/>
  <c r="AG58" i="8"/>
  <c r="AG64" i="8" s="1"/>
  <c r="U58" i="8"/>
  <c r="U64" i="8" s="1"/>
  <c r="I50" i="8"/>
  <c r="E108" i="13"/>
  <c r="I82" i="12"/>
  <c r="E108" i="9"/>
  <c r="F82" i="9"/>
  <c r="I113" i="8"/>
  <c r="I104" i="8"/>
  <c r="E122" i="3"/>
  <c r="I98" i="8"/>
  <c r="H110" i="3"/>
  <c r="J110" i="3" s="1"/>
  <c r="I90" i="8"/>
  <c r="F79" i="8"/>
  <c r="I71" i="8"/>
  <c r="F68" i="8"/>
  <c r="F59" i="8"/>
  <c r="AQ58" i="8"/>
  <c r="AQ64" i="8" s="1"/>
  <c r="AC58" i="8"/>
  <c r="AC64" i="8" s="1"/>
  <c r="AV57" i="8"/>
  <c r="AV110" i="8" s="1"/>
  <c r="AR57" i="8"/>
  <c r="AR110" i="8" s="1"/>
  <c r="AL57" i="8"/>
  <c r="AL110" i="8" s="1"/>
  <c r="AH57" i="8"/>
  <c r="AH110" i="8" s="1"/>
  <c r="AD57" i="8"/>
  <c r="AD110" i="8" s="1"/>
  <c r="Z57" i="8"/>
  <c r="Z110" i="8" s="1"/>
  <c r="V57" i="8"/>
  <c r="V110" i="8" s="1"/>
  <c r="R57" i="8"/>
  <c r="R110" i="8" s="1"/>
  <c r="N57" i="8"/>
  <c r="N110" i="8" s="1"/>
  <c r="J57" i="8"/>
  <c r="J110" i="8" s="1"/>
  <c r="E55" i="3"/>
  <c r="F54" i="8"/>
  <c r="H52" i="3"/>
  <c r="J52" i="3" s="1"/>
  <c r="F45" i="8"/>
  <c r="E23" i="3"/>
  <c r="F23" i="8"/>
  <c r="C21" i="3"/>
  <c r="E21" i="3" s="1"/>
  <c r="F21" i="8"/>
  <c r="D19" i="3"/>
  <c r="E19" i="3" s="1"/>
  <c r="AD58" i="8"/>
  <c r="AD64" i="8" s="1"/>
  <c r="AA33" i="8"/>
  <c r="AA109" i="8" s="1"/>
  <c r="D93" i="24"/>
  <c r="C64" i="23"/>
  <c r="E63" i="24"/>
  <c r="E72" i="24" s="1"/>
  <c r="E76" i="24" s="1"/>
  <c r="I56" i="15"/>
  <c r="F41" i="15"/>
  <c r="I82" i="14"/>
  <c r="F122" i="9"/>
  <c r="F46" i="9"/>
  <c r="H143" i="3"/>
  <c r="J143" i="3" s="1"/>
  <c r="I80" i="8"/>
  <c r="D69" i="23"/>
  <c r="F69" i="23"/>
  <c r="K69" i="23"/>
  <c r="G69" i="23"/>
  <c r="M69" i="23"/>
  <c r="E69" i="23"/>
  <c r="O69" i="23"/>
  <c r="I69" i="23"/>
  <c r="J69" i="23"/>
  <c r="E134" i="22"/>
  <c r="E137" i="22" s="1"/>
  <c r="C134" i="23"/>
  <c r="C69" i="24"/>
  <c r="E68" i="22"/>
  <c r="C67" i="23"/>
  <c r="H67" i="23" s="1"/>
  <c r="I100" i="15"/>
  <c r="I32" i="13"/>
  <c r="H8" i="3"/>
  <c r="J8" i="3" s="1"/>
  <c r="E30" i="3"/>
  <c r="D19" i="6"/>
  <c r="C36" i="3" s="1"/>
  <c r="D149" i="22"/>
  <c r="D153" i="22" s="1"/>
  <c r="H60" i="3"/>
  <c r="H59" i="3"/>
  <c r="J59" i="3" s="1"/>
  <c r="F62" i="3"/>
  <c r="F71" i="3" s="1"/>
  <c r="T12" i="16"/>
  <c r="E58" i="15"/>
  <c r="E64" i="15" s="1"/>
  <c r="F82" i="14"/>
  <c r="E134" i="13"/>
  <c r="I46" i="13"/>
  <c r="I94" i="12"/>
  <c r="E46" i="8"/>
  <c r="AS58" i="8"/>
  <c r="AS64" i="8" s="1"/>
  <c r="AM58" i="8"/>
  <c r="AM64" i="8" s="1"/>
  <c r="AE58" i="8"/>
  <c r="AE64" i="8" s="1"/>
  <c r="W58" i="8"/>
  <c r="W64" i="8" s="1"/>
  <c r="O58" i="8"/>
  <c r="O64" i="8" s="1"/>
  <c r="AH33" i="8"/>
  <c r="AH109" i="8" s="1"/>
  <c r="AD33" i="8"/>
  <c r="AD109" i="8" s="1"/>
  <c r="Z33" i="8"/>
  <c r="Z109" i="8" s="1"/>
  <c r="V33" i="8"/>
  <c r="V109" i="8" s="1"/>
  <c r="R33" i="8"/>
  <c r="R109" i="8" s="1"/>
  <c r="N33" i="8"/>
  <c r="N109" i="8" s="1"/>
  <c r="D29" i="3"/>
  <c r="I28" i="8"/>
  <c r="H21" i="3"/>
  <c r="J21" i="3" s="1"/>
  <c r="H15" i="3"/>
  <c r="J15" i="3" s="1"/>
  <c r="H12" i="3"/>
  <c r="J12" i="3" s="1"/>
  <c r="E9" i="8"/>
  <c r="G92" i="6"/>
  <c r="F46" i="6"/>
  <c r="E129" i="3"/>
  <c r="G23" i="19"/>
  <c r="C23" i="19"/>
  <c r="I11" i="19"/>
  <c r="D20" i="18"/>
  <c r="D22" i="18"/>
  <c r="D39" i="18" s="1"/>
  <c r="C61" i="3"/>
  <c r="E61" i="3" s="1"/>
  <c r="S24" i="16"/>
  <c r="F117" i="15"/>
  <c r="E108" i="15"/>
  <c r="I16" i="15"/>
  <c r="F121" i="14"/>
  <c r="D126" i="14"/>
  <c r="D130" i="14" s="1"/>
  <c r="D134" i="14" s="1"/>
  <c r="I117" i="14"/>
  <c r="I126" i="14" s="1"/>
  <c r="I130" i="14" s="1"/>
  <c r="I107" i="14"/>
  <c r="I63" i="14"/>
  <c r="E58" i="14"/>
  <c r="E64" i="14" s="1"/>
  <c r="I46" i="14"/>
  <c r="F41" i="14"/>
  <c r="D57" i="13"/>
  <c r="D110" i="13" s="1"/>
  <c r="D58" i="13"/>
  <c r="D64" i="13" s="1"/>
  <c r="I16" i="13"/>
  <c r="I100" i="12"/>
  <c r="F100" i="11"/>
  <c r="F41" i="11"/>
  <c r="AC33" i="8"/>
  <c r="AC109" i="8" s="1"/>
  <c r="F30" i="8"/>
  <c r="I18" i="8"/>
  <c r="D15" i="8"/>
  <c r="C15" i="3" s="1"/>
  <c r="F14" i="7"/>
  <c r="G46" i="6"/>
  <c r="D49" i="5"/>
  <c r="D50" i="5" s="1"/>
  <c r="D51" i="5" s="1"/>
  <c r="F98" i="3"/>
  <c r="H98" i="3" s="1"/>
  <c r="J98" i="3" s="1"/>
  <c r="F143" i="24"/>
  <c r="F138" i="24"/>
  <c r="E133" i="24"/>
  <c r="M149" i="23"/>
  <c r="M153" i="23" s="1"/>
  <c r="I149" i="23"/>
  <c r="I153" i="23" s="1"/>
  <c r="E149" i="23"/>
  <c r="E153" i="23" s="1"/>
  <c r="C33" i="22"/>
  <c r="C127" i="22" s="1"/>
  <c r="C141" i="23"/>
  <c r="P141" i="23" s="1"/>
  <c r="E30" i="17"/>
  <c r="R37" i="16"/>
  <c r="N37" i="16"/>
  <c r="J37" i="16"/>
  <c r="F37" i="16"/>
  <c r="T36" i="16"/>
  <c r="F100" i="15"/>
  <c r="F94" i="15"/>
  <c r="E33" i="15"/>
  <c r="E109" i="15" s="1"/>
  <c r="F13" i="15"/>
  <c r="F16" i="15" s="1"/>
  <c r="D16" i="15"/>
  <c r="D33" i="15" s="1"/>
  <c r="D109" i="15" s="1"/>
  <c r="F122" i="14"/>
  <c r="E126" i="14"/>
  <c r="E130" i="14" s="1"/>
  <c r="E134" i="14" s="1"/>
  <c r="F82" i="13"/>
  <c r="D33" i="13"/>
  <c r="D109" i="13" s="1"/>
  <c r="O68" i="23"/>
  <c r="D58" i="22"/>
  <c r="D76" i="22" s="1"/>
  <c r="F23" i="19"/>
  <c r="I18" i="19"/>
  <c r="D108" i="15"/>
  <c r="F107" i="15"/>
  <c r="I74" i="15"/>
  <c r="I41" i="15"/>
  <c r="F107" i="13"/>
  <c r="E58" i="13"/>
  <c r="E64" i="13" s="1"/>
  <c r="E126" i="11"/>
  <c r="E130" i="11" s="1"/>
  <c r="E134" i="11" s="1"/>
  <c r="E33" i="11"/>
  <c r="E109" i="11" s="1"/>
  <c r="N149" i="23"/>
  <c r="N153" i="23" s="1"/>
  <c r="J149" i="23"/>
  <c r="J153" i="23" s="1"/>
  <c r="F149" i="23"/>
  <c r="F153" i="23" s="1"/>
  <c r="K149" i="23"/>
  <c r="K153" i="23" s="1"/>
  <c r="H129" i="3"/>
  <c r="H23" i="19"/>
  <c r="D23" i="19"/>
  <c r="I22" i="19"/>
  <c r="T32" i="16"/>
  <c r="O37" i="16"/>
  <c r="G37" i="16"/>
  <c r="T24" i="16"/>
  <c r="D122" i="15"/>
  <c r="F122" i="15" s="1"/>
  <c r="I82" i="15"/>
  <c r="I63" i="15"/>
  <c r="F9" i="14"/>
  <c r="D126" i="13"/>
  <c r="D130" i="13" s="1"/>
  <c r="D134" i="13" s="1"/>
  <c r="I107" i="13"/>
  <c r="E33" i="12"/>
  <c r="E109" i="12" s="1"/>
  <c r="D126" i="11"/>
  <c r="D130" i="11" s="1"/>
  <c r="D134" i="11" s="1"/>
  <c r="F107" i="11"/>
  <c r="E57" i="11"/>
  <c r="E110" i="11" s="1"/>
  <c r="D108" i="9"/>
  <c r="E108" i="10"/>
  <c r="E126" i="10"/>
  <c r="E130" i="10" s="1"/>
  <c r="E134" i="10" s="1"/>
  <c r="D16" i="9"/>
  <c r="D147" i="3"/>
  <c r="E147" i="3" s="1"/>
  <c r="F124" i="8"/>
  <c r="F117" i="10"/>
  <c r="D58" i="10"/>
  <c r="D64" i="10" s="1"/>
  <c r="F46" i="10"/>
  <c r="F16" i="10"/>
  <c r="F94" i="9"/>
  <c r="F73" i="9"/>
  <c r="F74" i="9" s="1"/>
  <c r="D57" i="9"/>
  <c r="D110" i="9" s="1"/>
  <c r="F56" i="9"/>
  <c r="F32" i="9"/>
  <c r="F152" i="3"/>
  <c r="H152" i="3" s="1"/>
  <c r="I152" i="3" s="1"/>
  <c r="J152" i="3" s="1"/>
  <c r="I129" i="8"/>
  <c r="F148" i="3"/>
  <c r="H148" i="3" s="1"/>
  <c r="J148" i="3" s="1"/>
  <c r="I125" i="8"/>
  <c r="F32" i="10"/>
  <c r="F150" i="3"/>
  <c r="H150" i="3" s="1"/>
  <c r="I150" i="3" s="1"/>
  <c r="J150" i="3" s="1"/>
  <c r="I127" i="8"/>
  <c r="D108" i="10"/>
  <c r="F100" i="9"/>
  <c r="F16" i="9"/>
  <c r="D151" i="3"/>
  <c r="F128" i="8"/>
  <c r="F56" i="10"/>
  <c r="E126" i="9"/>
  <c r="E130" i="9" s="1"/>
  <c r="E134" i="9" s="1"/>
  <c r="H146" i="3"/>
  <c r="J146" i="3" s="1"/>
  <c r="I118" i="8"/>
  <c r="E143" i="3"/>
  <c r="I114" i="8"/>
  <c r="AS109" i="8"/>
  <c r="S109" i="8"/>
  <c r="D107" i="8"/>
  <c r="F106" i="8"/>
  <c r="H123" i="3"/>
  <c r="J123" i="3" s="1"/>
  <c r="E121" i="3"/>
  <c r="G119" i="3"/>
  <c r="I101" i="8"/>
  <c r="F102" i="3"/>
  <c r="H102" i="3" s="1"/>
  <c r="J102" i="3" s="1"/>
  <c r="D87" i="3"/>
  <c r="E87" i="3" s="1"/>
  <c r="F69" i="8"/>
  <c r="D72" i="3"/>
  <c r="E72" i="3" s="1"/>
  <c r="F60" i="8"/>
  <c r="E63" i="8"/>
  <c r="AU58" i="8"/>
  <c r="AU64" i="8" s="1"/>
  <c r="Q58" i="8"/>
  <c r="Q64" i="8" s="1"/>
  <c r="W57" i="8"/>
  <c r="W110" i="8" s="1"/>
  <c r="D44" i="3"/>
  <c r="F44" i="8"/>
  <c r="F39" i="3"/>
  <c r="I39" i="8"/>
  <c r="D34" i="3"/>
  <c r="F34" i="8"/>
  <c r="E41" i="8"/>
  <c r="Y33" i="8"/>
  <c r="Y109" i="8" s="1"/>
  <c r="H22" i="3"/>
  <c r="J22" i="3" s="1"/>
  <c r="I22" i="8"/>
  <c r="C20" i="3"/>
  <c r="E20" i="3" s="1"/>
  <c r="F20" i="8"/>
  <c r="I17" i="8"/>
  <c r="AR58" i="8"/>
  <c r="AR64" i="8" s="1"/>
  <c r="D13" i="3"/>
  <c r="D13" i="8"/>
  <c r="C13" i="3" s="1"/>
  <c r="C11" i="2"/>
  <c r="F10" i="8"/>
  <c r="F10" i="2"/>
  <c r="D11" i="6"/>
  <c r="C34" i="3" s="1"/>
  <c r="E26" i="2"/>
  <c r="D116" i="3"/>
  <c r="F98" i="8"/>
  <c r="G113" i="3"/>
  <c r="I95" i="8"/>
  <c r="D110" i="3"/>
  <c r="E110" i="3" s="1"/>
  <c r="F92" i="8"/>
  <c r="D86" i="8"/>
  <c r="L94" i="8"/>
  <c r="L108" i="8" s="1"/>
  <c r="L131" i="8" s="1"/>
  <c r="D95" i="3"/>
  <c r="F77" i="8"/>
  <c r="F55" i="3"/>
  <c r="H55" i="3" s="1"/>
  <c r="J55" i="3" s="1"/>
  <c r="I55" i="8"/>
  <c r="E50" i="3"/>
  <c r="F50" i="8"/>
  <c r="F47" i="3"/>
  <c r="I47" i="8"/>
  <c r="D42" i="3"/>
  <c r="F42" i="8"/>
  <c r="AW58" i="8"/>
  <c r="AW64" i="8" s="1"/>
  <c r="AW57" i="8"/>
  <c r="AW110" i="8" s="1"/>
  <c r="AI58" i="8"/>
  <c r="AI64" i="8" s="1"/>
  <c r="AI57" i="8"/>
  <c r="AI110" i="8" s="1"/>
  <c r="AA58" i="8"/>
  <c r="AA64" i="8" s="1"/>
  <c r="AA57" i="8"/>
  <c r="AA110" i="8" s="1"/>
  <c r="S58" i="8"/>
  <c r="S64" i="8" s="1"/>
  <c r="S57" i="8"/>
  <c r="S110" i="8" s="1"/>
  <c r="K58" i="8"/>
  <c r="K64" i="8" s="1"/>
  <c r="K57" i="8"/>
  <c r="K110" i="8" s="1"/>
  <c r="F40" i="8"/>
  <c r="F37" i="3"/>
  <c r="I37" i="8"/>
  <c r="C26" i="3"/>
  <c r="E26" i="3" s="1"/>
  <c r="F26" i="8"/>
  <c r="H20" i="3"/>
  <c r="J20" i="3" s="1"/>
  <c r="I20" i="8"/>
  <c r="D18" i="3"/>
  <c r="E18" i="3" s="1"/>
  <c r="F18" i="8"/>
  <c r="F129" i="8"/>
  <c r="F127" i="8"/>
  <c r="D122" i="8"/>
  <c r="F122" i="8" s="1"/>
  <c r="E138" i="3"/>
  <c r="AB108" i="8"/>
  <c r="AB131" i="8" s="1"/>
  <c r="X108" i="8"/>
  <c r="X131" i="8" s="1"/>
  <c r="T108" i="8"/>
  <c r="T131" i="8" s="1"/>
  <c r="P108" i="8"/>
  <c r="P131" i="8" s="1"/>
  <c r="G117" i="3"/>
  <c r="I99" i="8"/>
  <c r="F113" i="3"/>
  <c r="G111" i="3"/>
  <c r="H111" i="3" s="1"/>
  <c r="J111" i="3" s="1"/>
  <c r="I93" i="8"/>
  <c r="D108" i="3"/>
  <c r="E108" i="3" s="1"/>
  <c r="F90" i="8"/>
  <c r="G103" i="3"/>
  <c r="H103" i="3" s="1"/>
  <c r="J103" i="3" s="1"/>
  <c r="I85" i="8"/>
  <c r="D101" i="3"/>
  <c r="F83" i="8"/>
  <c r="F75" i="8"/>
  <c r="F73" i="8"/>
  <c r="F73" i="3"/>
  <c r="I61" i="8"/>
  <c r="AM57" i="8"/>
  <c r="AM110" i="8" s="1"/>
  <c r="AO57" i="8"/>
  <c r="AO110" i="8" s="1"/>
  <c r="AO58" i="8"/>
  <c r="AO64" i="8" s="1"/>
  <c r="Y57" i="8"/>
  <c r="Y110" i="8" s="1"/>
  <c r="Y58" i="8"/>
  <c r="Y64" i="8" s="1"/>
  <c r="M57" i="8"/>
  <c r="M110" i="8" s="1"/>
  <c r="M58" i="8"/>
  <c r="M64" i="8" s="1"/>
  <c r="F53" i="3"/>
  <c r="H53" i="3" s="1"/>
  <c r="J53" i="3" s="1"/>
  <c r="I53" i="8"/>
  <c r="D48" i="3"/>
  <c r="E48" i="3" s="1"/>
  <c r="C49" i="24" s="1"/>
  <c r="F48" i="8"/>
  <c r="I45" i="8"/>
  <c r="D38" i="3"/>
  <c r="F38" i="8"/>
  <c r="F35" i="3"/>
  <c r="I35" i="8"/>
  <c r="AB33" i="8"/>
  <c r="AB109" i="8" s="1"/>
  <c r="AB58" i="8"/>
  <c r="AB64" i="8" s="1"/>
  <c r="I11" i="8"/>
  <c r="I123" i="8"/>
  <c r="F118" i="8"/>
  <c r="D117" i="8"/>
  <c r="F114" i="8"/>
  <c r="H138" i="3"/>
  <c r="E107" i="8"/>
  <c r="I105" i="8"/>
  <c r="F121" i="3"/>
  <c r="F125" i="3" s="1"/>
  <c r="C119" i="3"/>
  <c r="E119" i="3" s="1"/>
  <c r="G115" i="3"/>
  <c r="I97" i="8"/>
  <c r="E100" i="8"/>
  <c r="AS57" i="8"/>
  <c r="AS110" i="8" s="1"/>
  <c r="E56" i="8"/>
  <c r="H51" i="3"/>
  <c r="J51" i="3" s="1"/>
  <c r="I51" i="8"/>
  <c r="AX33" i="8"/>
  <c r="AX109" i="8" s="1"/>
  <c r="AX58" i="8"/>
  <c r="AX64" i="8" s="1"/>
  <c r="G24" i="3"/>
  <c r="H24" i="3" s="1"/>
  <c r="J24" i="3" s="1"/>
  <c r="I24" i="8"/>
  <c r="C22" i="3"/>
  <c r="E22" i="3" s="1"/>
  <c r="F22" i="8"/>
  <c r="H19" i="3"/>
  <c r="J19" i="3" s="1"/>
  <c r="I19" i="8"/>
  <c r="AF33" i="8"/>
  <c r="AF109" i="8" s="1"/>
  <c r="AF58" i="8"/>
  <c r="AF64" i="8" s="1"/>
  <c r="X33" i="8"/>
  <c r="X109" i="8" s="1"/>
  <c r="X58" i="8"/>
  <c r="X64" i="8" s="1"/>
  <c r="H13" i="3"/>
  <c r="J13" i="3" s="1"/>
  <c r="I13" i="8"/>
  <c r="F12" i="8"/>
  <c r="D8" i="8"/>
  <c r="J58" i="8"/>
  <c r="J64" i="8" s="1"/>
  <c r="D123" i="3"/>
  <c r="E123" i="3" s="1"/>
  <c r="F105" i="8"/>
  <c r="G121" i="3"/>
  <c r="I103" i="8"/>
  <c r="C113" i="3"/>
  <c r="D100" i="8"/>
  <c r="AV109" i="8"/>
  <c r="AL109" i="8"/>
  <c r="D106" i="3"/>
  <c r="E106" i="3" s="1"/>
  <c r="F88" i="8"/>
  <c r="D89" i="3"/>
  <c r="E89" i="3" s="1"/>
  <c r="F71" i="8"/>
  <c r="D52" i="3"/>
  <c r="E52" i="3" s="1"/>
  <c r="F52" i="8"/>
  <c r="F49" i="3"/>
  <c r="H49" i="3" s="1"/>
  <c r="J49" i="3" s="1"/>
  <c r="I49" i="8"/>
  <c r="F43" i="3"/>
  <c r="I43" i="8"/>
  <c r="D36" i="3"/>
  <c r="F36" i="8"/>
  <c r="AY33" i="8"/>
  <c r="AY109" i="8" s="1"/>
  <c r="G26" i="3"/>
  <c r="H26" i="3" s="1"/>
  <c r="J26" i="3" s="1"/>
  <c r="I26" i="8"/>
  <c r="C24" i="3"/>
  <c r="E24" i="3" s="1"/>
  <c r="F24" i="8"/>
  <c r="H14" i="3"/>
  <c r="J14" i="3" s="1"/>
  <c r="I14" i="8"/>
  <c r="F20" i="7"/>
  <c r="D66" i="6"/>
  <c r="C42" i="3" s="1"/>
  <c r="E29" i="6"/>
  <c r="D37" i="3" s="1"/>
  <c r="C85" i="3"/>
  <c r="E85" i="3" s="1"/>
  <c r="D56" i="4"/>
  <c r="E138" i="24"/>
  <c r="D58" i="24"/>
  <c r="F13" i="24"/>
  <c r="F17" i="24" s="1"/>
  <c r="E17" i="24"/>
  <c r="E45" i="6"/>
  <c r="F113" i="24"/>
  <c r="F95" i="24"/>
  <c r="F101" i="24" s="1"/>
  <c r="E101" i="24"/>
  <c r="F41" i="24"/>
  <c r="F42" i="24" s="1"/>
  <c r="F22" i="24"/>
  <c r="F33" i="24" s="1"/>
  <c r="E33" i="24"/>
  <c r="F86" i="3"/>
  <c r="H80" i="3"/>
  <c r="F123" i="24"/>
  <c r="F126" i="24" s="1"/>
  <c r="E126" i="24"/>
  <c r="E113" i="24"/>
  <c r="E87" i="24"/>
  <c r="E93" i="24" s="1"/>
  <c r="I122" i="15"/>
  <c r="I117" i="15"/>
  <c r="H124" i="3"/>
  <c r="J124" i="3" s="1"/>
  <c r="H122" i="3"/>
  <c r="J122" i="3" s="1"/>
  <c r="F103" i="8"/>
  <c r="H120" i="3"/>
  <c r="J120" i="3" s="1"/>
  <c r="C125" i="3"/>
  <c r="F101" i="8"/>
  <c r="F95" i="8"/>
  <c r="F93" i="8"/>
  <c r="F91" i="8"/>
  <c r="H108" i="3"/>
  <c r="J108" i="3" s="1"/>
  <c r="F89" i="8"/>
  <c r="F87" i="8"/>
  <c r="I86" i="8"/>
  <c r="F84" i="8"/>
  <c r="H101" i="3"/>
  <c r="J101" i="3" s="1"/>
  <c r="F78" i="8"/>
  <c r="F76" i="8"/>
  <c r="C91" i="3"/>
  <c r="F72" i="8"/>
  <c r="F70" i="8"/>
  <c r="F61" i="8"/>
  <c r="D56" i="8"/>
  <c r="F55" i="8"/>
  <c r="F53" i="8"/>
  <c r="F51" i="8"/>
  <c r="F49" i="8"/>
  <c r="F47" i="8"/>
  <c r="D46" i="8"/>
  <c r="G44" i="3"/>
  <c r="F43" i="8"/>
  <c r="G42" i="3"/>
  <c r="F39" i="8"/>
  <c r="F37" i="8"/>
  <c r="F35" i="8"/>
  <c r="G34" i="3"/>
  <c r="D32" i="8"/>
  <c r="I29" i="8"/>
  <c r="I27" i="8"/>
  <c r="I25" i="8"/>
  <c r="I23" i="8"/>
  <c r="I21" i="8"/>
  <c r="F19" i="8"/>
  <c r="F17" i="8"/>
  <c r="F14" i="8"/>
  <c r="I8" i="8"/>
  <c r="I14" i="7"/>
  <c r="E143" i="24"/>
  <c r="F81" i="24"/>
  <c r="F87" i="24" s="1"/>
  <c r="E41" i="24"/>
  <c r="E42" i="24" s="1"/>
  <c r="E60" i="3"/>
  <c r="C26" i="2"/>
  <c r="D117" i="3"/>
  <c r="D115" i="3"/>
  <c r="E111" i="3"/>
  <c r="I91" i="8"/>
  <c r="E109" i="3"/>
  <c r="I89" i="8"/>
  <c r="I87" i="8"/>
  <c r="E105" i="3"/>
  <c r="H104" i="3"/>
  <c r="J104" i="3" s="1"/>
  <c r="F85" i="8"/>
  <c r="I84" i="8"/>
  <c r="I78" i="8"/>
  <c r="E96" i="3"/>
  <c r="I76" i="8"/>
  <c r="I72" i="8"/>
  <c r="E90" i="3"/>
  <c r="I70" i="8"/>
  <c r="E88" i="3"/>
  <c r="F40" i="3"/>
  <c r="F36" i="3"/>
  <c r="D35" i="3"/>
  <c r="H18" i="3"/>
  <c r="J18" i="3" s="1"/>
  <c r="H130" i="3"/>
  <c r="G132" i="3"/>
  <c r="H109" i="3"/>
  <c r="J109" i="3" s="1"/>
  <c r="H107" i="3"/>
  <c r="J107" i="3" s="1"/>
  <c r="H105" i="3"/>
  <c r="J105" i="3" s="1"/>
  <c r="E103" i="3"/>
  <c r="C102" i="3"/>
  <c r="E102" i="3" s="1"/>
  <c r="H96" i="3"/>
  <c r="J96" i="3" s="1"/>
  <c r="G100" i="3"/>
  <c r="H94" i="3"/>
  <c r="J94" i="3" s="1"/>
  <c r="H88" i="3"/>
  <c r="J88" i="3" s="1"/>
  <c r="E73" i="3"/>
  <c r="E49" i="3"/>
  <c r="C50" i="24" s="1"/>
  <c r="G56" i="3"/>
  <c r="C56" i="3"/>
  <c r="E47" i="3"/>
  <c r="C48" i="24" s="1"/>
  <c r="G43" i="3"/>
  <c r="F12" i="2"/>
  <c r="H30" i="3"/>
  <c r="J30" i="3" s="1"/>
  <c r="D91" i="6"/>
  <c r="E57" i="24"/>
  <c r="C126" i="22"/>
  <c r="H10" i="3"/>
  <c r="J10" i="3" s="1"/>
  <c r="K47" i="23"/>
  <c r="D108" i="14"/>
  <c r="F100" i="14"/>
  <c r="E68" i="23"/>
  <c r="I68" i="23"/>
  <c r="M68" i="23"/>
  <c r="F68" i="23"/>
  <c r="J68" i="23"/>
  <c r="N68" i="23"/>
  <c r="H68" i="23"/>
  <c r="C149" i="22"/>
  <c r="C153" i="22" s="1"/>
  <c r="L69" i="23"/>
  <c r="H69" i="23"/>
  <c r="C58" i="22"/>
  <c r="C76" i="22" s="1"/>
  <c r="H137" i="3"/>
  <c r="H131" i="3"/>
  <c r="J131" i="3" s="1"/>
  <c r="E130" i="3"/>
  <c r="D126" i="22"/>
  <c r="S32" i="16"/>
  <c r="I94" i="15"/>
  <c r="F46" i="15"/>
  <c r="G62" i="3"/>
  <c r="G71" i="3" s="1"/>
  <c r="G75" i="3" s="1"/>
  <c r="F19" i="2" s="1"/>
  <c r="D57" i="15"/>
  <c r="D110" i="15" s="1"/>
  <c r="F56" i="15"/>
  <c r="S12" i="16"/>
  <c r="I107" i="15"/>
  <c r="F32" i="15"/>
  <c r="F32" i="13"/>
  <c r="Q37" i="16"/>
  <c r="M37" i="16"/>
  <c r="I37" i="16"/>
  <c r="E37" i="16"/>
  <c r="S36" i="16"/>
  <c r="F94" i="14"/>
  <c r="I56" i="14"/>
  <c r="I32" i="14"/>
  <c r="I117" i="13"/>
  <c r="I41" i="13"/>
  <c r="I117" i="12"/>
  <c r="I126" i="12" s="1"/>
  <c r="I130" i="12" s="1"/>
  <c r="F16" i="14"/>
  <c r="D108" i="13"/>
  <c r="I82" i="13"/>
  <c r="I63" i="13"/>
  <c r="I46" i="12"/>
  <c r="E58" i="12"/>
  <c r="E64" i="12" s="1"/>
  <c r="E57" i="12"/>
  <c r="E110" i="12" s="1"/>
  <c r="F46" i="14"/>
  <c r="D16" i="14"/>
  <c r="I94" i="13"/>
  <c r="F46" i="13"/>
  <c r="F16" i="11"/>
  <c r="F56" i="14"/>
  <c r="F32" i="14"/>
  <c r="D9" i="14"/>
  <c r="F117" i="13"/>
  <c r="I100" i="13"/>
  <c r="F56" i="13"/>
  <c r="F16" i="13"/>
  <c r="D108" i="12"/>
  <c r="F16" i="12"/>
  <c r="D57" i="11"/>
  <c r="D110" i="11" s="1"/>
  <c r="D58" i="11"/>
  <c r="D64" i="11" s="1"/>
  <c r="F56" i="11"/>
  <c r="I107" i="12"/>
  <c r="D57" i="12"/>
  <c r="D110" i="12" s="1"/>
  <c r="F56" i="12"/>
  <c r="I16" i="12"/>
  <c r="F117" i="11"/>
  <c r="E108" i="11"/>
  <c r="D33" i="11"/>
  <c r="D109" i="11" s="1"/>
  <c r="F32" i="11"/>
  <c r="F122" i="12"/>
  <c r="D58" i="12"/>
  <c r="D64" i="12" s="1"/>
  <c r="I56" i="12"/>
  <c r="D33" i="12"/>
  <c r="D109" i="12" s="1"/>
  <c r="F32" i="12"/>
  <c r="D108" i="11"/>
  <c r="D126" i="12"/>
  <c r="D130" i="12" s="1"/>
  <c r="D134" i="12" s="1"/>
  <c r="F117" i="12"/>
  <c r="F46" i="12"/>
  <c r="I32" i="12"/>
  <c r="F46" i="11"/>
  <c r="F61" i="24" l="1"/>
  <c r="J60" i="3"/>
  <c r="J20" i="7"/>
  <c r="F24" i="7"/>
  <c r="F26" i="7" s="1"/>
  <c r="AY1" i="8"/>
  <c r="AS1" i="8"/>
  <c r="AY2" i="8"/>
  <c r="AS2" i="8"/>
  <c r="J151" i="3"/>
  <c r="I153" i="3"/>
  <c r="I154" i="3" s="1"/>
  <c r="H86" i="3"/>
  <c r="J86" i="3" s="1"/>
  <c r="J80" i="3"/>
  <c r="F23" i="2"/>
  <c r="D93" i="3"/>
  <c r="F90" i="5"/>
  <c r="F93" i="3"/>
  <c r="E22" i="2" s="1"/>
  <c r="G22" i="2" s="1"/>
  <c r="H90" i="3"/>
  <c r="J90" i="3" s="1"/>
  <c r="I26" i="7"/>
  <c r="H109" i="8"/>
  <c r="H108" i="8"/>
  <c r="H131" i="8" s="1"/>
  <c r="G109" i="8"/>
  <c r="G108" i="8"/>
  <c r="G131" i="8" s="1"/>
  <c r="C108" i="24"/>
  <c r="E126" i="8"/>
  <c r="E130" i="8" s="1"/>
  <c r="F15" i="8"/>
  <c r="E15" i="3"/>
  <c r="D9" i="8"/>
  <c r="C8" i="3"/>
  <c r="E8" i="3" s="1"/>
  <c r="E65" i="23"/>
  <c r="I64" i="23"/>
  <c r="L67" i="23"/>
  <c r="D132" i="3"/>
  <c r="D149" i="3" s="1"/>
  <c r="D153" i="3" s="1"/>
  <c r="E131" i="15"/>
  <c r="E136" i="15" s="1"/>
  <c r="F126" i="11"/>
  <c r="F130" i="11" s="1"/>
  <c r="F134" i="11" s="1"/>
  <c r="C31" i="3"/>
  <c r="E31" i="3" s="1"/>
  <c r="C32" i="23" s="1"/>
  <c r="P32" i="23" s="1"/>
  <c r="J64" i="23"/>
  <c r="D65" i="23"/>
  <c r="L65" i="23"/>
  <c r="L64" i="23"/>
  <c r="I71" i="23"/>
  <c r="E17" i="3"/>
  <c r="C18" i="23" s="1"/>
  <c r="L70" i="23"/>
  <c r="C150" i="23"/>
  <c r="P150" i="23" s="1"/>
  <c r="O71" i="23"/>
  <c r="C138" i="24"/>
  <c r="E132" i="3"/>
  <c r="I134" i="12"/>
  <c r="C151" i="24"/>
  <c r="E107" i="22"/>
  <c r="I109" i="15"/>
  <c r="I109" i="13"/>
  <c r="C62" i="3"/>
  <c r="C71" i="3" s="1"/>
  <c r="C75" i="3" s="1"/>
  <c r="B19" i="2" s="1"/>
  <c r="L71" i="23"/>
  <c r="E59" i="3"/>
  <c r="E59" i="22" s="1"/>
  <c r="O70" i="23"/>
  <c r="D71" i="23"/>
  <c r="I70" i="23"/>
  <c r="N71" i="23"/>
  <c r="G71" i="23"/>
  <c r="J71" i="23"/>
  <c r="M71" i="23"/>
  <c r="J70" i="23"/>
  <c r="H121" i="3"/>
  <c r="D126" i="8"/>
  <c r="D130" i="8" s="1"/>
  <c r="H35" i="3"/>
  <c r="J35" i="3" s="1"/>
  <c r="G112" i="3"/>
  <c r="F24" i="2" s="1"/>
  <c r="D90" i="5"/>
  <c r="D92" i="5" s="1"/>
  <c r="I109" i="14"/>
  <c r="F110" i="15"/>
  <c r="H44" i="3"/>
  <c r="J44" i="3" s="1"/>
  <c r="F126" i="10"/>
  <c r="F130" i="10" s="1"/>
  <c r="F134" i="10" s="1"/>
  <c r="F108" i="12"/>
  <c r="I108" i="12"/>
  <c r="I131" i="12" s="1"/>
  <c r="F112" i="3"/>
  <c r="E24" i="2" s="1"/>
  <c r="C52" i="23"/>
  <c r="I58" i="15"/>
  <c r="I64" i="15" s="1"/>
  <c r="F149" i="3"/>
  <c r="F153" i="3" s="1"/>
  <c r="E29" i="2" s="1"/>
  <c r="I33" i="15"/>
  <c r="K65" i="23"/>
  <c r="O65" i="23"/>
  <c r="E64" i="23"/>
  <c r="G65" i="23"/>
  <c r="I110" i="15"/>
  <c r="F64" i="23"/>
  <c r="H65" i="23"/>
  <c r="H70" i="23"/>
  <c r="G70" i="23"/>
  <c r="D70" i="23"/>
  <c r="N70" i="23"/>
  <c r="K71" i="23"/>
  <c r="E70" i="23"/>
  <c r="E44" i="3"/>
  <c r="E44" i="22" s="1"/>
  <c r="F65" i="23"/>
  <c r="J65" i="23"/>
  <c r="F126" i="9"/>
  <c r="F130" i="9" s="1"/>
  <c r="F134" i="9" s="1"/>
  <c r="AY131" i="8"/>
  <c r="E51" i="22"/>
  <c r="M64" i="23"/>
  <c r="N64" i="23"/>
  <c r="K70" i="23"/>
  <c r="F71" i="23"/>
  <c r="E71" i="23"/>
  <c r="H71" i="23"/>
  <c r="F70" i="23"/>
  <c r="C149" i="24"/>
  <c r="F109" i="13"/>
  <c r="D64" i="23"/>
  <c r="F110" i="13"/>
  <c r="F126" i="13"/>
  <c r="F130" i="13" s="1"/>
  <c r="F134" i="13" s="1"/>
  <c r="F126" i="12"/>
  <c r="F130" i="12" s="1"/>
  <c r="F134" i="12" s="1"/>
  <c r="F109" i="11"/>
  <c r="E39" i="3"/>
  <c r="E39" i="22" s="1"/>
  <c r="C97" i="24"/>
  <c r="C96" i="23"/>
  <c r="P96" i="23" s="1"/>
  <c r="E96" i="22"/>
  <c r="C124" i="24"/>
  <c r="C123" i="23"/>
  <c r="E123" i="22"/>
  <c r="C122" i="24"/>
  <c r="E121" i="22"/>
  <c r="C130" i="24"/>
  <c r="E129" i="22"/>
  <c r="C26" i="24"/>
  <c r="C26" i="23"/>
  <c r="F26" i="23" s="1"/>
  <c r="E25" i="22"/>
  <c r="C131" i="24"/>
  <c r="E130" i="22"/>
  <c r="C91" i="24"/>
  <c r="C90" i="23"/>
  <c r="P90" i="23" s="1"/>
  <c r="E90" i="22"/>
  <c r="C110" i="24"/>
  <c r="C109" i="23"/>
  <c r="P109" i="23" s="1"/>
  <c r="E109" i="22"/>
  <c r="C61" i="24"/>
  <c r="E60" i="22"/>
  <c r="C90" i="24"/>
  <c r="C89" i="23"/>
  <c r="P89" i="23" s="1"/>
  <c r="E89" i="22"/>
  <c r="C153" i="24"/>
  <c r="I41" i="8"/>
  <c r="C21" i="24"/>
  <c r="C21" i="23"/>
  <c r="E20" i="22"/>
  <c r="F110" i="9"/>
  <c r="G92" i="3"/>
  <c r="F21" i="2" s="1"/>
  <c r="E53" i="22"/>
  <c r="C104" i="24"/>
  <c r="C103" i="23"/>
  <c r="E103" i="22"/>
  <c r="C121" i="24"/>
  <c r="E120" i="22"/>
  <c r="C109" i="24"/>
  <c r="C108" i="23"/>
  <c r="P108" i="23" s="1"/>
  <c r="E108" i="22"/>
  <c r="C145" i="24"/>
  <c r="E144" i="22"/>
  <c r="I110" i="14"/>
  <c r="C106" i="24"/>
  <c r="C105" i="23"/>
  <c r="O105" i="23" s="1"/>
  <c r="E105" i="22"/>
  <c r="I126" i="15"/>
  <c r="I130" i="15" s="1"/>
  <c r="I134" i="15" s="1"/>
  <c r="I46" i="8"/>
  <c r="C152" i="23"/>
  <c r="P152" i="23" s="1"/>
  <c r="I63" i="8"/>
  <c r="C19" i="24"/>
  <c r="C19" i="23"/>
  <c r="E18" i="22"/>
  <c r="C27" i="24"/>
  <c r="C27" i="23"/>
  <c r="E26" i="22"/>
  <c r="C144" i="24"/>
  <c r="E143" i="22"/>
  <c r="H132" i="3"/>
  <c r="C62" i="24"/>
  <c r="C62" i="23"/>
  <c r="P62" i="23" s="1"/>
  <c r="E61" i="22"/>
  <c r="I57" i="13"/>
  <c r="I57" i="15"/>
  <c r="C22" i="24"/>
  <c r="C22" i="23"/>
  <c r="H22" i="23" s="1"/>
  <c r="E21" i="22"/>
  <c r="C149" i="3"/>
  <c r="C153" i="3" s="1"/>
  <c r="B29" i="2" s="1"/>
  <c r="C54" i="23"/>
  <c r="G55" i="23" s="1"/>
  <c r="D125" i="3"/>
  <c r="C27" i="2" s="1"/>
  <c r="I33" i="14"/>
  <c r="C89" i="24"/>
  <c r="C88" i="23"/>
  <c r="P88" i="23" s="1"/>
  <c r="E88" i="22"/>
  <c r="C112" i="24"/>
  <c r="C111" i="23"/>
  <c r="O111" i="23" s="1"/>
  <c r="E111" i="22"/>
  <c r="F100" i="8"/>
  <c r="F107" i="8"/>
  <c r="C25" i="24"/>
  <c r="C25" i="23"/>
  <c r="E24" i="22"/>
  <c r="C23" i="24"/>
  <c r="C23" i="23"/>
  <c r="E22" i="22"/>
  <c r="C111" i="24"/>
  <c r="C110" i="23"/>
  <c r="P110" i="23" s="1"/>
  <c r="E110" i="22"/>
  <c r="C88" i="24"/>
  <c r="C87" i="23"/>
  <c r="P87" i="23" s="1"/>
  <c r="E87" i="22"/>
  <c r="I33" i="13"/>
  <c r="C123" i="24"/>
  <c r="E122" i="22"/>
  <c r="C28" i="24"/>
  <c r="C28" i="23"/>
  <c r="K29" i="23" s="1"/>
  <c r="E27" i="22"/>
  <c r="C95" i="24"/>
  <c r="C94" i="23"/>
  <c r="E94" i="22"/>
  <c r="C132" i="24"/>
  <c r="C131" i="23"/>
  <c r="P131" i="23" s="1"/>
  <c r="E131" i="22"/>
  <c r="G64" i="23"/>
  <c r="I65" i="23"/>
  <c r="H64" i="23"/>
  <c r="M65" i="23"/>
  <c r="O64" i="23"/>
  <c r="N65" i="23"/>
  <c r="F93" i="24"/>
  <c r="C120" i="24"/>
  <c r="C119" i="23"/>
  <c r="O119" i="23" s="1"/>
  <c r="E119" i="22"/>
  <c r="C24" i="24"/>
  <c r="C24" i="23"/>
  <c r="O24" i="23" s="1"/>
  <c r="E23" i="22"/>
  <c r="H116" i="3"/>
  <c r="J116" i="3" s="1"/>
  <c r="H117" i="3"/>
  <c r="J117" i="3" s="1"/>
  <c r="H139" i="3"/>
  <c r="C20" i="24"/>
  <c r="C20" i="23"/>
  <c r="E19" i="22"/>
  <c r="C31" i="24"/>
  <c r="C31" i="23"/>
  <c r="P31" i="23" s="1"/>
  <c r="E30" i="22"/>
  <c r="C86" i="24"/>
  <c r="C85" i="23"/>
  <c r="P85" i="23" s="1"/>
  <c r="E85" i="22"/>
  <c r="C100" i="24"/>
  <c r="C99" i="23"/>
  <c r="O99" i="23" s="1"/>
  <c r="E99" i="22"/>
  <c r="F92" i="3"/>
  <c r="E21" i="2" s="1"/>
  <c r="C81" i="24"/>
  <c r="C80" i="23"/>
  <c r="O80" i="23" s="1"/>
  <c r="E80" i="22"/>
  <c r="C98" i="3"/>
  <c r="E98" i="3" s="1"/>
  <c r="C98" i="23" s="1"/>
  <c r="L98" i="23" s="1"/>
  <c r="F118" i="3"/>
  <c r="E25" i="2" s="1"/>
  <c r="H115" i="3"/>
  <c r="J115" i="3" s="1"/>
  <c r="E124" i="3"/>
  <c r="C124" i="23" s="1"/>
  <c r="H124" i="23" s="1"/>
  <c r="H114" i="3"/>
  <c r="J114" i="3" s="1"/>
  <c r="E117" i="3"/>
  <c r="C118" i="24" s="1"/>
  <c r="C93" i="3"/>
  <c r="B22" i="2" s="1"/>
  <c r="E114" i="3"/>
  <c r="C115" i="24" s="1"/>
  <c r="C139" i="24"/>
  <c r="C138" i="23"/>
  <c r="E138" i="22"/>
  <c r="C107" i="24"/>
  <c r="C106" i="23"/>
  <c r="O106" i="23" s="1"/>
  <c r="E106" i="22"/>
  <c r="C15" i="24"/>
  <c r="C15" i="23"/>
  <c r="O15" i="23" s="1"/>
  <c r="E14" i="22"/>
  <c r="D33" i="9"/>
  <c r="D109" i="9" s="1"/>
  <c r="F109" i="9" s="1"/>
  <c r="D58" i="9"/>
  <c r="D64" i="9" s="1"/>
  <c r="C103" i="24"/>
  <c r="C102" i="23"/>
  <c r="O102" i="23" s="1"/>
  <c r="E102" i="22"/>
  <c r="D56" i="3"/>
  <c r="C17" i="2" s="1"/>
  <c r="C53" i="24"/>
  <c r="C53" i="23"/>
  <c r="E52" i="22"/>
  <c r="C56" i="24"/>
  <c r="C56" i="23"/>
  <c r="P56" i="23" s="1"/>
  <c r="E55" i="22"/>
  <c r="C51" i="24"/>
  <c r="C51" i="23"/>
  <c r="O51" i="23" s="1"/>
  <c r="E50" i="22"/>
  <c r="D154" i="22"/>
  <c r="D155" i="22" s="1"/>
  <c r="F110" i="14"/>
  <c r="H39" i="3"/>
  <c r="J39" i="3" s="1"/>
  <c r="E43" i="3"/>
  <c r="H38" i="3"/>
  <c r="J38" i="3" s="1"/>
  <c r="E115" i="3"/>
  <c r="H42" i="3"/>
  <c r="J42" i="3" s="1"/>
  <c r="F93" i="6"/>
  <c r="H36" i="3"/>
  <c r="J36" i="3" s="1"/>
  <c r="E38" i="3"/>
  <c r="E133" i="9"/>
  <c r="H7" i="3"/>
  <c r="H40" i="3"/>
  <c r="J40" i="3" s="1"/>
  <c r="E37" i="3"/>
  <c r="E116" i="3"/>
  <c r="C117" i="24" s="1"/>
  <c r="E139" i="3"/>
  <c r="D58" i="15"/>
  <c r="D64" i="15" s="1"/>
  <c r="F108" i="15"/>
  <c r="F33" i="12"/>
  <c r="F108" i="11"/>
  <c r="T37" i="16"/>
  <c r="F108" i="10"/>
  <c r="F33" i="10"/>
  <c r="C81" i="3"/>
  <c r="E81" i="3" s="1"/>
  <c r="F56" i="8"/>
  <c r="G32" i="3"/>
  <c r="G33" i="3" s="1"/>
  <c r="D16" i="8"/>
  <c r="D33" i="8" s="1"/>
  <c r="J33" i="8"/>
  <c r="J109" i="8" s="1"/>
  <c r="F126" i="14"/>
  <c r="F130" i="14" s="1"/>
  <c r="F134" i="14" s="1"/>
  <c r="F108" i="13"/>
  <c r="E35" i="3"/>
  <c r="E133" i="12"/>
  <c r="E12" i="3"/>
  <c r="D46" i="3"/>
  <c r="C16" i="2" s="1"/>
  <c r="F109" i="10"/>
  <c r="G41" i="3"/>
  <c r="F15" i="2" s="1"/>
  <c r="E36" i="3"/>
  <c r="C82" i="3"/>
  <c r="E82" i="3" s="1"/>
  <c r="I109" i="12"/>
  <c r="S37" i="16"/>
  <c r="H91" i="3"/>
  <c r="J91" i="3" s="1"/>
  <c r="F110" i="10"/>
  <c r="D92" i="6"/>
  <c r="E16" i="8"/>
  <c r="H37" i="3"/>
  <c r="J37" i="3" s="1"/>
  <c r="D126" i="15"/>
  <c r="D130" i="15" s="1"/>
  <c r="C129" i="23"/>
  <c r="P129" i="23" s="1"/>
  <c r="I108" i="13"/>
  <c r="I108" i="15"/>
  <c r="F109" i="15"/>
  <c r="P69" i="23"/>
  <c r="F108" i="14"/>
  <c r="H34" i="3"/>
  <c r="J34" i="3" s="1"/>
  <c r="D75" i="3"/>
  <c r="C19" i="2" s="1"/>
  <c r="I74" i="8"/>
  <c r="I82" i="8"/>
  <c r="E150" i="24"/>
  <c r="F82" i="8"/>
  <c r="F117" i="8"/>
  <c r="C147" i="24"/>
  <c r="C148" i="23"/>
  <c r="P148" i="23" s="1"/>
  <c r="C122" i="23"/>
  <c r="G122" i="23" s="1"/>
  <c r="I117" i="8"/>
  <c r="I126" i="8" s="1"/>
  <c r="I130" i="8" s="1"/>
  <c r="I23" i="19"/>
  <c r="I108" i="14"/>
  <c r="I131" i="14" s="1"/>
  <c r="E131" i="14"/>
  <c r="E136" i="14" s="1"/>
  <c r="E131" i="13"/>
  <c r="E136" i="13" s="1"/>
  <c r="E133" i="13"/>
  <c r="F126" i="15"/>
  <c r="F130" i="15" s="1"/>
  <c r="F134" i="15" s="1"/>
  <c r="H62" i="3"/>
  <c r="F60" i="24"/>
  <c r="F63" i="24" s="1"/>
  <c r="F72" i="24" s="1"/>
  <c r="I58" i="13"/>
  <c r="I64" i="13" s="1"/>
  <c r="F33" i="15"/>
  <c r="E133" i="15"/>
  <c r="P66" i="23"/>
  <c r="C45" i="3"/>
  <c r="E45" i="3" s="1"/>
  <c r="E146" i="22"/>
  <c r="D32" i="3"/>
  <c r="C14" i="2" s="1"/>
  <c r="F108" i="9"/>
  <c r="F33" i="14"/>
  <c r="D58" i="14"/>
  <c r="D64" i="14" s="1"/>
  <c r="P68" i="23"/>
  <c r="F63" i="8"/>
  <c r="I107" i="8"/>
  <c r="D16" i="3"/>
  <c r="C12" i="2" s="1"/>
  <c r="F33" i="9"/>
  <c r="F150" i="24"/>
  <c r="G93" i="6"/>
  <c r="D67" i="23"/>
  <c r="F67" i="23"/>
  <c r="K67" i="23"/>
  <c r="G67" i="23"/>
  <c r="M67" i="23"/>
  <c r="J67" i="23"/>
  <c r="N67" i="23"/>
  <c r="E67" i="23"/>
  <c r="O67" i="23"/>
  <c r="I67" i="23"/>
  <c r="C137" i="23"/>
  <c r="P137" i="23" s="1"/>
  <c r="P134" i="23"/>
  <c r="E133" i="14"/>
  <c r="F100" i="3"/>
  <c r="E23" i="2" s="1"/>
  <c r="I110" i="13"/>
  <c r="I134" i="14"/>
  <c r="I110" i="12"/>
  <c r="E136" i="12"/>
  <c r="F109" i="12"/>
  <c r="F58" i="11"/>
  <c r="F57" i="11"/>
  <c r="D33" i="14"/>
  <c r="D109" i="14" s="1"/>
  <c r="F109" i="14" s="1"/>
  <c r="F110" i="12"/>
  <c r="I33" i="12"/>
  <c r="F33" i="11"/>
  <c r="F110" i="11"/>
  <c r="F58" i="12"/>
  <c r="F57" i="12"/>
  <c r="D133" i="12"/>
  <c r="D131" i="12"/>
  <c r="D136" i="12" s="1"/>
  <c r="F58" i="13"/>
  <c r="F57" i="13"/>
  <c r="F58" i="14"/>
  <c r="F64" i="14" s="1"/>
  <c r="F57" i="14"/>
  <c r="I57" i="14"/>
  <c r="I58" i="14"/>
  <c r="B17" i="2"/>
  <c r="H100" i="3"/>
  <c r="J100" i="3" s="1"/>
  <c r="F41" i="3"/>
  <c r="E15" i="2" s="1"/>
  <c r="D118" i="3"/>
  <c r="C25" i="2" s="1"/>
  <c r="C61" i="23"/>
  <c r="P61" i="23" s="1"/>
  <c r="G10" i="2"/>
  <c r="G125" i="3"/>
  <c r="E46" i="6"/>
  <c r="E93" i="6" s="1"/>
  <c r="C120" i="23"/>
  <c r="E57" i="8"/>
  <c r="E110" i="8" s="1"/>
  <c r="B26" i="2"/>
  <c r="D26" i="2" s="1"/>
  <c r="E108" i="8"/>
  <c r="G149" i="3"/>
  <c r="G153" i="3" s="1"/>
  <c r="I16" i="8"/>
  <c r="C22" i="2"/>
  <c r="AJ33" i="8"/>
  <c r="AJ109" i="8" s="1"/>
  <c r="AJ58" i="8"/>
  <c r="AJ64" i="8" s="1"/>
  <c r="I56" i="8"/>
  <c r="D45" i="6"/>
  <c r="L33" i="8"/>
  <c r="L109" i="8" s="1"/>
  <c r="L58" i="8"/>
  <c r="L64" i="8" s="1"/>
  <c r="C121" i="23"/>
  <c r="E46" i="24"/>
  <c r="E47" i="24" s="1"/>
  <c r="F17" i="2"/>
  <c r="D57" i="8"/>
  <c r="D110" i="8" s="1"/>
  <c r="G83" i="23"/>
  <c r="K83" i="23"/>
  <c r="D83" i="23"/>
  <c r="H83" i="23"/>
  <c r="L83" i="23"/>
  <c r="F83" i="23"/>
  <c r="N83" i="23"/>
  <c r="I83" i="23"/>
  <c r="J83" i="23"/>
  <c r="E83" i="23"/>
  <c r="M83" i="23"/>
  <c r="H43" i="3"/>
  <c r="J43" i="3" s="1"/>
  <c r="E7" i="3"/>
  <c r="I32" i="8"/>
  <c r="H11" i="3"/>
  <c r="J11" i="3" s="1"/>
  <c r="E12" i="2"/>
  <c r="G12" i="2" s="1"/>
  <c r="F74" i="8"/>
  <c r="C29" i="3"/>
  <c r="F29" i="8"/>
  <c r="F32" i="8" s="1"/>
  <c r="F46" i="8"/>
  <c r="F56" i="3"/>
  <c r="H47" i="3"/>
  <c r="J47" i="3" s="1"/>
  <c r="C104" i="3"/>
  <c r="F86" i="8"/>
  <c r="F94" i="8" s="1"/>
  <c r="E13" i="3"/>
  <c r="F13" i="8"/>
  <c r="E13" i="2"/>
  <c r="G13" i="2" s="1"/>
  <c r="H17" i="3"/>
  <c r="J17" i="3" s="1"/>
  <c r="F41" i="8"/>
  <c r="E151" i="3"/>
  <c r="F58" i="15"/>
  <c r="F64" i="15" s="1"/>
  <c r="F57" i="15"/>
  <c r="C130" i="23"/>
  <c r="E49" i="22"/>
  <c r="C50" i="23"/>
  <c r="E27" i="2"/>
  <c r="F31" i="3"/>
  <c r="E48" i="22"/>
  <c r="C49" i="23"/>
  <c r="H64" i="8"/>
  <c r="B27" i="2"/>
  <c r="C118" i="3"/>
  <c r="B25" i="2" s="1"/>
  <c r="E113" i="3"/>
  <c r="E91" i="3"/>
  <c r="D92" i="3"/>
  <c r="C21" i="2" s="1"/>
  <c r="D112" i="3"/>
  <c r="E101" i="3"/>
  <c r="I100" i="8"/>
  <c r="E147" i="22"/>
  <c r="C147" i="23"/>
  <c r="P147" i="23" s="1"/>
  <c r="C148" i="24"/>
  <c r="D131" i="9"/>
  <c r="E133" i="11"/>
  <c r="E131" i="11"/>
  <c r="E136" i="11" s="1"/>
  <c r="D131" i="11"/>
  <c r="D136" i="11" s="1"/>
  <c r="D133" i="11"/>
  <c r="I58" i="12"/>
  <c r="I64" i="12" s="1"/>
  <c r="I57" i="12"/>
  <c r="D133" i="13"/>
  <c r="D131" i="13"/>
  <c r="D136" i="13" s="1"/>
  <c r="F33" i="13"/>
  <c r="D131" i="14"/>
  <c r="C154" i="22"/>
  <c r="C155" i="22" s="1"/>
  <c r="E11" i="3"/>
  <c r="E56" i="3"/>
  <c r="E47" i="22"/>
  <c r="C48" i="23"/>
  <c r="C74" i="23"/>
  <c r="E73" i="22"/>
  <c r="C74" i="24"/>
  <c r="I94" i="8"/>
  <c r="G97" i="23"/>
  <c r="M97" i="23"/>
  <c r="H97" i="23"/>
  <c r="I97" i="23"/>
  <c r="L97" i="23"/>
  <c r="E97" i="23"/>
  <c r="F97" i="23"/>
  <c r="B11" i="2"/>
  <c r="D11" i="2" s="1"/>
  <c r="E10" i="3"/>
  <c r="E34" i="3"/>
  <c r="E42" i="3"/>
  <c r="E72" i="22"/>
  <c r="C73" i="23"/>
  <c r="C73" i="24"/>
  <c r="H112" i="3"/>
  <c r="J112" i="3" s="1"/>
  <c r="D87" i="4"/>
  <c r="F8" i="8"/>
  <c r="F9" i="8" s="1"/>
  <c r="F75" i="3"/>
  <c r="E19" i="2" s="1"/>
  <c r="H73" i="3"/>
  <c r="I73" i="3" s="1"/>
  <c r="D94" i="8"/>
  <c r="G107" i="23"/>
  <c r="K107" i="23"/>
  <c r="O107" i="23"/>
  <c r="D107" i="23"/>
  <c r="H107" i="23"/>
  <c r="L107" i="23"/>
  <c r="E107" i="23"/>
  <c r="M107" i="23"/>
  <c r="F107" i="23"/>
  <c r="N107" i="23"/>
  <c r="I107" i="23"/>
  <c r="J107" i="23"/>
  <c r="D40" i="3"/>
  <c r="D41" i="3" s="1"/>
  <c r="G64" i="8"/>
  <c r="E95" i="3"/>
  <c r="D100" i="3"/>
  <c r="C23" i="2" s="1"/>
  <c r="H113" i="3"/>
  <c r="J113" i="3" s="1"/>
  <c r="G118" i="3"/>
  <c r="F25" i="2" s="1"/>
  <c r="I9" i="8"/>
  <c r="AR33" i="8"/>
  <c r="AR109" i="8" s="1"/>
  <c r="F26" i="2"/>
  <c r="G26" i="2" s="1"/>
  <c r="H119" i="3"/>
  <c r="J119" i="3" s="1"/>
  <c r="C143" i="23"/>
  <c r="P143" i="23" s="1"/>
  <c r="F58" i="10"/>
  <c r="F64" i="10" s="1"/>
  <c r="F57" i="10"/>
  <c r="D131" i="10"/>
  <c r="D136" i="10" s="1"/>
  <c r="D133" i="10"/>
  <c r="F58" i="9"/>
  <c r="F64" i="9" s="1"/>
  <c r="F57" i="9"/>
  <c r="E133" i="10"/>
  <c r="E131" i="10"/>
  <c r="E136" i="10" s="1"/>
  <c r="E131" i="9"/>
  <c r="E136" i="9" s="1"/>
  <c r="H93" i="3" l="1"/>
  <c r="J93" i="3" s="1"/>
  <c r="H71" i="3"/>
  <c r="J71" i="3" s="1"/>
  <c r="J62" i="3"/>
  <c r="J92" i="3"/>
  <c r="J73" i="3"/>
  <c r="I75" i="3"/>
  <c r="H125" i="3"/>
  <c r="J125" i="3" s="1"/>
  <c r="J121" i="3"/>
  <c r="H9" i="3"/>
  <c r="J9" i="3" s="1"/>
  <c r="J7" i="3"/>
  <c r="G23" i="2"/>
  <c r="H92" i="3"/>
  <c r="H142" i="3"/>
  <c r="H16" i="3"/>
  <c r="J16" i="3" s="1"/>
  <c r="O52" i="23"/>
  <c r="F52" i="23"/>
  <c r="H105" i="23"/>
  <c r="G105" i="23"/>
  <c r="G103" i="23"/>
  <c r="H103" i="23"/>
  <c r="O103" i="23"/>
  <c r="G52" i="23"/>
  <c r="G106" i="23"/>
  <c r="H106" i="23"/>
  <c r="H102" i="23"/>
  <c r="G102" i="23"/>
  <c r="F16" i="8"/>
  <c r="F58" i="8" s="1"/>
  <c r="F64" i="8" s="1"/>
  <c r="F126" i="8"/>
  <c r="F130" i="8" s="1"/>
  <c r="E131" i="8"/>
  <c r="C60" i="23"/>
  <c r="C63" i="23" s="1"/>
  <c r="C18" i="24"/>
  <c r="C60" i="24"/>
  <c r="C63" i="24" s="1"/>
  <c r="C72" i="24" s="1"/>
  <c r="C76" i="24" s="1"/>
  <c r="M122" i="23"/>
  <c r="C32" i="24"/>
  <c r="F131" i="11"/>
  <c r="E31" i="22"/>
  <c r="E17" i="22"/>
  <c r="E62" i="3"/>
  <c r="E71" i="3" s="1"/>
  <c r="E75" i="3" s="1"/>
  <c r="E72" i="23"/>
  <c r="L72" i="23"/>
  <c r="D19" i="2"/>
  <c r="J72" i="23"/>
  <c r="F131" i="12"/>
  <c r="G99" i="23"/>
  <c r="K26" i="23"/>
  <c r="G29" i="23"/>
  <c r="D26" i="23"/>
  <c r="H55" i="23"/>
  <c r="G26" i="23"/>
  <c r="E62" i="22"/>
  <c r="E71" i="22" s="1"/>
  <c r="E75" i="22" s="1"/>
  <c r="E132" i="22"/>
  <c r="I72" i="23"/>
  <c r="K72" i="23"/>
  <c r="P71" i="23"/>
  <c r="F72" i="23"/>
  <c r="H72" i="23"/>
  <c r="F131" i="10"/>
  <c r="F136" i="10" s="1"/>
  <c r="J52" i="23"/>
  <c r="I55" i="23"/>
  <c r="F54" i="23"/>
  <c r="M22" i="23"/>
  <c r="M52" i="23"/>
  <c r="G54" i="23"/>
  <c r="M54" i="23"/>
  <c r="K52" i="23"/>
  <c r="D54" i="23"/>
  <c r="K22" i="23"/>
  <c r="G24" i="2"/>
  <c r="D122" i="23"/>
  <c r="J122" i="23"/>
  <c r="F131" i="9"/>
  <c r="F136" i="9" s="1"/>
  <c r="C45" i="23"/>
  <c r="P45" i="23" s="1"/>
  <c r="C45" i="24"/>
  <c r="C40" i="23"/>
  <c r="P40" i="23" s="1"/>
  <c r="P64" i="23"/>
  <c r="H52" i="23"/>
  <c r="F29" i="23"/>
  <c r="H29" i="23"/>
  <c r="N55" i="23"/>
  <c r="M55" i="23"/>
  <c r="J55" i="23"/>
  <c r="D55" i="23"/>
  <c r="O55" i="23"/>
  <c r="I54" i="23"/>
  <c r="E22" i="23"/>
  <c r="F22" i="23"/>
  <c r="G127" i="3"/>
  <c r="I28" i="23"/>
  <c r="F28" i="23"/>
  <c r="F55" i="23"/>
  <c r="E55" i="23"/>
  <c r="K54" i="23"/>
  <c r="N54" i="23"/>
  <c r="K55" i="23"/>
  <c r="E54" i="23"/>
  <c r="O72" i="23"/>
  <c r="L22" i="23"/>
  <c r="I22" i="23"/>
  <c r="G22" i="23"/>
  <c r="L52" i="23"/>
  <c r="N52" i="23"/>
  <c r="I52" i="23"/>
  <c r="I29" i="23"/>
  <c r="H54" i="23"/>
  <c r="O54" i="23"/>
  <c r="L54" i="23"/>
  <c r="L55" i="23"/>
  <c r="J54" i="23"/>
  <c r="G72" i="23"/>
  <c r="D22" i="23"/>
  <c r="F14" i="2"/>
  <c r="M72" i="23"/>
  <c r="C133" i="24"/>
  <c r="F131" i="13"/>
  <c r="I133" i="13"/>
  <c r="I133" i="15"/>
  <c r="P70" i="23"/>
  <c r="C57" i="24"/>
  <c r="N72" i="23"/>
  <c r="P65" i="23"/>
  <c r="C40" i="24"/>
  <c r="E154" i="24"/>
  <c r="C117" i="23"/>
  <c r="P117" i="23" s="1"/>
  <c r="G21" i="2"/>
  <c r="C157" i="3"/>
  <c r="F15" i="23"/>
  <c r="N99" i="23"/>
  <c r="N100" i="23" s="1"/>
  <c r="M99" i="23"/>
  <c r="L99" i="23"/>
  <c r="L100" i="23" s="1"/>
  <c r="J99" i="23"/>
  <c r="J100" i="23" s="1"/>
  <c r="D99" i="23"/>
  <c r="D100" i="23" s="1"/>
  <c r="I99" i="23"/>
  <c r="E99" i="23"/>
  <c r="K99" i="23"/>
  <c r="K100" i="23" s="1"/>
  <c r="F99" i="23"/>
  <c r="H99" i="23"/>
  <c r="I122" i="23"/>
  <c r="E122" i="23"/>
  <c r="O122" i="23"/>
  <c r="E125" i="3"/>
  <c r="I26" i="23"/>
  <c r="M26" i="23"/>
  <c r="N26" i="23"/>
  <c r="J22" i="23"/>
  <c r="O22" i="23"/>
  <c r="C96" i="24"/>
  <c r="C95" i="23"/>
  <c r="P95" i="23" s="1"/>
  <c r="E95" i="22"/>
  <c r="N122" i="23"/>
  <c r="L122" i="23"/>
  <c r="K122" i="23"/>
  <c r="I131" i="15"/>
  <c r="I136" i="15" s="1"/>
  <c r="E26" i="23"/>
  <c r="H26" i="23"/>
  <c r="J26" i="23"/>
  <c r="P67" i="23"/>
  <c r="F122" i="23"/>
  <c r="H122" i="23"/>
  <c r="C102" i="24"/>
  <c r="C101" i="23"/>
  <c r="E101" i="22"/>
  <c r="D72" i="23"/>
  <c r="O26" i="23"/>
  <c r="L26" i="23"/>
  <c r="N22" i="23"/>
  <c r="F154" i="24"/>
  <c r="E28" i="2"/>
  <c r="E30" i="2" s="1"/>
  <c r="E117" i="22"/>
  <c r="C116" i="23"/>
  <c r="P116" i="23" s="1"/>
  <c r="C99" i="24"/>
  <c r="C35" i="24"/>
  <c r="C35" i="23"/>
  <c r="E34" i="22"/>
  <c r="C39" i="24"/>
  <c r="C39" i="23"/>
  <c r="P39" i="23" s="1"/>
  <c r="E38" i="22"/>
  <c r="C36" i="24"/>
  <c r="C36" i="23"/>
  <c r="P36" i="23" s="1"/>
  <c r="E35" i="22"/>
  <c r="C44" i="24"/>
  <c r="C44" i="23"/>
  <c r="P44" i="23" s="1"/>
  <c r="E43" i="22"/>
  <c r="E93" i="3"/>
  <c r="E93" i="22" s="1"/>
  <c r="E124" i="22"/>
  <c r="E125" i="22" s="1"/>
  <c r="E114" i="22"/>
  <c r="C125" i="24"/>
  <c r="C126" i="24" s="1"/>
  <c r="C37" i="24"/>
  <c r="C37" i="23"/>
  <c r="P37" i="23" s="1"/>
  <c r="E36" i="22"/>
  <c r="C83" i="24"/>
  <c r="C82" i="23"/>
  <c r="O82" i="23" s="1"/>
  <c r="E82" i="22"/>
  <c r="C82" i="24"/>
  <c r="C81" i="23"/>
  <c r="O81" i="23" s="1"/>
  <c r="E81" i="22"/>
  <c r="C100" i="3"/>
  <c r="B23" i="2" s="1"/>
  <c r="D23" i="2" s="1"/>
  <c r="E98" i="22"/>
  <c r="C114" i="23"/>
  <c r="P114" i="23" s="1"/>
  <c r="D124" i="23"/>
  <c r="N124" i="23"/>
  <c r="L124" i="23"/>
  <c r="K124" i="23"/>
  <c r="O124" i="23"/>
  <c r="J124" i="23"/>
  <c r="M124" i="23"/>
  <c r="H118" i="3"/>
  <c r="J118" i="3" s="1"/>
  <c r="D22" i="2"/>
  <c r="C114" i="24"/>
  <c r="C113" i="23"/>
  <c r="E113" i="22"/>
  <c r="C94" i="24"/>
  <c r="C116" i="24"/>
  <c r="C115" i="23"/>
  <c r="P115" i="23" s="1"/>
  <c r="E115" i="22"/>
  <c r="C140" i="24"/>
  <c r="C143" i="24" s="1"/>
  <c r="C139" i="23"/>
  <c r="P139" i="23" s="1"/>
  <c r="E139" i="22"/>
  <c r="E142" i="22" s="1"/>
  <c r="C38" i="24"/>
  <c r="C38" i="23"/>
  <c r="P38" i="23" s="1"/>
  <c r="E37" i="22"/>
  <c r="C16" i="24"/>
  <c r="C16" i="23"/>
  <c r="O16" i="23" s="1"/>
  <c r="E15" i="22"/>
  <c r="D133" i="9"/>
  <c r="D136" i="9"/>
  <c r="C13" i="24"/>
  <c r="C13" i="23"/>
  <c r="O13" i="23" s="1"/>
  <c r="E12" i="22"/>
  <c r="C92" i="24"/>
  <c r="C91" i="23"/>
  <c r="E91" i="22"/>
  <c r="C46" i="24"/>
  <c r="C46" i="23"/>
  <c r="P46" i="23" s="1"/>
  <c r="E45" i="22"/>
  <c r="C43" i="24"/>
  <c r="C43" i="23"/>
  <c r="E42" i="22"/>
  <c r="C14" i="24"/>
  <c r="C14" i="23"/>
  <c r="O14" i="23" s="1"/>
  <c r="E13" i="22"/>
  <c r="C12" i="24"/>
  <c r="C12" i="23"/>
  <c r="O12" i="23" s="1"/>
  <c r="E11" i="22"/>
  <c r="C11" i="24"/>
  <c r="C11" i="23"/>
  <c r="O11" i="23" s="1"/>
  <c r="E10" i="22"/>
  <c r="C9" i="24"/>
  <c r="D9" i="24" s="1"/>
  <c r="E9" i="24" s="1"/>
  <c r="F9" i="24" s="1"/>
  <c r="C9" i="23"/>
  <c r="O9" i="23" s="1"/>
  <c r="E8" i="22"/>
  <c r="C8" i="24"/>
  <c r="D8" i="24" s="1"/>
  <c r="C8" i="23"/>
  <c r="O8" i="23" s="1"/>
  <c r="E7" i="22"/>
  <c r="E142" i="3"/>
  <c r="E149" i="3" s="1"/>
  <c r="E153" i="3" s="1"/>
  <c r="E124" i="23"/>
  <c r="G124" i="23"/>
  <c r="E116" i="22"/>
  <c r="I124" i="23"/>
  <c r="G15" i="2"/>
  <c r="D58" i="8"/>
  <c r="D64" i="8" s="1"/>
  <c r="F126" i="3"/>
  <c r="F154" i="3" s="1"/>
  <c r="I109" i="8"/>
  <c r="D133" i="15"/>
  <c r="D136" i="14"/>
  <c r="D133" i="14"/>
  <c r="O100" i="23"/>
  <c r="D28" i="23"/>
  <c r="M28" i="23"/>
  <c r="L28" i="23"/>
  <c r="K28" i="23"/>
  <c r="D29" i="23"/>
  <c r="J29" i="23"/>
  <c r="O29" i="23"/>
  <c r="H28" i="23"/>
  <c r="G28" i="23"/>
  <c r="E28" i="23"/>
  <c r="N28" i="23"/>
  <c r="O28" i="23"/>
  <c r="E29" i="23"/>
  <c r="N29" i="23"/>
  <c r="M29" i="23"/>
  <c r="L29" i="23"/>
  <c r="J28" i="23"/>
  <c r="E58" i="8"/>
  <c r="E64" i="8" s="1"/>
  <c r="E33" i="8"/>
  <c r="E109" i="8" s="1"/>
  <c r="D33" i="3"/>
  <c r="D127" i="3" s="1"/>
  <c r="E15" i="23"/>
  <c r="M15" i="23"/>
  <c r="L15" i="23"/>
  <c r="G15" i="23"/>
  <c r="J15" i="23"/>
  <c r="K15" i="23"/>
  <c r="D15" i="23"/>
  <c r="N15" i="23"/>
  <c r="H15" i="23"/>
  <c r="I15" i="23"/>
  <c r="D109" i="8"/>
  <c r="F131" i="15"/>
  <c r="F136" i="15" s="1"/>
  <c r="F131" i="14"/>
  <c r="F136" i="14" s="1"/>
  <c r="F133" i="14"/>
  <c r="C16" i="3"/>
  <c r="B12" i="2" s="1"/>
  <c r="D12" i="2" s="1"/>
  <c r="E58" i="24"/>
  <c r="C46" i="3"/>
  <c r="B16" i="2" s="1"/>
  <c r="D16" i="2" s="1"/>
  <c r="H41" i="3"/>
  <c r="J41" i="3" s="1"/>
  <c r="D25" i="2"/>
  <c r="E86" i="3"/>
  <c r="E92" i="3" s="1"/>
  <c r="C86" i="3"/>
  <c r="C92" i="3" s="1"/>
  <c r="B21" i="2" s="1"/>
  <c r="D21" i="2" s="1"/>
  <c r="F98" i="23"/>
  <c r="M98" i="23"/>
  <c r="H98" i="23"/>
  <c r="I98" i="23"/>
  <c r="G98" i="23"/>
  <c r="E98" i="23"/>
  <c r="F133" i="10"/>
  <c r="I108" i="8"/>
  <c r="I131" i="8" s="1"/>
  <c r="D17" i="2"/>
  <c r="F133" i="15"/>
  <c r="D126" i="3"/>
  <c r="D154" i="3" s="1"/>
  <c r="F108" i="8"/>
  <c r="F57" i="8"/>
  <c r="P83" i="23"/>
  <c r="F110" i="8"/>
  <c r="P107" i="23"/>
  <c r="I133" i="12"/>
  <c r="G24" i="23"/>
  <c r="J24" i="23"/>
  <c r="D24" i="23"/>
  <c r="L24" i="23"/>
  <c r="H24" i="23"/>
  <c r="F24" i="23"/>
  <c r="K24" i="23"/>
  <c r="N24" i="23"/>
  <c r="I24" i="23"/>
  <c r="E24" i="23"/>
  <c r="M24" i="23"/>
  <c r="D134" i="15"/>
  <c r="D131" i="15"/>
  <c r="D136" i="15" s="1"/>
  <c r="C15" i="2"/>
  <c r="C18" i="2" s="1"/>
  <c r="C20" i="2" s="1"/>
  <c r="D58" i="3"/>
  <c r="D76" i="3" s="1"/>
  <c r="D57" i="3"/>
  <c r="D128" i="3" s="1"/>
  <c r="P138" i="23"/>
  <c r="H75" i="3"/>
  <c r="F76" i="24"/>
  <c r="E46" i="3"/>
  <c r="P97" i="23"/>
  <c r="D119" i="23"/>
  <c r="E119" i="23"/>
  <c r="I119" i="23"/>
  <c r="M119" i="23"/>
  <c r="F119" i="23"/>
  <c r="J119" i="23"/>
  <c r="N119" i="23"/>
  <c r="G119" i="23"/>
  <c r="K119" i="23"/>
  <c r="L119" i="23"/>
  <c r="H119" i="23"/>
  <c r="E48" i="23"/>
  <c r="I48" i="23"/>
  <c r="M48" i="23"/>
  <c r="C57" i="23"/>
  <c r="F48" i="23"/>
  <c r="J48" i="23"/>
  <c r="N48" i="23"/>
  <c r="G48" i="23"/>
  <c r="O48" i="23"/>
  <c r="H48" i="23"/>
  <c r="K48" i="23"/>
  <c r="D48" i="23"/>
  <c r="L48" i="23"/>
  <c r="E16" i="3"/>
  <c r="D27" i="2"/>
  <c r="G49" i="23"/>
  <c r="K49" i="23"/>
  <c r="O49" i="23"/>
  <c r="D49" i="23"/>
  <c r="H49" i="23"/>
  <c r="L49" i="23"/>
  <c r="I49" i="23"/>
  <c r="J49" i="23"/>
  <c r="E49" i="23"/>
  <c r="M49" i="23"/>
  <c r="F49" i="23"/>
  <c r="N49" i="23"/>
  <c r="E50" i="23"/>
  <c r="I50" i="23"/>
  <c r="M50" i="23"/>
  <c r="F50" i="23"/>
  <c r="J50" i="23"/>
  <c r="N50" i="23"/>
  <c r="K50" i="23"/>
  <c r="D50" i="23"/>
  <c r="L50" i="23"/>
  <c r="G50" i="23"/>
  <c r="O50" i="23"/>
  <c r="H50" i="23"/>
  <c r="P130" i="23"/>
  <c r="C132" i="23"/>
  <c r="P132" i="23" s="1"/>
  <c r="C29" i="2"/>
  <c r="D29" i="2" s="1"/>
  <c r="D157" i="3"/>
  <c r="E9" i="3"/>
  <c r="E80" i="23"/>
  <c r="I80" i="23"/>
  <c r="M80" i="23"/>
  <c r="F80" i="23"/>
  <c r="J80" i="23"/>
  <c r="N80" i="23"/>
  <c r="H80" i="23"/>
  <c r="K80" i="23"/>
  <c r="D80" i="23"/>
  <c r="L80" i="23"/>
  <c r="G80" i="23"/>
  <c r="K103" i="23"/>
  <c r="D103" i="23"/>
  <c r="L103" i="23"/>
  <c r="E103" i="23"/>
  <c r="M103" i="23"/>
  <c r="N103" i="23"/>
  <c r="I103" i="23"/>
  <c r="J103" i="23"/>
  <c r="E121" i="23"/>
  <c r="I121" i="23"/>
  <c r="M121" i="23"/>
  <c r="F121" i="23"/>
  <c r="J121" i="23"/>
  <c r="N121" i="23"/>
  <c r="K121" i="23"/>
  <c r="D121" i="23"/>
  <c r="L121" i="23"/>
  <c r="G121" i="23"/>
  <c r="O121" i="23"/>
  <c r="H121" i="23"/>
  <c r="D119" i="24"/>
  <c r="F64" i="11"/>
  <c r="F133" i="11"/>
  <c r="G19" i="2"/>
  <c r="G73" i="23"/>
  <c r="K73" i="23"/>
  <c r="O73" i="23"/>
  <c r="D73" i="23"/>
  <c r="H73" i="23"/>
  <c r="L73" i="23"/>
  <c r="I73" i="23"/>
  <c r="J73" i="23"/>
  <c r="E73" i="23"/>
  <c r="M73" i="23"/>
  <c r="F73" i="23"/>
  <c r="N73" i="23"/>
  <c r="G111" i="23"/>
  <c r="K111" i="23"/>
  <c r="D111" i="23"/>
  <c r="H111" i="23"/>
  <c r="L111" i="23"/>
  <c r="I111" i="23"/>
  <c r="J111" i="23"/>
  <c r="E111" i="23"/>
  <c r="M111" i="23"/>
  <c r="F111" i="23"/>
  <c r="N111" i="23"/>
  <c r="E74" i="23"/>
  <c r="I74" i="23"/>
  <c r="M74" i="23"/>
  <c r="G75" i="23"/>
  <c r="K75" i="23"/>
  <c r="O75" i="23"/>
  <c r="F74" i="23"/>
  <c r="J74" i="23"/>
  <c r="N74" i="23"/>
  <c r="D75" i="23"/>
  <c r="H75" i="23"/>
  <c r="L75" i="23"/>
  <c r="K74" i="23"/>
  <c r="J75" i="23"/>
  <c r="D74" i="23"/>
  <c r="L74" i="23"/>
  <c r="E75" i="23"/>
  <c r="M75" i="23"/>
  <c r="G74" i="23"/>
  <c r="O74" i="23"/>
  <c r="F75" i="23"/>
  <c r="N75" i="23"/>
  <c r="I75" i="23"/>
  <c r="H74" i="23"/>
  <c r="E56" i="22"/>
  <c r="F18" i="23"/>
  <c r="J18" i="23"/>
  <c r="N18" i="23"/>
  <c r="G18" i="23"/>
  <c r="L18" i="23"/>
  <c r="H18" i="23"/>
  <c r="M18" i="23"/>
  <c r="I18" i="23"/>
  <c r="K18" i="23"/>
  <c r="D18" i="23"/>
  <c r="O18" i="23"/>
  <c r="E18" i="23"/>
  <c r="G25" i="2"/>
  <c r="F157" i="3"/>
  <c r="D19" i="23"/>
  <c r="H19" i="23"/>
  <c r="L19" i="23"/>
  <c r="I19" i="23"/>
  <c r="N19" i="23"/>
  <c r="E19" i="23"/>
  <c r="J19" i="23"/>
  <c r="O19" i="23"/>
  <c r="F19" i="23"/>
  <c r="G19" i="23"/>
  <c r="K19" i="23"/>
  <c r="M19" i="23"/>
  <c r="E102" i="23"/>
  <c r="I102" i="23"/>
  <c r="M102" i="23"/>
  <c r="J102" i="23"/>
  <c r="N102" i="23"/>
  <c r="K102" i="23"/>
  <c r="D102" i="23"/>
  <c r="L102" i="23"/>
  <c r="E151" i="22"/>
  <c r="C152" i="24"/>
  <c r="C151" i="23"/>
  <c r="P151" i="23" s="1"/>
  <c r="E104" i="3"/>
  <c r="C112" i="3"/>
  <c r="P94" i="23"/>
  <c r="D46" i="6"/>
  <c r="D93" i="6" s="1"/>
  <c r="C40" i="3"/>
  <c r="E123" i="23"/>
  <c r="I123" i="23"/>
  <c r="M123" i="23"/>
  <c r="F123" i="23"/>
  <c r="J123" i="23"/>
  <c r="N123" i="23"/>
  <c r="G123" i="23"/>
  <c r="O123" i="23"/>
  <c r="H123" i="23"/>
  <c r="K123" i="23"/>
  <c r="D123" i="23"/>
  <c r="L123" i="23"/>
  <c r="G51" i="23"/>
  <c r="K51" i="23"/>
  <c r="D51" i="23"/>
  <c r="H51" i="23"/>
  <c r="L51" i="23"/>
  <c r="E51" i="23"/>
  <c r="M51" i="23"/>
  <c r="F51" i="23"/>
  <c r="N51" i="23"/>
  <c r="I51" i="23"/>
  <c r="J51" i="23"/>
  <c r="F64" i="12"/>
  <c r="F133" i="12"/>
  <c r="D27" i="23"/>
  <c r="H27" i="23"/>
  <c r="L27" i="23"/>
  <c r="I27" i="23"/>
  <c r="N27" i="23"/>
  <c r="E27" i="23"/>
  <c r="J27" i="23"/>
  <c r="O27" i="23"/>
  <c r="K27" i="23"/>
  <c r="M27" i="23"/>
  <c r="F27" i="23"/>
  <c r="G27" i="23"/>
  <c r="C24" i="2"/>
  <c r="C28" i="2" s="1"/>
  <c r="G53" i="23"/>
  <c r="K53" i="23"/>
  <c r="O53" i="23"/>
  <c r="D53" i="23"/>
  <c r="H53" i="23"/>
  <c r="L53" i="23"/>
  <c r="I53" i="23"/>
  <c r="J53" i="23"/>
  <c r="E53" i="23"/>
  <c r="M53" i="23"/>
  <c r="F53" i="23"/>
  <c r="N53" i="23"/>
  <c r="H31" i="3"/>
  <c r="F32" i="3"/>
  <c r="K105" i="23"/>
  <c r="D105" i="23"/>
  <c r="L105" i="23"/>
  <c r="I105" i="23"/>
  <c r="J105" i="23"/>
  <c r="E105" i="23"/>
  <c r="M105" i="23"/>
  <c r="N105" i="23"/>
  <c r="H56" i="3"/>
  <c r="J56" i="3" s="1"/>
  <c r="F57" i="24"/>
  <c r="E29" i="3"/>
  <c r="C32" i="3"/>
  <c r="F46" i="24"/>
  <c r="F47" i="24" s="1"/>
  <c r="D23" i="23"/>
  <c r="H23" i="23"/>
  <c r="L23" i="23"/>
  <c r="F23" i="23"/>
  <c r="K23" i="23"/>
  <c r="G23" i="23"/>
  <c r="M23" i="23"/>
  <c r="N23" i="23"/>
  <c r="E23" i="23"/>
  <c r="O23" i="23"/>
  <c r="I23" i="23"/>
  <c r="J23" i="23"/>
  <c r="F27" i="2"/>
  <c r="F28" i="2" s="1"/>
  <c r="G126" i="3"/>
  <c r="F64" i="13"/>
  <c r="F133" i="13"/>
  <c r="D21" i="23"/>
  <c r="H21" i="23"/>
  <c r="L21" i="23"/>
  <c r="G21" i="23"/>
  <c r="M21" i="23"/>
  <c r="I21" i="23"/>
  <c r="N21" i="23"/>
  <c r="J21" i="23"/>
  <c r="K21" i="23"/>
  <c r="E21" i="23"/>
  <c r="O21" i="23"/>
  <c r="F21" i="23"/>
  <c r="D108" i="8"/>
  <c r="D131" i="8" s="1"/>
  <c r="E118" i="3"/>
  <c r="E106" i="23"/>
  <c r="I106" i="23"/>
  <c r="M106" i="23"/>
  <c r="J106" i="23"/>
  <c r="N106" i="23"/>
  <c r="K106" i="23"/>
  <c r="D106" i="23"/>
  <c r="L106" i="23"/>
  <c r="I110" i="8"/>
  <c r="E17" i="2"/>
  <c r="G17" i="2" s="1"/>
  <c r="I33" i="8"/>
  <c r="C9" i="3"/>
  <c r="B10" i="2" s="1"/>
  <c r="D25" i="23"/>
  <c r="H25" i="23"/>
  <c r="L25" i="23"/>
  <c r="E25" i="23"/>
  <c r="J25" i="23"/>
  <c r="O25" i="23"/>
  <c r="F25" i="23"/>
  <c r="K25" i="23"/>
  <c r="G25" i="23"/>
  <c r="I25" i="23"/>
  <c r="M25" i="23"/>
  <c r="N25" i="23"/>
  <c r="E100" i="3"/>
  <c r="I57" i="8"/>
  <c r="I58" i="8"/>
  <c r="I64" i="8" s="1"/>
  <c r="F29" i="2"/>
  <c r="G29" i="2" s="1"/>
  <c r="G157" i="3"/>
  <c r="G120" i="23"/>
  <c r="K120" i="23"/>
  <c r="O120" i="23"/>
  <c r="D120" i="23"/>
  <c r="H120" i="23"/>
  <c r="L120" i="23"/>
  <c r="E120" i="23"/>
  <c r="I120" i="23"/>
  <c r="M120" i="23"/>
  <c r="N120" i="23"/>
  <c r="C125" i="23"/>
  <c r="F120" i="23"/>
  <c r="J120" i="23"/>
  <c r="I64" i="14"/>
  <c r="I136" i="14" s="1"/>
  <c r="I133" i="14"/>
  <c r="I136" i="12"/>
  <c r="F133" i="9"/>
  <c r="I76" i="3" l="1"/>
  <c r="J75" i="3"/>
  <c r="E81" i="23"/>
  <c r="H126" i="3"/>
  <c r="J126" i="3" s="1"/>
  <c r="H32" i="3"/>
  <c r="J31" i="3"/>
  <c r="H149" i="3"/>
  <c r="J149" i="3" s="1"/>
  <c r="J142" i="3"/>
  <c r="G159" i="3"/>
  <c r="P60" i="23"/>
  <c r="H101" i="23"/>
  <c r="G101" i="23"/>
  <c r="O101" i="23"/>
  <c r="D10" i="24"/>
  <c r="D11" i="24" s="1"/>
  <c r="E8" i="24"/>
  <c r="F33" i="8"/>
  <c r="F131" i="8"/>
  <c r="F136" i="11"/>
  <c r="F136" i="13"/>
  <c r="F136" i="12"/>
  <c r="G100" i="23"/>
  <c r="N76" i="23"/>
  <c r="E157" i="3"/>
  <c r="C150" i="24"/>
  <c r="C154" i="24" s="1"/>
  <c r="O76" i="23"/>
  <c r="E149" i="22"/>
  <c r="E153" i="22" s="1"/>
  <c r="I81" i="23"/>
  <c r="D76" i="23"/>
  <c r="E100" i="23"/>
  <c r="J76" i="23"/>
  <c r="P122" i="23"/>
  <c r="H76" i="23"/>
  <c r="G13" i="23"/>
  <c r="P52" i="23"/>
  <c r="P54" i="23"/>
  <c r="P55" i="23"/>
  <c r="G76" i="23"/>
  <c r="C101" i="24"/>
  <c r="L76" i="23"/>
  <c r="P22" i="23"/>
  <c r="P29" i="23"/>
  <c r="P26" i="23"/>
  <c r="E13" i="23"/>
  <c r="M100" i="23"/>
  <c r="I100" i="23"/>
  <c r="P99" i="23"/>
  <c r="H100" i="23"/>
  <c r="E86" i="22"/>
  <c r="E92" i="22" s="1"/>
  <c r="C87" i="24"/>
  <c r="C93" i="24" s="1"/>
  <c r="F81" i="23"/>
  <c r="H81" i="23"/>
  <c r="N81" i="23"/>
  <c r="L81" i="23"/>
  <c r="M81" i="23"/>
  <c r="F100" i="23"/>
  <c r="D81" i="23"/>
  <c r="J81" i="23"/>
  <c r="K81" i="23"/>
  <c r="G81" i="23"/>
  <c r="F76" i="23"/>
  <c r="K13" i="23"/>
  <c r="N13" i="23"/>
  <c r="L13" i="23"/>
  <c r="H82" i="23"/>
  <c r="N16" i="23"/>
  <c r="J13" i="23"/>
  <c r="I13" i="23"/>
  <c r="H13" i="23"/>
  <c r="G82" i="23"/>
  <c r="E100" i="22"/>
  <c r="C105" i="24"/>
  <c r="C113" i="24" s="1"/>
  <c r="C104" i="23"/>
  <c r="E104" i="22"/>
  <c r="E112" i="22" s="1"/>
  <c r="F13" i="23"/>
  <c r="M13" i="23"/>
  <c r="D13" i="23"/>
  <c r="K82" i="23"/>
  <c r="O125" i="23"/>
  <c r="N125" i="23"/>
  <c r="E118" i="22"/>
  <c r="C93" i="23"/>
  <c r="H93" i="23" s="1"/>
  <c r="L125" i="23"/>
  <c r="C30" i="24"/>
  <c r="C33" i="24" s="1"/>
  <c r="C30" i="23"/>
  <c r="O30" i="23" s="1"/>
  <c r="E29" i="22"/>
  <c r="E32" i="22" s="1"/>
  <c r="M125" i="23"/>
  <c r="K125" i="23"/>
  <c r="F125" i="23"/>
  <c r="E125" i="23"/>
  <c r="C119" i="24"/>
  <c r="G125" i="23"/>
  <c r="C142" i="23"/>
  <c r="P142" i="23" s="1"/>
  <c r="P50" i="23"/>
  <c r="C17" i="23"/>
  <c r="C10" i="23"/>
  <c r="H125" i="23"/>
  <c r="P123" i="23"/>
  <c r="J125" i="23"/>
  <c r="I125" i="23"/>
  <c r="P20" i="23"/>
  <c r="P124" i="23"/>
  <c r="P23" i="23"/>
  <c r="P28" i="23"/>
  <c r="C47" i="24"/>
  <c r="D94" i="24" s="1"/>
  <c r="E94" i="24" s="1"/>
  <c r="F94" i="24" s="1"/>
  <c r="E9" i="22"/>
  <c r="E16" i="23"/>
  <c r="F109" i="8"/>
  <c r="G16" i="23"/>
  <c r="P15" i="23"/>
  <c r="J16" i="23"/>
  <c r="F16" i="23"/>
  <c r="D16" i="23"/>
  <c r="M16" i="23"/>
  <c r="L16" i="23"/>
  <c r="H16" i="23"/>
  <c r="K16" i="23"/>
  <c r="I16" i="23"/>
  <c r="C126" i="3"/>
  <c r="C154" i="3" s="1"/>
  <c r="E46" i="22"/>
  <c r="P106" i="23"/>
  <c r="D162" i="3"/>
  <c r="M82" i="23"/>
  <c r="E82" i="23"/>
  <c r="E86" i="23" s="1"/>
  <c r="E92" i="23" s="1"/>
  <c r="I82" i="23"/>
  <c r="J82" i="23"/>
  <c r="L82" i="23"/>
  <c r="C86" i="23"/>
  <c r="C92" i="23" s="1"/>
  <c r="D82" i="23"/>
  <c r="F82" i="23"/>
  <c r="N82" i="23"/>
  <c r="C100" i="23"/>
  <c r="D156" i="3"/>
  <c r="O86" i="23"/>
  <c r="O92" i="23" s="1"/>
  <c r="P98" i="23"/>
  <c r="P25" i="23"/>
  <c r="P53" i="23"/>
  <c r="P27" i="23"/>
  <c r="P102" i="23"/>
  <c r="G27" i="2"/>
  <c r="G28" i="2" s="1"/>
  <c r="G30" i="2" s="1"/>
  <c r="P121" i="23"/>
  <c r="P24" i="23"/>
  <c r="P111" i="23"/>
  <c r="P49" i="23"/>
  <c r="P105" i="23"/>
  <c r="P51" i="23"/>
  <c r="P18" i="23"/>
  <c r="P119" i="23"/>
  <c r="P21" i="23"/>
  <c r="I76" i="23"/>
  <c r="P73" i="23"/>
  <c r="P103" i="23"/>
  <c r="P75" i="23"/>
  <c r="F8" i="23"/>
  <c r="J8" i="23"/>
  <c r="N8" i="23"/>
  <c r="H8" i="23"/>
  <c r="M8" i="23"/>
  <c r="D8" i="23"/>
  <c r="I8" i="23"/>
  <c r="K8" i="23"/>
  <c r="L8" i="23"/>
  <c r="E8" i="23"/>
  <c r="G8" i="23"/>
  <c r="C17" i="24"/>
  <c r="L57" i="23"/>
  <c r="H57" i="23"/>
  <c r="J57" i="23"/>
  <c r="I57" i="23"/>
  <c r="C47" i="23"/>
  <c r="P47" i="23" s="1"/>
  <c r="P43" i="23"/>
  <c r="D10" i="2"/>
  <c r="E32" i="3"/>
  <c r="E33" i="3" s="1"/>
  <c r="P35" i="23"/>
  <c r="D125" i="23"/>
  <c r="F58" i="24"/>
  <c r="E14" i="2"/>
  <c r="F33" i="3"/>
  <c r="F127" i="3" s="1"/>
  <c r="B24" i="2"/>
  <c r="K101" i="23"/>
  <c r="D101" i="23"/>
  <c r="L101" i="23"/>
  <c r="I101" i="23"/>
  <c r="J101" i="23"/>
  <c r="E101" i="23"/>
  <c r="M101" i="23"/>
  <c r="N101" i="23"/>
  <c r="K76" i="23"/>
  <c r="E76" i="23"/>
  <c r="P91" i="23"/>
  <c r="F12" i="23"/>
  <c r="J12" i="23"/>
  <c r="N12" i="23"/>
  <c r="E12" i="23"/>
  <c r="K12" i="23"/>
  <c r="G12" i="23"/>
  <c r="L12" i="23"/>
  <c r="H12" i="23"/>
  <c r="I12" i="23"/>
  <c r="M12" i="23"/>
  <c r="D12" i="23"/>
  <c r="D57" i="23"/>
  <c r="O57" i="23"/>
  <c r="F57" i="23"/>
  <c r="E57" i="23"/>
  <c r="D160" i="3"/>
  <c r="P120" i="23"/>
  <c r="F30" i="2"/>
  <c r="P113" i="23"/>
  <c r="C118" i="23"/>
  <c r="P118" i="23" s="1"/>
  <c r="E40" i="3"/>
  <c r="C41" i="3"/>
  <c r="P63" i="23"/>
  <c r="C72" i="23"/>
  <c r="P80" i="23"/>
  <c r="K57" i="23"/>
  <c r="G57" i="23"/>
  <c r="G154" i="3"/>
  <c r="B14" i="2"/>
  <c r="D14" i="2" s="1"/>
  <c r="C33" i="3"/>
  <c r="C127" i="3" s="1"/>
  <c r="C159" i="3" s="1"/>
  <c r="D159" i="3"/>
  <c r="F14" i="23"/>
  <c r="J14" i="23"/>
  <c r="N14" i="23"/>
  <c r="D14" i="23"/>
  <c r="I14" i="23"/>
  <c r="E14" i="23"/>
  <c r="K14" i="23"/>
  <c r="L14" i="23"/>
  <c r="M14" i="23"/>
  <c r="G14" i="23"/>
  <c r="H14" i="23"/>
  <c r="P19" i="23"/>
  <c r="E112" i="3"/>
  <c r="E126" i="3" s="1"/>
  <c r="P74" i="23"/>
  <c r="M76" i="23"/>
  <c r="D11" i="23"/>
  <c r="H11" i="23"/>
  <c r="L11" i="23"/>
  <c r="I11" i="23"/>
  <c r="N11" i="23"/>
  <c r="E11" i="23"/>
  <c r="J11" i="23"/>
  <c r="K11" i="23"/>
  <c r="M11" i="23"/>
  <c r="F11" i="23"/>
  <c r="G11" i="23"/>
  <c r="E119" i="24"/>
  <c r="F119" i="24"/>
  <c r="C10" i="24"/>
  <c r="C30" i="2"/>
  <c r="C33" i="2" s="1"/>
  <c r="E16" i="22"/>
  <c r="P48" i="23"/>
  <c r="N57" i="23"/>
  <c r="M57" i="23"/>
  <c r="D9" i="23"/>
  <c r="H9" i="23"/>
  <c r="L9" i="23"/>
  <c r="E9" i="23"/>
  <c r="J9" i="23"/>
  <c r="F9" i="23"/>
  <c r="K9" i="23"/>
  <c r="G9" i="23"/>
  <c r="I9" i="23"/>
  <c r="M9" i="23"/>
  <c r="N9" i="23"/>
  <c r="H153" i="3" l="1"/>
  <c r="J153" i="3" s="1"/>
  <c r="H33" i="3"/>
  <c r="J33" i="3" s="1"/>
  <c r="J32" i="3"/>
  <c r="O104" i="23"/>
  <c r="H104" i="23"/>
  <c r="H112" i="23" s="1"/>
  <c r="G104" i="23"/>
  <c r="G112" i="23" s="1"/>
  <c r="D34" i="24"/>
  <c r="D128" i="24" s="1"/>
  <c r="D59" i="24"/>
  <c r="D77" i="24" s="1"/>
  <c r="F8" i="24"/>
  <c r="F10" i="24" s="1"/>
  <c r="F11" i="24" s="1"/>
  <c r="E10" i="24"/>
  <c r="E11" i="24" s="1"/>
  <c r="N86" i="23"/>
  <c r="N92" i="23" s="1"/>
  <c r="I86" i="23"/>
  <c r="I92" i="23" s="1"/>
  <c r="C112" i="23"/>
  <c r="C126" i="23" s="1"/>
  <c r="J86" i="23"/>
  <c r="J92" i="23" s="1"/>
  <c r="G86" i="23"/>
  <c r="G92" i="23" s="1"/>
  <c r="F86" i="23"/>
  <c r="F92" i="23" s="1"/>
  <c r="D86" i="23"/>
  <c r="D92" i="23" s="1"/>
  <c r="P13" i="23"/>
  <c r="P100" i="23"/>
  <c r="L86" i="23"/>
  <c r="L92" i="23" s="1"/>
  <c r="M86" i="23"/>
  <c r="M92" i="23" s="1"/>
  <c r="H86" i="23"/>
  <c r="H92" i="23" s="1"/>
  <c r="K86" i="23"/>
  <c r="K92" i="23" s="1"/>
  <c r="P81" i="23"/>
  <c r="I93" i="23"/>
  <c r="J93" i="23"/>
  <c r="C149" i="23"/>
  <c r="C153" i="23" s="1"/>
  <c r="P153" i="23" s="1"/>
  <c r="C41" i="24"/>
  <c r="C42" i="24" s="1"/>
  <c r="C41" i="23"/>
  <c r="E40" i="22"/>
  <c r="E41" i="22" s="1"/>
  <c r="D17" i="23"/>
  <c r="P125" i="23"/>
  <c r="D129" i="24"/>
  <c r="P16" i="23"/>
  <c r="D127" i="24"/>
  <c r="D155" i="24" s="1"/>
  <c r="P82" i="23"/>
  <c r="E159" i="3"/>
  <c r="I17" i="23"/>
  <c r="E10" i="23"/>
  <c r="P11" i="23"/>
  <c r="N17" i="23"/>
  <c r="P9" i="23"/>
  <c r="P14" i="23"/>
  <c r="M17" i="23"/>
  <c r="J17" i="23"/>
  <c r="C127" i="24"/>
  <c r="C155" i="24" s="1"/>
  <c r="E126" i="22"/>
  <c r="E154" i="22" s="1"/>
  <c r="E154" i="3"/>
  <c r="N58" i="23"/>
  <c r="N128" i="23" s="1"/>
  <c r="D58" i="23"/>
  <c r="D128" i="23" s="1"/>
  <c r="P12" i="23"/>
  <c r="F159" i="3"/>
  <c r="H159" i="3" s="1"/>
  <c r="H127" i="3"/>
  <c r="E127" i="3"/>
  <c r="K58" i="23"/>
  <c r="K128" i="23" s="1"/>
  <c r="B15" i="2"/>
  <c r="D15" i="2" s="1"/>
  <c r="D18" i="2" s="1"/>
  <c r="D20" i="2" s="1"/>
  <c r="C57" i="3"/>
  <c r="C128" i="3" s="1"/>
  <c r="C58" i="3"/>
  <c r="E58" i="23"/>
  <c r="E128" i="23" s="1"/>
  <c r="O17" i="23"/>
  <c r="H17" i="23"/>
  <c r="K17" i="23"/>
  <c r="F17" i="23"/>
  <c r="D24" i="2"/>
  <c r="D28" i="2" s="1"/>
  <c r="D30" i="2" s="1"/>
  <c r="B28" i="2"/>
  <c r="B30" i="2" s="1"/>
  <c r="G14" i="2"/>
  <c r="F30" i="23"/>
  <c r="F33" i="23" s="1"/>
  <c r="J30" i="23"/>
  <c r="J33" i="23" s="1"/>
  <c r="N30" i="23"/>
  <c r="N33" i="23" s="1"/>
  <c r="D30" i="23"/>
  <c r="D33" i="23" s="1"/>
  <c r="I30" i="23"/>
  <c r="I33" i="23" s="1"/>
  <c r="O33" i="23"/>
  <c r="E30" i="23"/>
  <c r="E33" i="23" s="1"/>
  <c r="K30" i="23"/>
  <c r="K33" i="23" s="1"/>
  <c r="H30" i="23"/>
  <c r="H33" i="23" s="1"/>
  <c r="L30" i="23"/>
  <c r="L33" i="23" s="1"/>
  <c r="M30" i="23"/>
  <c r="M33" i="23" s="1"/>
  <c r="G30" i="23"/>
  <c r="G33" i="23" s="1"/>
  <c r="C33" i="23"/>
  <c r="H58" i="23"/>
  <c r="L10" i="23"/>
  <c r="D10" i="23"/>
  <c r="J10" i="23"/>
  <c r="G58" i="23"/>
  <c r="G128" i="23" s="1"/>
  <c r="F129" i="24"/>
  <c r="F127" i="24"/>
  <c r="F155" i="24" s="1"/>
  <c r="E41" i="3"/>
  <c r="F58" i="23"/>
  <c r="F128" i="23" s="1"/>
  <c r="L17" i="23"/>
  <c r="E17" i="23"/>
  <c r="P101" i="23"/>
  <c r="C34" i="24"/>
  <c r="C128" i="24" s="1"/>
  <c r="L58" i="23"/>
  <c r="L128" i="23" s="1"/>
  <c r="G10" i="23"/>
  <c r="K10" i="23"/>
  <c r="M10" i="23"/>
  <c r="F10" i="23"/>
  <c r="M58" i="23"/>
  <c r="M128" i="23" s="1"/>
  <c r="E127" i="24"/>
  <c r="E155" i="24" s="1"/>
  <c r="E129" i="24"/>
  <c r="P57" i="23"/>
  <c r="P72" i="23"/>
  <c r="C76" i="23"/>
  <c r="P76" i="23" s="1"/>
  <c r="E104" i="23"/>
  <c r="E112" i="23" s="1"/>
  <c r="I104" i="23"/>
  <c r="I112" i="23" s="1"/>
  <c r="M104" i="23"/>
  <c r="M112" i="23" s="1"/>
  <c r="F112" i="23"/>
  <c r="J104" i="23"/>
  <c r="J112" i="23" s="1"/>
  <c r="N104" i="23"/>
  <c r="N112" i="23" s="1"/>
  <c r="O112" i="23"/>
  <c r="K104" i="23"/>
  <c r="K112" i="23" s="1"/>
  <c r="D104" i="23"/>
  <c r="D112" i="23" s="1"/>
  <c r="L104" i="23"/>
  <c r="L112" i="23" s="1"/>
  <c r="O58" i="23"/>
  <c r="O128" i="23" s="1"/>
  <c r="G17" i="23"/>
  <c r="E33" i="22"/>
  <c r="E127" i="22" s="1"/>
  <c r="I58" i="23"/>
  <c r="P8" i="23"/>
  <c r="O10" i="23"/>
  <c r="H10" i="23"/>
  <c r="J58" i="23"/>
  <c r="I10" i="23"/>
  <c r="N10" i="23"/>
  <c r="H154" i="3" l="1"/>
  <c r="J154" i="3" s="1"/>
  <c r="H157" i="3"/>
  <c r="D156" i="24"/>
  <c r="E34" i="24"/>
  <c r="E128" i="24" s="1"/>
  <c r="E59" i="24"/>
  <c r="E77" i="24" s="1"/>
  <c r="E156" i="24" s="1"/>
  <c r="F34" i="24"/>
  <c r="F128" i="24" s="1"/>
  <c r="F59" i="24"/>
  <c r="F77" i="24" s="1"/>
  <c r="F156" i="24" s="1"/>
  <c r="I128" i="23"/>
  <c r="P93" i="23"/>
  <c r="J128" i="23"/>
  <c r="P92" i="23"/>
  <c r="P86" i="23"/>
  <c r="P149" i="23"/>
  <c r="H128" i="23"/>
  <c r="B18" i="2"/>
  <c r="B20" i="2" s="1"/>
  <c r="B33" i="2" s="1"/>
  <c r="M59" i="23"/>
  <c r="M77" i="23" s="1"/>
  <c r="M155" i="23" s="1"/>
  <c r="O59" i="23"/>
  <c r="O77" i="23" s="1"/>
  <c r="O155" i="23" s="1"/>
  <c r="G59" i="23"/>
  <c r="G77" i="23" s="1"/>
  <c r="G155" i="23" s="1"/>
  <c r="J59" i="23"/>
  <c r="J77" i="23" s="1"/>
  <c r="J155" i="23" s="1"/>
  <c r="F59" i="23"/>
  <c r="F77" i="23" s="1"/>
  <c r="F155" i="23" s="1"/>
  <c r="E34" i="23"/>
  <c r="E127" i="23" s="1"/>
  <c r="N59" i="23"/>
  <c r="N77" i="23" s="1"/>
  <c r="N155" i="23" s="1"/>
  <c r="H59" i="23"/>
  <c r="H77" i="23" s="1"/>
  <c r="H155" i="23" s="1"/>
  <c r="L34" i="23"/>
  <c r="L127" i="23" s="1"/>
  <c r="I59" i="23"/>
  <c r="I77" i="23" s="1"/>
  <c r="I155" i="23" s="1"/>
  <c r="K59" i="23"/>
  <c r="K77" i="23" s="1"/>
  <c r="K155" i="23" s="1"/>
  <c r="P112" i="23"/>
  <c r="D126" i="23"/>
  <c r="D154" i="23" s="1"/>
  <c r="G126" i="23"/>
  <c r="G154" i="23" s="1"/>
  <c r="M126" i="23"/>
  <c r="M154" i="23" s="1"/>
  <c r="K126" i="23"/>
  <c r="K154" i="23" s="1"/>
  <c r="N126" i="23"/>
  <c r="N154" i="23" s="1"/>
  <c r="I126" i="23"/>
  <c r="I154" i="23" s="1"/>
  <c r="H126" i="23"/>
  <c r="H154" i="23" s="1"/>
  <c r="J126" i="23"/>
  <c r="J154" i="23" s="1"/>
  <c r="E126" i="23"/>
  <c r="E154" i="23" s="1"/>
  <c r="L59" i="23"/>
  <c r="L77" i="23" s="1"/>
  <c r="L155" i="23" s="1"/>
  <c r="P41" i="23"/>
  <c r="C42" i="23"/>
  <c r="P10" i="23"/>
  <c r="P33" i="23"/>
  <c r="C34" i="23"/>
  <c r="H34" i="23"/>
  <c r="H127" i="23" s="1"/>
  <c r="O34" i="23"/>
  <c r="O127" i="23" s="1"/>
  <c r="J34" i="23"/>
  <c r="J127" i="23" s="1"/>
  <c r="C76" i="3"/>
  <c r="C162" i="3" s="1"/>
  <c r="C156" i="3"/>
  <c r="F126" i="23"/>
  <c r="F154" i="23" s="1"/>
  <c r="E57" i="3"/>
  <c r="E58" i="3"/>
  <c r="G34" i="23"/>
  <c r="G127" i="23" s="1"/>
  <c r="P30" i="23"/>
  <c r="I34" i="23"/>
  <c r="I127" i="23" s="1"/>
  <c r="F34" i="23"/>
  <c r="F127" i="23" s="1"/>
  <c r="C160" i="3"/>
  <c r="E128" i="3"/>
  <c r="P104" i="23"/>
  <c r="P17" i="23"/>
  <c r="E57" i="22"/>
  <c r="E128" i="22" s="1"/>
  <c r="E58" i="22"/>
  <c r="E76" i="22" s="1"/>
  <c r="E155" i="22" s="1"/>
  <c r="M34" i="23"/>
  <c r="M127" i="23" s="1"/>
  <c r="K34" i="23"/>
  <c r="K127" i="23" s="1"/>
  <c r="D34" i="23"/>
  <c r="D127" i="23" s="1"/>
  <c r="C154" i="23"/>
  <c r="D33" i="2"/>
  <c r="E59" i="23"/>
  <c r="E77" i="23" s="1"/>
  <c r="E155" i="23" s="1"/>
  <c r="L126" i="23"/>
  <c r="L154" i="23" s="1"/>
  <c r="O126" i="23"/>
  <c r="O154" i="23" s="1"/>
  <c r="C59" i="24"/>
  <c r="C77" i="24" s="1"/>
  <c r="C156" i="24" s="1"/>
  <c r="C58" i="24"/>
  <c r="C129" i="24" s="1"/>
  <c r="N34" i="23"/>
  <c r="N127" i="23" s="1"/>
  <c r="D59" i="23"/>
  <c r="D77" i="23" s="1"/>
  <c r="D155" i="23" s="1"/>
  <c r="E160" i="3" l="1"/>
  <c r="O156" i="23"/>
  <c r="J156" i="23"/>
  <c r="M156" i="23"/>
  <c r="I156" i="23"/>
  <c r="L156" i="23"/>
  <c r="G156" i="23"/>
  <c r="N156" i="23"/>
  <c r="K156" i="23"/>
  <c r="H156" i="23"/>
  <c r="F156" i="23"/>
  <c r="P126" i="23"/>
  <c r="E76" i="3"/>
  <c r="E156" i="3"/>
  <c r="E156" i="23"/>
  <c r="D156" i="23"/>
  <c r="P154" i="23"/>
  <c r="P42" i="23"/>
  <c r="C58" i="23"/>
  <c r="C59" i="23" s="1"/>
  <c r="P34" i="23"/>
  <c r="C127" i="23"/>
  <c r="P127" i="23" s="1"/>
  <c r="E162" i="3" l="1"/>
  <c r="P156" i="23"/>
  <c r="C77" i="23"/>
  <c r="P59" i="23"/>
  <c r="P58" i="23"/>
  <c r="C128" i="23"/>
  <c r="P128" i="23" s="1"/>
  <c r="P77" i="23" l="1"/>
  <c r="P155" i="23" s="1"/>
  <c r="C156" i="23"/>
  <c r="I121" i="13"/>
  <c r="I122" i="13"/>
  <c r="I126" i="13" l="1"/>
  <c r="I130" i="13" s="1"/>
  <c r="I134" i="13" s="1"/>
  <c r="I131" i="13" l="1"/>
  <c r="I136" i="13" s="1"/>
  <c r="G45" i="3"/>
  <c r="G46" i="3" s="1"/>
  <c r="G58" i="3" s="1"/>
  <c r="F45" i="3"/>
  <c r="H45" i="3" l="1"/>
  <c r="F46" i="3"/>
  <c r="G76" i="3"/>
  <c r="G162" i="3" s="1"/>
  <c r="G156" i="3"/>
  <c r="F16" i="2"/>
  <c r="F18" i="2" s="1"/>
  <c r="F20" i="2" s="1"/>
  <c r="F33" i="2" s="1"/>
  <c r="G57" i="3"/>
  <c r="G128" i="3" s="1"/>
  <c r="H46" i="3" l="1"/>
  <c r="J45" i="3"/>
  <c r="E16" i="2"/>
  <c r="F58" i="3"/>
  <c r="F57" i="3"/>
  <c r="F128" i="3" s="1"/>
  <c r="F160" i="3" s="1"/>
  <c r="G160" i="3"/>
  <c r="H128" i="3" l="1"/>
  <c r="H160" i="3" s="1"/>
  <c r="J46" i="3"/>
  <c r="H57" i="3"/>
  <c r="J57" i="3" s="1"/>
  <c r="H58" i="3"/>
  <c r="F76" i="3"/>
  <c r="F162" i="3" s="1"/>
  <c r="F156" i="3"/>
  <c r="G16" i="2"/>
  <c r="G18" i="2" s="1"/>
  <c r="G20" i="2" s="1"/>
  <c r="G33" i="2" s="1"/>
  <c r="E18" i="2"/>
  <c r="E20" i="2" s="1"/>
  <c r="E33" i="2" s="1"/>
  <c r="H76" i="3" l="1"/>
  <c r="H156" i="3"/>
  <c r="J58" i="3"/>
  <c r="J76" i="3" l="1"/>
  <c r="H162" i="3"/>
</calcChain>
</file>

<file path=xl/comments1.xml><?xml version="1.0" encoding="utf-8"?>
<comments xmlns="http://schemas.openxmlformats.org/spreadsheetml/2006/main">
  <authors>
    <author/>
  </authors>
  <commentList>
    <comment ref="D98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gl:
</t>
        </r>
        <r>
          <rPr>
            <sz val="8"/>
            <color indexed="8"/>
            <rFont val="Tahoma"/>
            <family val="2"/>
            <charset val="238"/>
          </rPr>
          <t>Ezt módosítani ha kell</t>
        </r>
      </text>
    </comment>
    <comment ref="G98" authorId="0" shapeId="0">
      <text>
        <r>
          <rPr>
            <b/>
            <sz val="8"/>
            <color indexed="8"/>
            <rFont val="Tahoma"/>
            <family val="2"/>
            <charset val="238"/>
          </rPr>
          <t xml:space="preserve">gl:
</t>
        </r>
        <r>
          <rPr>
            <sz val="8"/>
            <color indexed="8"/>
            <rFont val="Tahoma"/>
            <family val="2"/>
            <charset val="238"/>
          </rPr>
          <t>Ezt módosítani ha kell</t>
        </r>
      </text>
    </comment>
  </commentList>
</comments>
</file>

<file path=xl/comments2.xml><?xml version="1.0" encoding="utf-8"?>
<comments xmlns="http://schemas.openxmlformats.org/spreadsheetml/2006/main">
  <authors>
    <author/>
    <author>Gallaci</author>
  </authors>
  <commentList>
    <comment ref="AJ29" authorId="0" shapeId="0">
      <text>
        <r>
          <rPr>
            <sz val="11"/>
            <color indexed="8"/>
            <rFont val="Calibri"/>
            <family val="2"/>
            <charset val="238"/>
          </rPr>
          <t>+ 2015 évi kollégiumi férőhely is</t>
        </r>
      </text>
    </comment>
    <comment ref="AK29" authorId="0" shapeId="0">
      <text>
        <r>
          <rPr>
            <sz val="11"/>
            <color indexed="8"/>
            <rFont val="Calibri"/>
            <family val="2"/>
            <charset val="238"/>
          </rPr>
          <t>+ 2015 évi kollégiumi férőhely is</t>
        </r>
      </text>
    </comment>
    <comment ref="J114" authorId="1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Szennyvíz elkülönített számlák
</t>
        </r>
      </text>
    </comment>
    <comment ref="K114" authorId="1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Szennyvíz elkülönített számlák
</t>
        </r>
      </text>
    </comment>
  </commentList>
</comments>
</file>

<file path=xl/comments3.xml><?xml version="1.0" encoding="utf-8"?>
<comments xmlns="http://schemas.openxmlformats.org/spreadsheetml/2006/main">
  <authors>
    <author>Gallaci</author>
  </authors>
  <commentList>
    <comment ref="C26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>Gyerekesély 36 fő - 4 fő célfeladatos, ebből 3 középfokű
Paktum 1 fő</t>
        </r>
      </text>
    </comment>
    <comment ref="D26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>Gyerekesély 36 fő - 4 fő célfeladatos, ebből 3 középfokű
Paktum 1 fő</t>
        </r>
      </text>
    </comment>
    <comment ref="C27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3 fő Gyerekesély
3+2 fő Humánszolg fejl</t>
        </r>
      </text>
    </comment>
    <comment ref="D27" authorId="0" shapeId="0">
      <text>
        <r>
          <rPr>
            <b/>
            <sz val="9"/>
            <color indexed="81"/>
            <rFont val="Tahoma"/>
            <family val="2"/>
            <charset val="238"/>
          </rPr>
          <t>Gallaci:</t>
        </r>
        <r>
          <rPr>
            <sz val="9"/>
            <color indexed="81"/>
            <rFont val="Tahoma"/>
            <family val="2"/>
            <charset val="238"/>
          </rPr>
          <t xml:space="preserve">
3 fő Gyerekesély
3+2 fő Humánszolg fejl</t>
        </r>
      </text>
    </comment>
  </commentList>
</comments>
</file>

<file path=xl/sharedStrings.xml><?xml version="1.0" encoding="utf-8"?>
<sst xmlns="http://schemas.openxmlformats.org/spreadsheetml/2006/main" count="4780" uniqueCount="920">
  <si>
    <t xml:space="preserve">Barcs Város Önkormányzata </t>
  </si>
  <si>
    <t>C Í M R E N D J E</t>
  </si>
  <si>
    <t>Barcsi Polgármesteri Hivatal</t>
  </si>
  <si>
    <t>Barcs Városi Önkormányzat Városgazdálkodási Igazgatósága</t>
  </si>
  <si>
    <t>Kistérségi Járóbetegellátó Központ</t>
  </si>
  <si>
    <t>Barcsi Szociális Központ</t>
  </si>
  <si>
    <t>Barcs Város Óvodája és Bölcsődéje</t>
  </si>
  <si>
    <t>Móricz Zsigmond Művelődési Központ és Dráva Közérdekű Muzeális kiállítóhely</t>
  </si>
  <si>
    <t>Barcsi Városi Könyvtár</t>
  </si>
  <si>
    <t>1.melléklet</t>
  </si>
  <si>
    <t>Eredeti előirányzat</t>
  </si>
  <si>
    <t>Módosított előirányzat</t>
  </si>
  <si>
    <t>Rovat megnevezése</t>
  </si>
  <si>
    <t>Kötelező feladatok</t>
  </si>
  <si>
    <t>Önként vállalt feladatok</t>
  </si>
  <si>
    <t>ÖSSZESEN</t>
  </si>
  <si>
    <t>K1. Személyi juttatások</t>
  </si>
  <si>
    <t>K2. Munkaadókat terhelő járulékok és szociális hozzájárulási adó</t>
  </si>
  <si>
    <t>K3. Dologi kiadások</t>
  </si>
  <si>
    <t>K4. Ellátottak pénzbeli juttatásai</t>
  </si>
  <si>
    <t>K5. Egyéb működési célú kiadások</t>
  </si>
  <si>
    <t>K6. Beruházási kiadások</t>
  </si>
  <si>
    <t>K7. Felújítások</t>
  </si>
  <si>
    <t>K8. Egyéb felhalmozási célú kiadások</t>
  </si>
  <si>
    <t>K1-8. Költségvetési kiadások</t>
  </si>
  <si>
    <t>K9. Finanszírozási kiadások</t>
  </si>
  <si>
    <t>KIADÁSOK ÖSSZESEN (K1-9)</t>
  </si>
  <si>
    <t>B1. Működési célú támogatások államháztartáson belülről</t>
  </si>
  <si>
    <t>B2. Felhalmozási célú támogatások államháztartáson belülről</t>
  </si>
  <si>
    <t>B3. Közhatalmi bevételek</t>
  </si>
  <si>
    <t>B4. Működési bevételek</t>
  </si>
  <si>
    <t>B5. Felhalmozási bevételek</t>
  </si>
  <si>
    <t>B6. Működési célú átvett pénzeszközök</t>
  </si>
  <si>
    <t>B7. Felhalmozási célú átvett pénzeszközök</t>
  </si>
  <si>
    <t>B1-7. Költségvetési bevételek</t>
  </si>
  <si>
    <t>B8. Finanszírozási bevételek</t>
  </si>
  <si>
    <t>BEVÉTELEK ÖSSZESEN (B1-8)</t>
  </si>
  <si>
    <t>2.melléklet</t>
  </si>
  <si>
    <t>Rovat-szám</t>
  </si>
  <si>
    <t xml:space="preserve">Foglalkoztatottak személyi juttatásai </t>
  </si>
  <si>
    <t>K11</t>
  </si>
  <si>
    <t xml:space="preserve">Külső személyi juttatások </t>
  </si>
  <si>
    <t>K12</t>
  </si>
  <si>
    <t>Személyi juttatások összesen</t>
  </si>
  <si>
    <t>K1</t>
  </si>
  <si>
    <t xml:space="preserve">Munkaadókat terhelő járulékok és szociális hozzájárulási adó </t>
  </si>
  <si>
    <t>K2</t>
  </si>
  <si>
    <t xml:space="preserve">Készletbeszerzés </t>
  </si>
  <si>
    <t>K31</t>
  </si>
  <si>
    <t xml:space="preserve">Kommunikációs szolgáltatások </t>
  </si>
  <si>
    <t>K32</t>
  </si>
  <si>
    <t xml:space="preserve">Szolgáltatási kiadások </t>
  </si>
  <si>
    <t>K33</t>
  </si>
  <si>
    <t xml:space="preserve">Kiküldetések, reklám- és propagandakiadások </t>
  </si>
  <si>
    <t>K34</t>
  </si>
  <si>
    <t xml:space="preserve">Különféle befizetések és egyéb dologi kiadások </t>
  </si>
  <si>
    <t>K35</t>
  </si>
  <si>
    <t>Dologi kiadások összesen</t>
  </si>
  <si>
    <t>K3</t>
  </si>
  <si>
    <t xml:space="preserve">Ellátottak pénzbeli juttatásai </t>
  </si>
  <si>
    <t>K4</t>
  </si>
  <si>
    <t>Nemzetközi kötelezettségek</t>
  </si>
  <si>
    <t>K501</t>
  </si>
  <si>
    <t>Elvonások és befizetések</t>
  </si>
  <si>
    <t>K502</t>
  </si>
  <si>
    <t>Működési célú garancia- és kezességvállalásból származó kifizetés áht-n belülre</t>
  </si>
  <si>
    <t>K503</t>
  </si>
  <si>
    <t>Működési célú visszatérítendő támogatások, kölcsönök nyújtása áht-n belülre</t>
  </si>
  <si>
    <t>K504</t>
  </si>
  <si>
    <t>Működési célú visszatérítendő tám., kölcsönök törlesztése áht-n belülre</t>
  </si>
  <si>
    <t>K505</t>
  </si>
  <si>
    <t>Egyéb működési célú támogatások áht-n belülre</t>
  </si>
  <si>
    <t>K506</t>
  </si>
  <si>
    <t>Működési célú garancia- és kezességvállalásból származó kifizetés áht-n kívülre</t>
  </si>
  <si>
    <t>K507</t>
  </si>
  <si>
    <t>Működési célú visszatérítendő támogatások, kölcsönök nyújtása áht-n kívülre</t>
  </si>
  <si>
    <t>K508</t>
  </si>
  <si>
    <t>Árkiegészítések, ártámogatások</t>
  </si>
  <si>
    <t>K509</t>
  </si>
  <si>
    <t>Kamattámogatások</t>
  </si>
  <si>
    <t>K510</t>
  </si>
  <si>
    <t>Működési célú támogatások EU-nak</t>
  </si>
  <si>
    <t>K511</t>
  </si>
  <si>
    <t>Egyéb működési célú támogatások államháztartáson kívülre</t>
  </si>
  <si>
    <t>K512</t>
  </si>
  <si>
    <t>Tartalékok-általános</t>
  </si>
  <si>
    <t>K513</t>
  </si>
  <si>
    <t>Tartalékok-cél</t>
  </si>
  <si>
    <t>Egyéb működési célú kiadások összesen</t>
  </si>
  <si>
    <t>K5</t>
  </si>
  <si>
    <t>Működési költségvetés előirányzat csoport összesen</t>
  </si>
  <si>
    <t>K1+..+K5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</si>
  <si>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</si>
  <si>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</si>
  <si>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</si>
  <si>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</si>
  <si>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</si>
  <si>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</si>
  <si>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</si>
  <si>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</si>
  <si>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</si>
  <si>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</si>
  <si>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</si>
  <si>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</si>
  <si>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</si>
  <si>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</si>
  <si>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összesen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</si>
  <si>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</si>
  <si>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</si>
  <si>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</si>
  <si>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</si>
  <si>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</si>
  <si>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</si>
  <si>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</si>
  <si>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</si>
  <si>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</si>
  <si>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összesen</t>
  </si>
  <si>
    <t>K7</t>
  </si>
  <si>
    <t>Felhalmozási célú garancia- és kezességvállalásból kifizetés áht-n belülre</t>
  </si>
  <si>
    <t>K81</t>
  </si>
  <si>
    <t>Felhalmozási célú visszatérítendő tám., kölcsönök nyújtása áht-n belülre</t>
  </si>
  <si>
    <t>K82</t>
  </si>
  <si>
    <t>Felhalmozási célú visszatérítendő tám., kölcsönök törlesztése áht-n belülre</t>
  </si>
  <si>
    <t>K83</t>
  </si>
  <si>
    <t>Egyéb felhalmozási célú támogatások áht-n belülre</t>
  </si>
  <si>
    <t>K84</t>
  </si>
  <si>
    <t>Felhalmozási célú garancia- és kezességvállalásból kifizetés áht-n kívülre</t>
  </si>
  <si>
    <t>K85</t>
  </si>
  <si>
    <t>Felhalmozási célú visszatérítendő tám., kölcsönök nyújtása áht-n kívülre</t>
  </si>
  <si>
    <t>K86</t>
  </si>
  <si>
    <t>Lakástámogatás</t>
  </si>
  <si>
    <t>K87</t>
  </si>
  <si>
    <t xml:space="preserve">Felhalmozási célú támogatások az EU-nak </t>
  </si>
  <si>
    <t>K88</t>
  </si>
  <si>
    <t xml:space="preserve">Egyéb felhalmozási célú támogatások államháztartáson kívülre </t>
  </si>
  <si>
    <t>K89</t>
  </si>
  <si>
    <t>Egyéb felhalmozási célú kiadások összesen</t>
  </si>
  <si>
    <t>K8</t>
  </si>
  <si>
    <t>Felhalmozási költségvetés előirányzat csoport összesen</t>
  </si>
  <si>
    <t>K6+..+K8</t>
  </si>
  <si>
    <t>Költségvetési kiadások összesen</t>
  </si>
  <si>
    <t>K1+..+K8</t>
  </si>
  <si>
    <t>Hosszú lejáratú hitelek, kölcsönök törlesztése FELHALMOZÁSRA</t>
  </si>
  <si>
    <t>K9111</t>
  </si>
  <si>
    <t>Likviditási célú hitelek, kölcsönök törlesztése pénzügyi vállalkozásnak</t>
  </si>
  <si>
    <t>K9112</t>
  </si>
  <si>
    <t>Rövid lejáratú hitelek, kölcsönök törlesztése MŰKÖDÉSRE</t>
  </si>
  <si>
    <t>K9113</t>
  </si>
  <si>
    <t>Hitel-, kölcsöntörlesztés államháztartáson kívülre összesen</t>
  </si>
  <si>
    <t>K911</t>
  </si>
  <si>
    <t>Belföldi értékpapírok kiadásai összesen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</si>
  <si>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</si>
  <si>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</si>
  <si>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</si>
  <si>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</si>
  <si>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</si>
  <si>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</si>
  <si>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</si>
  <si>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</si>
  <si>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</si>
  <si>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</si>
  <si>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</si>
  <si>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</si>
  <si>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</si>
  <si>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Tulajdonosi kölcsönök kiadásai</t>
  </si>
  <si>
    <t>K919</t>
  </si>
  <si>
    <t>Belföldi finanszírozás kiadásai összesen</t>
  </si>
  <si>
    <t>K91</t>
  </si>
  <si>
    <t xml:space="preserve">Külföldi finanszírozás kiadásai </t>
  </si>
  <si>
    <t>K92</t>
  </si>
  <si>
    <t>Adóssághoz nem kapcsolódó származékos ügyletek kiadásai</t>
  </si>
  <si>
    <t>K93</t>
  </si>
  <si>
    <t>Váltókiadások</t>
  </si>
  <si>
    <t>K94</t>
  </si>
  <si>
    <t>Finanszírozási kiadások összesen</t>
  </si>
  <si>
    <t>K9</t>
  </si>
  <si>
    <t xml:space="preserve">KIADÁSOK ÖSSZESEN </t>
  </si>
  <si>
    <t>K1+..+K9</t>
  </si>
  <si>
    <t>Rovat-
szám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</si>
  <si>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</si>
  <si>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</si>
  <si>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</si>
  <si>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</si>
  <si>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tám.</t>
  </si>
  <si>
    <t>B113</t>
  </si>
  <si>
    <t>Települési önkormányzatok kulturális feladatainak támogatása</t>
  </si>
  <si>
    <t>B114</t>
  </si>
  <si>
    <t>Működési célú költségvetési támogatások és kiegészítések</t>
  </si>
  <si>
    <t>B115</t>
  </si>
  <si>
    <t>Elszámolásból származó bevételek</t>
  </si>
  <si>
    <t>B116</t>
  </si>
  <si>
    <t>Önkormányzatok működési támogatásai összesen</t>
  </si>
  <si>
    <t>B11</t>
  </si>
  <si>
    <t>Elvonások és befizetések bevételei</t>
  </si>
  <si>
    <t>B12</t>
  </si>
  <si>
    <t>Működési célú garancia- és kezességvállalásból megtérül. áht-n belülről</t>
  </si>
  <si>
    <t>B13</t>
  </si>
  <si>
    <t>Működési célú visszatérítendő tám., kölcsönök visszatérülése áht-n belülről</t>
  </si>
  <si>
    <t>B14</t>
  </si>
  <si>
    <t>Működési célú visszatérítendő tám., kölcsönök igénybevétele áht-n belülről</t>
  </si>
  <si>
    <t>B15</t>
  </si>
  <si>
    <t>Egyéb működési célú támogatások bevételei államháztartáson belülről</t>
  </si>
  <si>
    <t>B16</t>
  </si>
  <si>
    <t>Működési célú támogatások államháztartáson belülről összesen</t>
  </si>
  <si>
    <t>B1</t>
  </si>
  <si>
    <t xml:space="preserve">Felhalmozási célú támogatások államháztartáson belülről </t>
  </si>
  <si>
    <t>B2</t>
  </si>
  <si>
    <t xml:space="preserve">Jövedelemadók </t>
  </si>
  <si>
    <t>B31</t>
  </si>
  <si>
    <t>Szociális hozzájárulási adó és járulékok</t>
  </si>
  <si>
    <t>B32</t>
  </si>
  <si>
    <t>Bérhez és foglalkoztatáshoz kapcsolódó adók</t>
  </si>
  <si>
    <t>B33</t>
  </si>
  <si>
    <t xml:space="preserve">Vagyoni tipusú adók </t>
  </si>
  <si>
    <t>B34</t>
  </si>
  <si>
    <t xml:space="preserve">Termékek és szolgáltatások adói </t>
  </si>
  <si>
    <t>B35</t>
  </si>
  <si>
    <t xml:space="preserve">Egyéb közhatalmi bevételek </t>
  </si>
  <si>
    <t>B36</t>
  </si>
  <si>
    <t>Közhatalmi bevételek összesen</t>
  </si>
  <si>
    <t>B3</t>
  </si>
  <si>
    <t>Készletértékesítés ellenértéke</t>
  </si>
  <si>
    <t>B401</t>
  </si>
  <si>
    <t>Szolgáltatások ellenértéke</t>
  </si>
  <si>
    <t>B402</t>
  </si>
  <si>
    <t>Közvetített szolgáltatások értéke</t>
  </si>
  <si>
    <t>B403</t>
  </si>
  <si>
    <t>Tulajdonosi bevételek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</si>
  <si>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</si>
  <si>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</si>
  <si>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</si>
  <si>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</si>
  <si>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</si>
  <si>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</si>
  <si>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</si>
  <si>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Kamatbevételek</t>
  </si>
  <si>
    <t>B408</t>
  </si>
  <si>
    <t>Egyéb pénzügyi műveletek bevételei</t>
  </si>
  <si>
    <t>B409</t>
  </si>
  <si>
    <t>Biztosító által fizetett kártérítés</t>
  </si>
  <si>
    <t>B410</t>
  </si>
  <si>
    <t>Egyéb működési bevételek</t>
  </si>
  <si>
    <t>B411</t>
  </si>
  <si>
    <t>Működési bevételek összesen</t>
  </si>
  <si>
    <t>B4</t>
  </si>
  <si>
    <t>Immateriális javak értékesítése</t>
  </si>
  <si>
    <t>B51</t>
  </si>
  <si>
    <t>Ingatlanok értékesítése</t>
  </si>
  <si>
    <t>B52</t>
  </si>
  <si>
    <t>Egyéb tárgyi eszközök értékesítése</t>
  </si>
  <si>
    <t>B53</t>
  </si>
  <si>
    <t>Részesedések értékesítése</t>
  </si>
  <si>
    <t>B54</t>
  </si>
  <si>
    <t>Részesedések megszűnéséhez kapcsolódó bevételek</t>
  </si>
  <si>
    <t>B55</t>
  </si>
  <si>
    <t>Felhalmozási bevételek összesen</t>
  </si>
  <si>
    <t>B5</t>
  </si>
  <si>
    <t xml:space="preserve">Működési célú átvett pénzeszközök </t>
  </si>
  <si>
    <t>B6</t>
  </si>
  <si>
    <t>Felhalm.célú garancia- és kezességvállalásból megtérülések áht-n kívülről</t>
  </si>
  <si>
    <t>B71</t>
  </si>
  <si>
    <t>Felhalm.célú visszatérítendő támogatások, kölcsönök visszatérülése EU-tól</t>
  </si>
  <si>
    <t>B72</t>
  </si>
  <si>
    <t>Felhalm.célú garancia- és kezességvállalásból származó megtérülések kormánytól és más nemzetközi szervezettől</t>
  </si>
  <si>
    <t>B73</t>
  </si>
  <si>
    <t>Felhalm.célú visszatérítendő tám., kölcsönök visszatérülése áht-n kívülről</t>
  </si>
  <si>
    <t>B74</t>
  </si>
  <si>
    <t>Egyéb felhalmozási célú átvett pénzeszközök</t>
  </si>
  <si>
    <t>B75</t>
  </si>
  <si>
    <t>Felhalmozási célú átvett pénzeszközök összesen</t>
  </si>
  <si>
    <t>B7</t>
  </si>
  <si>
    <t>Költségvetési bevételek összesen</t>
  </si>
  <si>
    <t>B1+..+B7</t>
  </si>
  <si>
    <t xml:space="preserve">  MŰKÖDÉSI költségvetési egyenleg (B1+B3+B4+B6) - (K1+K2+K3+K4+K5)</t>
  </si>
  <si>
    <t xml:space="preserve">  FELHALMOZÁSI költségvetési egyenleg (B2+B5+B7) - (K6+K7+K8)</t>
  </si>
  <si>
    <t>Hosszú lejáratú hitelek, kölcsönök felvétele FELHALMOZÁSRA</t>
  </si>
  <si>
    <t>B8111</t>
  </si>
  <si>
    <t>Likviditási célú hitelek, kölcsönök felvétele pénzügyi váll.-tól FELHALMO</t>
  </si>
  <si>
    <t>B8112</t>
  </si>
  <si>
    <t>Rövid lejáratú hitelek, kölcsönök felvétele  MŰKÖDÉSRE</t>
  </si>
  <si>
    <t>B8113</t>
  </si>
  <si>
    <t>Hitel-, kölcsönfelvétel pénzügyi vállalkozástól összesen</t>
  </si>
  <si>
    <t>B811</t>
  </si>
  <si>
    <t>Forgatási célú belföldi értékpapírok beváltása, értékesítése</t>
  </si>
  <si>
    <t>B8121</t>
  </si>
  <si>
    <t>Éven belüli lejáratú belföldi értékpapírok kibocsátása</t>
  </si>
  <si>
    <t>B8122</t>
  </si>
  <si>
    <t>Befektetési célú belföldi értékpapírok beváltása,  értékesítése</t>
  </si>
  <si>
    <t>B8123</t>
  </si>
  <si>
    <t>Éven túli lejáratú belföldi értékpapírok kibocsátása</t>
  </si>
  <si>
    <t>B8124</t>
  </si>
  <si>
    <t>Belföldi értékpapírok bevételei összesen</t>
  </si>
  <si>
    <t>B812</t>
  </si>
  <si>
    <t>Előző év költségvetési maradványának igénybevétele MŰKÖDÉSRE</t>
  </si>
  <si>
    <t>B8131</t>
  </si>
  <si>
    <t>Előző év költségvetési maradványának igénybevétele FELHALMOZÁSRA</t>
  </si>
  <si>
    <t>Előző év vállalkozási maradványának igénybevétele MŰKÖDÉSRE</t>
  </si>
  <si>
    <t>B8132</t>
  </si>
  <si>
    <t>Előző év vállalkozási maradványának igénybevétele FELHALMOZÁSRA</t>
  </si>
  <si>
    <t>Maradvány igénybevétele összesen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</si>
  <si>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</si>
  <si>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</si>
  <si>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</si>
  <si>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</si>
  <si>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</si>
  <si>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</si>
  <si>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</si>
  <si>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Lekötött betétek megszüntetése</t>
  </si>
  <si>
    <t>B817</t>
  </si>
  <si>
    <t>Központi költségvetés sajátos finanszírozási bevételei</t>
  </si>
  <si>
    <t>B818</t>
  </si>
  <si>
    <t>Tulajdonosi kölcsönök bevételei</t>
  </si>
  <si>
    <t>B819</t>
  </si>
  <si>
    <t>Belföldi finanszírozás bevételei összesen</t>
  </si>
  <si>
    <t>B81</t>
  </si>
  <si>
    <t xml:space="preserve">Külföldi finanszírozás bevételei </t>
  </si>
  <si>
    <t>B82</t>
  </si>
  <si>
    <t>Adóssághoz nem kapcsolódó származékos ügyletek bevételei</t>
  </si>
  <si>
    <t>B83</t>
  </si>
  <si>
    <t>Váltóbevételek</t>
  </si>
  <si>
    <t>B84</t>
  </si>
  <si>
    <t>Finanszírozási bevételek összesen</t>
  </si>
  <si>
    <t>B8</t>
  </si>
  <si>
    <t xml:space="preserve">BEVÉTELEK ÖSSZESEN </t>
  </si>
  <si>
    <t>B1+..+B8</t>
  </si>
  <si>
    <t>Költségvetési hiány / többlet  (B1+..B7) - (K1+..+K8)</t>
  </si>
  <si>
    <t>Finanszírozási hiány / többlet  B8 - K9</t>
  </si>
  <si>
    <t>Működési hiány / többlet  (B1+B3+B4+B6+B8134+B8113) - (K1+K2+K3+K4+K5+K9113)</t>
  </si>
  <si>
    <t>Felhalmozási hiány / többlet (B2+B5+B7+B8111) - (K6+K7+K8+K9111)</t>
  </si>
  <si>
    <t>Bevétel - Kiadás</t>
  </si>
  <si>
    <t>3.melléklet</t>
  </si>
  <si>
    <t>Cofog:</t>
  </si>
  <si>
    <t>011220</t>
  </si>
  <si>
    <t>2016 tény</t>
  </si>
  <si>
    <t>0934111</t>
  </si>
  <si>
    <t xml:space="preserve">építményadó </t>
  </si>
  <si>
    <t xml:space="preserve">épület után fizetett idegenforgalmi adó </t>
  </si>
  <si>
    <t>0934114</t>
  </si>
  <si>
    <t>magánszemélyek kommunális adója</t>
  </si>
  <si>
    <t>0934112</t>
  </si>
  <si>
    <t>telekadó</t>
  </si>
  <si>
    <t>Vagyoni típusú adók összesen</t>
  </si>
  <si>
    <t xml:space="preserve">Értékesítési és forgalmi adók </t>
  </si>
  <si>
    <t>B351</t>
  </si>
  <si>
    <t>09351121</t>
  </si>
  <si>
    <t>ebből: állandó jelleggel végzett iparűzési tevékenység után fizetett helyi iparűzési adó</t>
  </si>
  <si>
    <t>ebből: ideiglenes jelleggel végzett tevékenység után fizetett helyi iparűzési adó</t>
  </si>
  <si>
    <t>B354</t>
  </si>
  <si>
    <t>09354121</t>
  </si>
  <si>
    <t>ebből: külföldi gépjárművek adója</t>
  </si>
  <si>
    <t>ebből: gépjármű túlsúlydíj</t>
  </si>
  <si>
    <t xml:space="preserve">Egyéb áruhasználati és szolgáltatási adók  </t>
  </si>
  <si>
    <t>B355</t>
  </si>
  <si>
    <t>09355121</t>
  </si>
  <si>
    <t xml:space="preserve">ebből: tartózkodás után fizetett idegenforgalmi adó </t>
  </si>
  <si>
    <t>ebből: talajterhelési díj</t>
  </si>
  <si>
    <t>Termékek és szolgáltatások adói  összesen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</si>
  <si>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</si>
  <si>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</si>
  <si>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</si>
  <si>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</si>
  <si>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</si>
  <si>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</si>
  <si>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</si>
  <si>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szabálysértési pénz- és helyszíni bírság és a közlekedési szabályszegések után kiszabott közigazgatási bírság helyi önkormányzatot megillető része</t>
  </si>
  <si>
    <t>0936127</t>
  </si>
  <si>
    <t>egyéb bírság</t>
  </si>
  <si>
    <t>Egyéb közhatalmi bevételek összesen</t>
  </si>
  <si>
    <t>018010</t>
  </si>
  <si>
    <t>Önkormányzati hivatal működési támogatása</t>
  </si>
  <si>
    <t>PH</t>
  </si>
  <si>
    <t>Települési üzemeltetéshez kapcsolódó támogatás összesen</t>
  </si>
  <si>
    <t>Összesen sor</t>
  </si>
  <si>
    <t>A zöldterület-gazdálkodással kapcsolatos feladatok ellátásának támogatása</t>
  </si>
  <si>
    <t>Vgig</t>
  </si>
  <si>
    <t>Közvilágítás fenntartásának támogatása</t>
  </si>
  <si>
    <t>Közvilágítás</t>
  </si>
  <si>
    <t>Köztemető fenntartással kapcsolatos feladatok támogatása</t>
  </si>
  <si>
    <t>Temető</t>
  </si>
  <si>
    <t>Közutak fenntartásának támogatása</t>
  </si>
  <si>
    <t>Egyéb önkormányzati feladatok támogatása</t>
  </si>
  <si>
    <t>Határátkelőhelyek fenntartásának támogatása</t>
  </si>
  <si>
    <t>Lakott külterületi feladatok támogatása</t>
  </si>
  <si>
    <t>Üdülőhelyi feladatok támogatása</t>
  </si>
  <si>
    <t>091111</t>
  </si>
  <si>
    <t>Helyi önkormányzatok működésének általános támogatása összesen</t>
  </si>
  <si>
    <t>Óvodapedagógusok bértámogatása</t>
  </si>
  <si>
    <t>Óvodapedagógusok munkáját közvetlenül segítők bértámogatása</t>
  </si>
  <si>
    <t>Óvoda működtetési támogatás</t>
  </si>
  <si>
    <t>Óvodapedagógusok kiegészítő támogatása</t>
  </si>
  <si>
    <t>091121</t>
  </si>
  <si>
    <t>Települési önkormányzatok egyes köznevelési feladatainak támogatása összesen</t>
  </si>
  <si>
    <t>Szociális feladatok egyéb támogatása</t>
  </si>
  <si>
    <t>Segélyhez</t>
  </si>
  <si>
    <t>Család- és gyermekjóléti szolgálat</t>
  </si>
  <si>
    <t>Szoci</t>
  </si>
  <si>
    <t>Család- és gyermekjóléti központ</t>
  </si>
  <si>
    <t>Szociális étkeztetés</t>
  </si>
  <si>
    <t>Házi segítségnyújtás</t>
  </si>
  <si>
    <t>Időskorúak nappali intézményi ellátása</t>
  </si>
  <si>
    <t>Demens személyek nappali intézményi ellátása</t>
  </si>
  <si>
    <t>Pszichiátriai betegek ellátásának támogatása</t>
  </si>
  <si>
    <t>Szakmai dolgozók bértámogatás</t>
  </si>
  <si>
    <t>Intézmény üzemeltetési támogatása</t>
  </si>
  <si>
    <t>Gyermekétkeztetésben dolgozók bértámogatása</t>
  </si>
  <si>
    <t>Gyermekétkeztetés üzemeltetési támogatása</t>
  </si>
  <si>
    <r>
      <t xml:space="preserve">A rászoruló gyermekek intézményen </t>
    </r>
    <r>
      <rPr>
        <sz val="11"/>
        <rFont val="Times New Roman"/>
        <family val="1"/>
        <charset val="238"/>
      </rPr>
      <t>kívüli szünidei étkeztetésének tám.</t>
    </r>
  </si>
  <si>
    <t>091131</t>
  </si>
  <si>
    <t>Települési önkormányzatok szociális és gyermekjóléti  feladatainak támogatása összesen</t>
  </si>
  <si>
    <t>Könyvtár, közművelődés támogatás</t>
  </si>
  <si>
    <t>Művház+Könyvtár</t>
  </si>
  <si>
    <t>091141</t>
  </si>
  <si>
    <t>Települési önkormányzatok kulturális feladatainak támogatása összesen</t>
  </si>
  <si>
    <t>Lakossági víz és csatornaszolgáltatás támogatása</t>
  </si>
  <si>
    <t>Önkormányzatok működőképessége megőrzését szolgáló támogatás</t>
  </si>
  <si>
    <t>091151</t>
  </si>
  <si>
    <t>Működési célú költségvetési támogatások és kiegészítések összesen</t>
  </si>
  <si>
    <t>091161</t>
  </si>
  <si>
    <t xml:space="preserve"> </t>
  </si>
  <si>
    <t>Elszámolásból származó bevételek összesen</t>
  </si>
  <si>
    <t>4.melléklet</t>
  </si>
  <si>
    <t>Eredeti    előirányzat</t>
  </si>
  <si>
    <t>Kötelező feladat</t>
  </si>
  <si>
    <t>Önként vállalt feladat</t>
  </si>
  <si>
    <t>Működési célú visszatérítendő támogatások, kölcsönök visszatérülése államháztartáson belülről összesen</t>
  </si>
  <si>
    <t>011130</t>
  </si>
  <si>
    <t>Működési célú visszatérítendő támogatások, kölcsönök igénybevétele államháztartáson belülről összesen</t>
  </si>
  <si>
    <t>B16131</t>
  </si>
  <si>
    <t>OK</t>
  </si>
  <si>
    <t>Humánszolgáltatások fejlesztése Barcs térségében</t>
  </si>
  <si>
    <t xml:space="preserve">A Barcsi Járás Integrált gyermekprogramja </t>
  </si>
  <si>
    <t>09161311</t>
  </si>
  <si>
    <t>Fejezeti kezelésű előirányzatok EU-s programok és azok hazai társfinanszírozása összesen</t>
  </si>
  <si>
    <t>Önkormányzatok térítése Jelzőrendszeres házi segítségnyújtáshoz</t>
  </si>
  <si>
    <t>B1616</t>
  </si>
  <si>
    <t>Jelzőrendszeres házi segítségnyújtás támogatás pályázat</t>
  </si>
  <si>
    <t>0916161</t>
  </si>
  <si>
    <t>Helyi önkormányzatok és költségvetési szerveiktől összesen</t>
  </si>
  <si>
    <t>Egyéb működési célú támogatások bevételei államháztartáson belülről összesen</t>
  </si>
  <si>
    <t>0921</t>
  </si>
  <si>
    <t>B21</t>
  </si>
  <si>
    <t>Felhalmozási célú önkormányzati támogatások összesen</t>
  </si>
  <si>
    <t>Felhalmozási célú visszatérítendő támogatások, kölcsönök visszatérülése államháztartáson belülről összesen</t>
  </si>
  <si>
    <t>B23</t>
  </si>
  <si>
    <t>Felhalmozási célú visszatérítendő támogatások, kölcsönök igénybevétele államháztartáson belülről összesen</t>
  </si>
  <si>
    <t>B24</t>
  </si>
  <si>
    <t>B251</t>
  </si>
  <si>
    <t>Barcs-Drávatamási kerékpárút fejlesztés ÖNERŐALAP támogatás</t>
  </si>
  <si>
    <t>Barcs-Drávaszentesi kerékpárút fejlesztés ÖNERŐALAP támogatás</t>
  </si>
  <si>
    <t>Barcs központú agglomeráció szennyvíztisztításának fejlesztése ÖNERŐALAP támogatás</t>
  </si>
  <si>
    <t>092511</t>
  </si>
  <si>
    <t>Központi költségvetési szervek összesen</t>
  </si>
  <si>
    <t>Barcsi Szociális Központ fejlesztése</t>
  </si>
  <si>
    <t>B252</t>
  </si>
  <si>
    <t>Barcs az élhető zöld város</t>
  </si>
  <si>
    <t>Központi konyha és étterem rekonstrukció (Gimnázium)</t>
  </si>
  <si>
    <t>Barcs Város Óvodája és Bölcsödéje Deák Ferenc utcai Tagóvodája felújítása</t>
  </si>
  <si>
    <t>Barcs-Drávatamási kerékpárút fejlesztés</t>
  </si>
  <si>
    <t>Barcs-Drávaszentesi kerékpárút fejlesztés</t>
  </si>
  <si>
    <t>Kerékpárbarát közlekedési rendszer kialakítása</t>
  </si>
  <si>
    <t>Szociális városrehabilitáció (Észak-Nyugati városrész)</t>
  </si>
  <si>
    <t>Szociális városrehabilitáció (Klapka utcai városrész)</t>
  </si>
  <si>
    <t>TOP-7.1.1-16 Barcsi Helyi Közösség -Közös Többszörös (Színház felújítás)</t>
  </si>
  <si>
    <t>Barcs központú agglomeráció szennyvíztisztításának fejlesztése</t>
  </si>
  <si>
    <t>0925131</t>
  </si>
  <si>
    <t>Egyéb felhalmozási célú támogatások bevételei államháztartáson belülről összesen</t>
  </si>
  <si>
    <t>B25</t>
  </si>
  <si>
    <t>Felhalmozási célú támogatások államháztartáson belülről összesen</t>
  </si>
  <si>
    <t>Működési célú visszatérítendő támogatások, kölcsönök visszatérülése EU-tól összesen</t>
  </si>
  <si>
    <t>B62</t>
  </si>
  <si>
    <t>Működési célú visszatérítendő támogatások, kölcsönök visszatérülése kormánytól és más nemzetközi szervezettől összen</t>
  </si>
  <si>
    <t>B63</t>
  </si>
  <si>
    <t>Felhalmozási célú visszatérítendő támogatások, kölcsönök visszatérülése EU-tól összesen</t>
  </si>
  <si>
    <t>Felhalmozási célú visszatérítendő támogatások, kölcsönök visszatérülése kormánytól és más nemzetközi szervezettől összen</t>
  </si>
  <si>
    <t>0981311</t>
  </si>
  <si>
    <t>Előző év költségvetési maradványának igénybevétele FELHALMOZÁSRA  összesen</t>
  </si>
  <si>
    <t>Immateriális javak értékesítése összesen</t>
  </si>
  <si>
    <t>013350</t>
  </si>
  <si>
    <t>0952131 1</t>
  </si>
  <si>
    <t>Önkormányzati ingatlanok értékesítése</t>
  </si>
  <si>
    <t>0952121</t>
  </si>
  <si>
    <t>Építési telkek értékesítése</t>
  </si>
  <si>
    <t>0952131 2</t>
  </si>
  <si>
    <t>Otthonházi lakások értékesítése</t>
  </si>
  <si>
    <t>0952131 3</t>
  </si>
  <si>
    <t>Önkormányzati bérlakások értékesítése</t>
  </si>
  <si>
    <t>Ingatlanok értékesítése összesen</t>
  </si>
  <si>
    <t>095313</t>
  </si>
  <si>
    <t>Egyéb tárgyi eszközök értékesítése összesen</t>
  </si>
  <si>
    <t>Részesedések értékesítése összesen</t>
  </si>
  <si>
    <t>Részesedések megszűnéséhez kapcsolódó bevételek összesen</t>
  </si>
  <si>
    <t>Felhalmozási bevételek mindösszesen</t>
  </si>
  <si>
    <t>5.melléklet</t>
  </si>
  <si>
    <t>056111</t>
  </si>
  <si>
    <t>Immateriális javak beszerzése, létesítése összesen</t>
  </si>
  <si>
    <t>0562133</t>
  </si>
  <si>
    <t>Ingatlanok beszerzése, létesítése  összesen</t>
  </si>
  <si>
    <t>Informatikai eszközök beszerzése, létesítése összesen</t>
  </si>
  <si>
    <t>056411</t>
  </si>
  <si>
    <t xml:space="preserve">Barcsi Gyógyfürdő és Rekreációs Központ gázmotoros rendszer kialakítása </t>
  </si>
  <si>
    <t>Barcs Város területén közvilágítás bővítések</t>
  </si>
  <si>
    <t>A Barcsi Járás Integrált gyermekprogramja eszközbeszerzés</t>
  </si>
  <si>
    <t>Nagyterem hangosítás korszerűsítése</t>
  </si>
  <si>
    <t>Egyéb tárgyi eszközök beszerzése, létesítése összesen</t>
  </si>
  <si>
    <t>Részesedések beszerzése összesen</t>
  </si>
  <si>
    <t>Meglévő részesedések növeléséhez kapcsolódó kiadások összesen</t>
  </si>
  <si>
    <t>Barcs Város területén közvilágítás bővítések ÁFA</t>
  </si>
  <si>
    <t>Nagyterem hangosítás korszerűsítése ÁFA</t>
  </si>
  <si>
    <t>056711</t>
  </si>
  <si>
    <t>Beruházási célú előzetesen felszámított általános forgalmi adó összesen</t>
  </si>
  <si>
    <t>Beruházások mindösszesen</t>
  </si>
  <si>
    <t>0571133 18</t>
  </si>
  <si>
    <t>0571133 2</t>
  </si>
  <si>
    <t>0571133 19</t>
  </si>
  <si>
    <t>0571133 20</t>
  </si>
  <si>
    <t>0571133 13</t>
  </si>
  <si>
    <t>0571133 21</t>
  </si>
  <si>
    <t>Ingatlanok felújítása összesen</t>
  </si>
  <si>
    <t>Informatikai eszközök felújítása összesen</t>
  </si>
  <si>
    <t>057311</t>
  </si>
  <si>
    <t>Egyéb tárgyi eszközök felújítása összesen</t>
  </si>
  <si>
    <t>057412 19</t>
  </si>
  <si>
    <t>Kerékpárbarát közlekedési rendszer kialakítása ÁFA</t>
  </si>
  <si>
    <t>057412 2</t>
  </si>
  <si>
    <t>Barcsi Szociális Központ fejlesztése ÁFA</t>
  </si>
  <si>
    <t>057412 20</t>
  </si>
  <si>
    <t>Központi konyha és étterem rekonstrukció (Gimnázium) ÁFA</t>
  </si>
  <si>
    <t>057412 18</t>
  </si>
  <si>
    <t>Barcs az élhető zöld város ÁFA</t>
  </si>
  <si>
    <t>057412 14</t>
  </si>
  <si>
    <t>Szociális városrehabilitáció (Észak-Nyugati városrész) ÁFA</t>
  </si>
  <si>
    <t>Szociális városrehabilitáció (Klapka utcai városrész) ÁFA</t>
  </si>
  <si>
    <t>057412 16</t>
  </si>
  <si>
    <t>Barcs-Drávatamási kerékpárút fejlesztés ÁFA</t>
  </si>
  <si>
    <t>Barcs-Drávaszentesi kerékpárút fejlesztés ÁFA</t>
  </si>
  <si>
    <t>Barcs központú agglomeráció szennyvíztisztításának fejlesztése ÁFA</t>
  </si>
  <si>
    <t>057412</t>
  </si>
  <si>
    <t>Felújítási célú előzetesen felszámított  ÁFA összesen</t>
  </si>
  <si>
    <t>Felújítások mindösszesen</t>
  </si>
  <si>
    <t>Felhalmozási kiadások mindösszesen:</t>
  </si>
  <si>
    <t>K6+K7</t>
  </si>
  <si>
    <t>6.melléklet</t>
  </si>
  <si>
    <t>Megnevezés</t>
  </si>
  <si>
    <t>Összesen</t>
  </si>
  <si>
    <t>0551311 1</t>
  </si>
  <si>
    <t>Önkormányzat általános gazdálkodási tartaléka működési célra</t>
  </si>
  <si>
    <t>Önkormányzat általános gazdálkodási tartaléka felhalmozási célra</t>
  </si>
  <si>
    <t>Általános tartalékok mindösszesen</t>
  </si>
  <si>
    <t>0551311 2</t>
  </si>
  <si>
    <t>Oktatási, Művelődési, Sport Bizottság</t>
  </si>
  <si>
    <t>0551311 3</t>
  </si>
  <si>
    <t>Jogi, Egészségügyi, Szociálpolitikai Bizottság</t>
  </si>
  <si>
    <t>0551311 4</t>
  </si>
  <si>
    <t xml:space="preserve">Pénzügyi, Városfejlesztési Bizottság </t>
  </si>
  <si>
    <t>0551311 7</t>
  </si>
  <si>
    <t>Polgármester saját hatáskör</t>
  </si>
  <si>
    <t xml:space="preserve"> Céltartalék működési célra összesen</t>
  </si>
  <si>
    <t xml:space="preserve"> Céltartalék felhalmozási célra összesen</t>
  </si>
  <si>
    <t>Céltartalékok mindösszesen</t>
  </si>
  <si>
    <t>0551311</t>
  </si>
  <si>
    <t>Tartalékok mindösszesen:</t>
  </si>
  <si>
    <t>7.melléklet</t>
  </si>
  <si>
    <t>Kötelező</t>
  </si>
  <si>
    <t xml:space="preserve">Önként vállalt </t>
  </si>
  <si>
    <t>Önként vállalt</t>
  </si>
  <si>
    <t>Eredeti e.i</t>
  </si>
  <si>
    <t>Módosított e.i</t>
  </si>
  <si>
    <t>Kötelező feladatok összesen</t>
  </si>
  <si>
    <t>Önként vállalt feladatok összesen</t>
  </si>
  <si>
    <t xml:space="preserve"> Mind-összesen</t>
  </si>
  <si>
    <t>011130 Önkormányzatok és önkormányzati hivatalok jogalkotó és általános igazgatási tevékenysége</t>
  </si>
  <si>
    <t>013350 Az önkormányzati vagyonnal való gazdálkodással kapcsolatos feladatok</t>
  </si>
  <si>
    <t>013320 Köztemető-fenntartás és -működtetés</t>
  </si>
  <si>
    <t>041120  Földügy igazgatása</t>
  </si>
  <si>
    <t>045160     Közutak, hidak, alagutak üzemeltetése, fenntartása</t>
  </si>
  <si>
    <t>047410 Ár- és belvízvédelemmel összefüggő tevékenységek</t>
  </si>
  <si>
    <t>051030 Nem veszélyes (települési) hulladék vegyes (ömlesztett) begyűjtése, szállítása, átrakása</t>
  </si>
  <si>
    <t>063020  Víztermelés, -kezelés, -ellátás</t>
  </si>
  <si>
    <t>066020  Város-, községgazdálkodási egyéb szolgáltatások</t>
  </si>
  <si>
    <t>064010  Közvilágítás</t>
  </si>
  <si>
    <t>081030 Sportlétesítmények, edzőtáborok működtetése és fejlesztése</t>
  </si>
  <si>
    <t>081043 Iskolai, diáksport-tevékenység és támogatása</t>
  </si>
  <si>
    <t>081045  Szabadidősport- (rekreációs sport-) tevékenység és támogatása</t>
  </si>
  <si>
    <t>094260   Hallgatói és oktatói ösztöndíjak, egyéb juttatások</t>
  </si>
  <si>
    <t>046020    Vezetékes műsorelosztás, városi és kábeltelevíziós rendszerek</t>
  </si>
  <si>
    <t>045140     Városi és elővárosi közúti személyszállítás</t>
  </si>
  <si>
    <t>081041 Versenysport- és utánpótlás-nevelési tevékenység és támogatása</t>
  </si>
  <si>
    <t>082091 Közművelődés – közösségi és társadalmi részvétel fejlesztése</t>
  </si>
  <si>
    <t>084020 Nemzetiségi közfeladatok ellátása és támogatása</t>
  </si>
  <si>
    <t>084031 Civil szervezetek működési támogatása</t>
  </si>
  <si>
    <t>084040  Egyházak közösségi és hitéleti tevékenységének támogatása</t>
  </si>
  <si>
    <t xml:space="preserve">Munkaadókat terhelő járulékok és szociális hozzájárulási adó                                                                            </t>
  </si>
  <si>
    <t>Műk. célú garancia- és kezességváll.-ból származó kif. áht-n belülre</t>
  </si>
  <si>
    <t>Műk. célú visszatérítendő tám., kölcsönök nyújtása áht-n belülre</t>
  </si>
  <si>
    <t>Működési célú visszatérítendő tám., kölcsönök törl. áht-n belülre</t>
  </si>
  <si>
    <t>Műk.célú garancia- és kezességváll.-ból származó kif. áht-n kívülre</t>
  </si>
  <si>
    <t>Működési célú visszatérítendő tám., kölcs. nyújtása áht-n kívülre</t>
  </si>
  <si>
    <t>Felhalm. célú garancia- és kezességváll. származó kifiz. áht-n belülre</t>
  </si>
  <si>
    <t>Felhalm. célú visszatérítendő tám., kölcsönök nyújtása áht-n belülre</t>
  </si>
  <si>
    <t>Felhalm. célú visszatérítendő tám., kölcsönök törlesztése áht-n belülre</t>
  </si>
  <si>
    <t>Felhalm. célú garancia- és kezességváll. származó kif. és áht-n kívülre</t>
  </si>
  <si>
    <t>Felhalmozási célú visszatérítendő tám., kölcs. nyújtása áht-n kívülre</t>
  </si>
  <si>
    <t xml:space="preserve">Belföldi finanszírozás kiadásai </t>
  </si>
  <si>
    <t xml:space="preserve">Önkormányzatok működési támogatásai </t>
  </si>
  <si>
    <t>Működési célú garancia- és kezességvállalásból származó megtérül. áht-n belülről</t>
  </si>
  <si>
    <t>Működési célú visszatérítendő támogatások, kölcsönök visszatérülése áht-n belülről</t>
  </si>
  <si>
    <t>Működési célú visszatérítendő támogatások, kölcsönök igénybevétele áht-n belülről</t>
  </si>
  <si>
    <t>Áru- és készletértékesítés ellenértéke</t>
  </si>
  <si>
    <t>Felhalm.célú garancia- és kezességvállalásból származó megtérülések áht-n kívülről</t>
  </si>
  <si>
    <t>Felhalm.célú visszatérítendő tám., kölcsönök visszatérülése EU-tól</t>
  </si>
  <si>
    <t>Felhalm.célú visszatérítendő támogatások, kölcsönök visszatérülése áht-n kívülről</t>
  </si>
  <si>
    <t xml:space="preserve">Hitel-, kölcsönfelvétel államháztartáson kívülről </t>
  </si>
  <si>
    <t xml:space="preserve">Belföldi értékpapírok bevételei </t>
  </si>
  <si>
    <t>Előző év költségvetési maradványának igénybevétele FELHALM.</t>
  </si>
  <si>
    <t>Előző év vállalkozási maradványának igénybevétele FELHALM.</t>
  </si>
  <si>
    <t>ebből Állami támogatás</t>
  </si>
  <si>
    <t>Önkormányzati hozzájárulás</t>
  </si>
  <si>
    <t>8.melléklet</t>
  </si>
  <si>
    <t>Működési célú visszatérítendő támogatások, kölcsönök törlesztése áht-n belülre</t>
  </si>
  <si>
    <t>Működési célú támogatás EU-nak</t>
  </si>
  <si>
    <t>Felhalmozási célú garancia- és kezességvállalásból  kifizetés áht-n belülre</t>
  </si>
  <si>
    <t>Felhalmozási célú visszatérítendő támogatások, kölcsönök nyújtása áht-n belülre</t>
  </si>
  <si>
    <t>Felhalmozási célú támogatás EU-nak</t>
  </si>
  <si>
    <t>018030</t>
  </si>
  <si>
    <t>0591512 1</t>
  </si>
  <si>
    <t>ebből Állami támogatás és egyéb támogatás</t>
  </si>
  <si>
    <t>9.melléklet</t>
  </si>
  <si>
    <t xml:space="preserve"> Városgazdálkodási Igazgatóság</t>
  </si>
  <si>
    <t>0591512 2</t>
  </si>
  <si>
    <t>10.melléklet</t>
  </si>
  <si>
    <t>0591512 8</t>
  </si>
  <si>
    <t>11.melléklet</t>
  </si>
  <si>
    <t>0591512 3</t>
  </si>
  <si>
    <t>12.melléklet</t>
  </si>
  <si>
    <t>0591512 4</t>
  </si>
  <si>
    <t>Móricz Zsigmond Művelődési Központ és Dráva Közérdekű Múzeális kiállítóhely</t>
  </si>
  <si>
    <t>0591512 5</t>
  </si>
  <si>
    <t>14.melléklet</t>
  </si>
  <si>
    <t>0591512 6</t>
  </si>
  <si>
    <t>15.melléklet</t>
  </si>
  <si>
    <t>Foglalkoztatottak létszáma</t>
  </si>
  <si>
    <t xml:space="preserve">Költségvetési engedélyezett létszámkeret (álláshely) (fő) </t>
  </si>
  <si>
    <t>Sor- szám</t>
  </si>
  <si>
    <t>MEGNEVEZÉS</t>
  </si>
  <si>
    <t>Barcs Város Önkormányzata</t>
  </si>
  <si>
    <t>főjegyző, jegyző, aljegyző, címzetes főjegyző, körjegyző</t>
  </si>
  <si>
    <t>I.  besorolási osztály összesen</t>
  </si>
  <si>
    <t>II.  besorolási osztály összesen</t>
  </si>
  <si>
    <t>III.  besorolási osztály összesen</t>
  </si>
  <si>
    <t>KÖZTISZTVISELŐK, KORMÁNYTISZTVISELŐK ÖSSZESEN (1+..+4)</t>
  </si>
  <si>
    <t>igazgató (főigazgató), igazgatóhelyettes (főigazgató-helyettes)</t>
  </si>
  <si>
    <t>főosztályvezető, főosztályvezető-helyettes, osztályvezető, ügykezelő osztályvezető, további vezető</t>
  </si>
  <si>
    <t>főtanácsos, főmunkatárs, tanácsos, munkatárs</t>
  </si>
  <si>
    <t>Gyakornok</t>
  </si>
  <si>
    <t>Pedagógus I.</t>
  </si>
  <si>
    <t>Pedagógus II.</t>
  </si>
  <si>
    <t>Mester pedagógus</t>
  </si>
  <si>
    <t>"A", "B" fizetési  osztály összesen</t>
  </si>
  <si>
    <t>"C", "D" fizetési osztály  összesen</t>
  </si>
  <si>
    <t>"E"-"J"  fizetési  osztály  összesen</t>
  </si>
  <si>
    <t>Pedagógus (magasabb) vezetői megbízással</t>
  </si>
  <si>
    <t>KÖZALKALMAZOTTAK ÖSSZESEN (6+..+16)</t>
  </si>
  <si>
    <t>fizikai alkalmazott, a költségvetési szerveknél foglalkoztatott egyéb munkavállaló  (fizikai alkalmazott)</t>
  </si>
  <si>
    <t>ösztöndíjas foglalkoztatott</t>
  </si>
  <si>
    <t>közfoglalkoztatott</t>
  </si>
  <si>
    <t>Munka Törvénykönyve vezetőkre vonatkozó rendelkezései alapján foglalkoztatott vezető</t>
  </si>
  <si>
    <t>polgármester, főpolgármester</t>
  </si>
  <si>
    <t>helyi önkormányzati képviselő-testület tagja, megyei közgyűlés tagja</t>
  </si>
  <si>
    <t>alpolgármester, főpolgármester-helyettes, 
megyei közgyűlés elnöke, alelnöke</t>
  </si>
  <si>
    <t>ok</t>
  </si>
  <si>
    <t>16.melléklet</t>
  </si>
  <si>
    <t>Eredeti ei.</t>
  </si>
  <si>
    <t>Módosított ei.</t>
  </si>
  <si>
    <t>Települési támogatás</t>
  </si>
  <si>
    <t>0546121</t>
  </si>
  <si>
    <t xml:space="preserve">Lakhatási támogatás [Szoctv. 45. § ] </t>
  </si>
  <si>
    <t>0544121</t>
  </si>
  <si>
    <t xml:space="preserve">Ápolási díj méltányos  [Szoctv. 43/B. §]  </t>
  </si>
  <si>
    <t>0544129</t>
  </si>
  <si>
    <t>Gyógyszerkiadás támogatás</t>
  </si>
  <si>
    <t>Rendkívüli települési támogatás</t>
  </si>
  <si>
    <t>05481291</t>
  </si>
  <si>
    <t>Átmeneti segély [Szoctv. 45.§]</t>
  </si>
  <si>
    <t>05481292</t>
  </si>
  <si>
    <t>Méltányossági támogatás</t>
  </si>
  <si>
    <t>0548122</t>
  </si>
  <si>
    <t>Temetési segély [Szoctv. 46.§]</t>
  </si>
  <si>
    <t>0542121</t>
  </si>
  <si>
    <t xml:space="preserve">Rendkívüli gyermekvédelmi támogatás [Gyvt. 21.§] </t>
  </si>
  <si>
    <t>0548123</t>
  </si>
  <si>
    <t>Köztemetés [Szoctv. 48.§]</t>
  </si>
  <si>
    <t>05481293</t>
  </si>
  <si>
    <t>Közlekedési támogatás</t>
  </si>
  <si>
    <t>0546129</t>
  </si>
  <si>
    <t>Lakbértámogatás 24/2003.(XI.28) önk. Rendelet 3.§</t>
  </si>
  <si>
    <t>0542131</t>
  </si>
  <si>
    <t xml:space="preserve">Rendszeres gyermekvédelmi kedvezményben részesülők támogatása [Gyvt. 20/A.§] </t>
  </si>
  <si>
    <t>Ellátottak pénzbeli juttatásai mindösszesen</t>
  </si>
  <si>
    <t>Dologi</t>
  </si>
  <si>
    <t>051512 3</t>
  </si>
  <si>
    <t>Segély finanszírozás dologival együtt</t>
  </si>
  <si>
    <t>107060</t>
  </si>
  <si>
    <t>17.melléklet</t>
  </si>
  <si>
    <t>900060</t>
  </si>
  <si>
    <t xml:space="preserve"> Kiadások megnevezés</t>
  </si>
  <si>
    <t>05911111 1</t>
  </si>
  <si>
    <t>05911111 2</t>
  </si>
  <si>
    <t>05911111 3</t>
  </si>
  <si>
    <t>Hosszú lejáratú hitelek, kölcsönök törlesztése  összesen</t>
  </si>
  <si>
    <t>ebből: pénzügyi vállalkozás</t>
  </si>
  <si>
    <t>ebből: fedezeti ügyletek nettó kiadásai</t>
  </si>
  <si>
    <t>05911312</t>
  </si>
  <si>
    <t>Rövid lejáratú hitelek, kölcsönök törlesztése  összesen</t>
  </si>
  <si>
    <t xml:space="preserve">Forgatási célú belföldi értékpapírok vásárlása </t>
  </si>
  <si>
    <t>K9121</t>
  </si>
  <si>
    <t>ebből: befektetési jegyek</t>
  </si>
  <si>
    <t>ebből: kárpótlási jegyek</t>
  </si>
  <si>
    <t>Forgatási célú belföldi értékpapírok beváltása</t>
  </si>
  <si>
    <t>K9122</t>
  </si>
  <si>
    <t>Befektetési célú belföldi értékpapírok vásárlása</t>
  </si>
  <si>
    <t>K9123</t>
  </si>
  <si>
    <t>K9124</t>
  </si>
  <si>
    <t>Befektetési célú belföldi értékpapírok beváltása FELHALMOZÁSRA összesen</t>
  </si>
  <si>
    <t>Pénzeszközök betétként elhelyezése</t>
  </si>
  <si>
    <t>Forgatási célú külföldi értékpapírok vásárlása</t>
  </si>
  <si>
    <t>K921</t>
  </si>
  <si>
    <t>Befektetési célú külföldi értékpapírok vásárlása</t>
  </si>
  <si>
    <t>K922</t>
  </si>
  <si>
    <t xml:space="preserve">Külföldi értékpapírok beváltása </t>
  </si>
  <si>
    <t>K923</t>
  </si>
  <si>
    <t>Külföldi hitelek, kölcsönök törlesztése</t>
  </si>
  <si>
    <t>K924</t>
  </si>
  <si>
    <t>ebből: nemzetközi fejlesztési szervezetek</t>
  </si>
  <si>
    <t>ebből: más kormányok</t>
  </si>
  <si>
    <t>ebből: külföldi pénzintézetek</t>
  </si>
  <si>
    <t>Külföldi finanszírozás kiadásai összesen</t>
  </si>
  <si>
    <t>Bevételek megnevezés</t>
  </si>
  <si>
    <t>09811111 1</t>
  </si>
  <si>
    <t>09811111 2</t>
  </si>
  <si>
    <t>Hosszú lejáratú hitelek, kölcsönök felvétele FELHALMOZÁSRA összesen</t>
  </si>
  <si>
    <t>Likviditási célú hitelek, kölcsönök felvétele pénzügyi vállalkozástól</t>
  </si>
  <si>
    <t>09811312</t>
  </si>
  <si>
    <t>Rövid lejáratú hitelek, kölcsönök felvétele MŰKÖDÉSRE összesen</t>
  </si>
  <si>
    <t>Hitel-, kölcsönfelvétel államháztartáson kívülről összesen</t>
  </si>
  <si>
    <t xml:space="preserve">Forgatási célú belföldi értékpapírok beváltása, értékesítése </t>
  </si>
  <si>
    <t>Forgatási célú belföldi értékpapírok kibocsátása</t>
  </si>
  <si>
    <t xml:space="preserve">Befektetési célú belföldi értékpapírok beváltása, értékesítése </t>
  </si>
  <si>
    <t>Befektetési célú belföldi értékpapírok kibocsátása</t>
  </si>
  <si>
    <t>Betétek megszüntetése</t>
  </si>
  <si>
    <t xml:space="preserve">Központi költségvetés sajátos finanszírozási bevételei </t>
  </si>
  <si>
    <t>ebből: tulajdonosi kölcsönök visszatérülése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</si>
  <si>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</si>
  <si>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</si>
  <si>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</si>
  <si>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</si>
  <si>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</si>
  <si>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</si>
  <si>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 xml:space="preserve">Külföldi hitelek, kölcsönök felvétele </t>
  </si>
  <si>
    <t>B824</t>
  </si>
  <si>
    <t>Külföldi finanszírozás bevételei összesen</t>
  </si>
  <si>
    <t>18. melléklet</t>
  </si>
  <si>
    <t>Kötelezettségek megnevezése</t>
  </si>
  <si>
    <t>Kötelezettség-vállalás éve</t>
  </si>
  <si>
    <t>Tárgyév előtti kifizetés</t>
  </si>
  <si>
    <t>2019. évi kifizetés</t>
  </si>
  <si>
    <t>2020. évi kifizetés</t>
  </si>
  <si>
    <t>Működési célú hiteltörlesztések összesen:</t>
  </si>
  <si>
    <t>Felhalmozási célú hiteltörlesztések</t>
  </si>
  <si>
    <t>Beruházások összesen:</t>
  </si>
  <si>
    <t>Felújítások összesen:</t>
  </si>
  <si>
    <t>MINDÖSSZESEN:</t>
  </si>
  <si>
    <t>20. melléklet</t>
  </si>
  <si>
    <t>A támogatás kedvezményezettje</t>
  </si>
  <si>
    <t>Kedvezmény</t>
  </si>
  <si>
    <t>jogcíme (jellege)</t>
  </si>
  <si>
    <t>kérelmek száma (db)</t>
  </si>
  <si>
    <t>Tulajdonos</t>
  </si>
  <si>
    <t>Magánszemélyek kommunális adója</t>
  </si>
  <si>
    <t>Helyi rendelet, szociális helyzet (törvény alapján)</t>
  </si>
  <si>
    <t>Gépjárműadó</t>
  </si>
  <si>
    <t>Szociális helyzet (törvény alapján)</t>
  </si>
  <si>
    <t>Telekadó</t>
  </si>
  <si>
    <t>Építményadó</t>
  </si>
  <si>
    <t>Késedelmi pótlék</t>
  </si>
  <si>
    <t>Bírság</t>
  </si>
  <si>
    <t>Szemétszállítási díj</t>
  </si>
  <si>
    <t>Helyi rendeletben meghatározott mentességek alapján</t>
  </si>
  <si>
    <t>Összesen:</t>
  </si>
  <si>
    <t>21. melléklet</t>
  </si>
  <si>
    <t>A helyi önkormányzat költségvetési mérlege közgazdasági tagolásban (E Ft)</t>
  </si>
  <si>
    <t>Felhalmozási célú garancia- és kezességvállalásból származó kifizetés áht-n belülre</t>
  </si>
  <si>
    <t>Felhalmozási célú visszatérítendő támogatások, kölcsönök törlesztése áht-n belülre</t>
  </si>
  <si>
    <t>Felhalmozási célú garancia- és kezességvállalásból származó kifizetés áht-n kívülre</t>
  </si>
  <si>
    <t>Felhalmozási célú visszatérítendő támogatások, kölcsönök nyújtása áht-n kívülre</t>
  </si>
  <si>
    <t>Települési önkormányzatok szociális és gyermekjóléti  feladatainak támogatása</t>
  </si>
  <si>
    <t>22. melléklet</t>
  </si>
  <si>
    <t>Előirányzat felhasználási terv (E Ft)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</si>
  <si>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</si>
  <si>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</si>
  <si>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</si>
  <si>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</si>
  <si>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</si>
  <si>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</si>
  <si>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</si>
  <si>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</si>
  <si>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</si>
  <si>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</si>
  <si>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</si>
  <si>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</si>
  <si>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 xml:space="preserve">Munkaadókat terhelő járulékok és szociális hozzájárulási adó                   </t>
  </si>
  <si>
    <t>Központi, irányító szervi támogatások folyósítása működési és felhalm.célra</t>
  </si>
  <si>
    <t>23. melléklet</t>
  </si>
  <si>
    <t>2019. évi terv</t>
  </si>
  <si>
    <t>2020. évi terv</t>
  </si>
  <si>
    <t>Ezt!</t>
  </si>
  <si>
    <t>2017 tény</t>
  </si>
  <si>
    <t>Helyi adó, egyéb közhatalmi bevételek és a működési támogatások (Ft)</t>
  </si>
  <si>
    <t>Polgármesteri illetmény támogatása</t>
  </si>
  <si>
    <t>Bölcsődei üzemeltetés támogatás</t>
  </si>
  <si>
    <t>Bölcsődei dajka, nevelő,szaktanácsadók bértámogatása</t>
  </si>
  <si>
    <t>"88lakás" földszintjének megvásárlása</t>
  </si>
  <si>
    <t>"88lakás" földszintjének megvásárlása ÁFA</t>
  </si>
  <si>
    <t>Kiadások - Bevételek (Ft)</t>
  </si>
  <si>
    <t>Az egységes rovatrend szerint a kiemelt kiadási és bevételi jogcímek ( Ft)</t>
  </si>
  <si>
    <t>Támogatások, kölcsönök bevételei és a felhalmozási bevételek (Ft)</t>
  </si>
  <si>
    <t>Beruházások és felújítások (Ft)</t>
  </si>
  <si>
    <t>Általános- és céltartalékok (Ft)</t>
  </si>
  <si>
    <t>vezető, igazgató, elnök, igazgató-helyettes, elnök-helyettes, hivatalvezető, hivatalvezető-helyettes, a költségvetési szerveknél foglalkoztatott egyéb munkavállaló (vezető)</t>
  </si>
  <si>
    <t>felsőfokú végzettségű, a költségvetési szerveknél foglalkoztatott egyéb munkavállaló (nem vezető)</t>
  </si>
  <si>
    <t>középfokú végzettségű, a költségvetési szerveknél foglalkoztatott egyéb munkavállaló (nem vezető)</t>
  </si>
  <si>
    <t>EGYÉB BÉRRENDSZER ÖSSZESEN (18+..+24)</t>
  </si>
  <si>
    <t>VÁLASZTOTT TISZTSÉGVISELŐK ÖSSZESEN (26+..+28)</t>
  </si>
  <si>
    <t>KÖLTSÉGVETÉSI ENGEDÉLYEZETT LÉTSZÁMKERETBE TARTOZÓ FOGLALKOZTATOTTAK LÉTSZÁMA MINDÖSSZESEN (5+17+25+29)</t>
  </si>
  <si>
    <t>2021. évi kifizetés</t>
  </si>
  <si>
    <t>88 lakás földszintjének megvásárlása</t>
  </si>
  <si>
    <t>Barcsi Gyógyfürdő és Rekreációs Központ gázmotoros rendszer  ÁFA</t>
  </si>
  <si>
    <t>Lakosságnak juttatott támogatások, szociális, rászorultsági jellegű ellátások (Ft)</t>
  </si>
  <si>
    <t>2021. évi terv</t>
  </si>
  <si>
    <t>Talajterhelési díj</t>
  </si>
  <si>
    <t>Sóraktárház tető felújítása</t>
  </si>
  <si>
    <t>Iparterület infrastruktúrális fejlesztése</t>
  </si>
  <si>
    <t>Gyerekesély program infrastruktúrális hátterének biztosítása</t>
  </si>
  <si>
    <t>Gyerekesély program infrastruktúrális hátterének biztosítása ÁFA</t>
  </si>
  <si>
    <t>Sóraktárház tető felújítása ÁFA</t>
  </si>
  <si>
    <t>Humán szolgáltatások fejlesztése Barcson felújítás</t>
  </si>
  <si>
    <t>Humán szolgáltatások fejlesztése Barcson felújítás ÁFA</t>
  </si>
  <si>
    <t>Iparterület infrastruktúrális fejlesztése ÁFA</t>
  </si>
  <si>
    <t>Barcs Város Óvodája és Bölcsödéje Deák Ferenc utcai Tagóvodája  ÁFA</t>
  </si>
  <si>
    <t>Humán szolgáltatások fejlesztése Barcson eszközbeszerzés</t>
  </si>
  <si>
    <t>A költségvetési évet követő három év tervezett előirányzatainak keretszámai főbb csoportokban (eFt)</t>
  </si>
  <si>
    <t>A költségvetési hiány külső finanszírozására vagy a költségvetési többlet felhasználására szolgáló finanszírozási bevételek és kiadások  (Ft)</t>
  </si>
  <si>
    <t>Előző év költségvetési maradványának  FELHALMOZÁSRA</t>
  </si>
  <si>
    <t>A belföldi gépjárművek adójának a helyi önkormányzatot megillető része</t>
  </si>
  <si>
    <t>Barcsi Helyi Közösség -Közös Többszörös (Színház , Múzeum felújítás)</t>
  </si>
  <si>
    <t>Barcsi Helyi Közösség -Közös Többszörös (Színház,  Múzeum felújítás) ÁFA</t>
  </si>
  <si>
    <t>Ipatrerület fejlesztéséhez földterület vásárlása</t>
  </si>
  <si>
    <t>Folyószámlahitel</t>
  </si>
  <si>
    <t>Barcs Város Önkormányzata 2019. évi költségvetése</t>
  </si>
  <si>
    <t xml:space="preserve"> 2019. évi költségvetése</t>
  </si>
  <si>
    <t>2022. évi kifizetések</t>
  </si>
  <si>
    <t>2023. év utáni kifizetések</t>
  </si>
  <si>
    <t>Barcs Város Önkormányzata 2019. évi közvetett támogatásai</t>
  </si>
  <si>
    <t>Óvodai és iskolai szociális segítő tevékenység támogatása</t>
  </si>
  <si>
    <t>2018 tény</t>
  </si>
  <si>
    <t>talajterhelési díj</t>
  </si>
  <si>
    <t>Barcs belterületi út pályázat 2019 év</t>
  </si>
  <si>
    <t>Barcs belterületi út pályázat 2019 év ÁFA</t>
  </si>
  <si>
    <t>A Barcsi Járás Integrált gyermekprogramja eszközbeszerzés ÁFA</t>
  </si>
  <si>
    <t>Barcs Drávatamási kerékpárút 515</t>
  </si>
  <si>
    <t>Barcsi Helyi Közösség -Közös Többszörös (Színház , Múzeum felújítás)ÁFA</t>
  </si>
  <si>
    <t>Kiegyenlítő bérrendezési alapból nyújtható támogatás</t>
  </si>
  <si>
    <t>Az európai uniós forrásból finanszírozott támogatással megvalósuló programok, projektek kiadásai, bevételei, valamint a helyi önkormányzat ilyen projektekhez történő hozzájárulásai (Ft)</t>
  </si>
  <si>
    <t>A többéves kihatással járó döntések számszerűsítése évenkénti bontásban és összesítve (Ft)</t>
  </si>
  <si>
    <t>Széchenyi u. 38. felújítása</t>
  </si>
  <si>
    <t>TOP-3.2.2-15-SO1-2016-00002 A barcsi fürdő gázmotoros energetikai fejlesztése     518</t>
  </si>
  <si>
    <t>EFOP-1.5.3-16-2017-00055 ”Kultúrák összefogása a közösségért”        537</t>
  </si>
  <si>
    <t>TOP-5.1.2-15-SO1-2016-00001 Foglalkoztatási Paktum Barcs és térségében         525</t>
  </si>
  <si>
    <t xml:space="preserve"> TOP-4.3.1-15-SO1-2016-00003 Barcs északnyugati városrész infrastrukturális fejlesztése    524</t>
  </si>
  <si>
    <t>TOP-4.3.1-15-SO1-2016-00002 Barcs Klapka utcai szegregátum rehabilitációja           517</t>
  </si>
  <si>
    <t>TOP-2.1.2-16-SO1-2017-00001 Zöld város fejlesztés Barcson         541</t>
  </si>
  <si>
    <t>TOP-7.1.1-16 -2016-00016 Közös Többszörös      529</t>
  </si>
  <si>
    <t>Barcs szennyvíztisztitó fejlesztés            530</t>
  </si>
  <si>
    <t>TOP-3.1.1-15-SO1-2016-00009 Kerékpáros hálózat fejlesztése Barcson        516</t>
  </si>
  <si>
    <t>TOP-1.1.1-16-SO1-2017-00005 Zöldmezős iparterület infrastrukturális fejlesztése Barcson           540</t>
  </si>
  <si>
    <t xml:space="preserve"> EFOP-2.1.2-16-2017-00004 A Barcsi járás integrált térségi gyerekprogramjához szükséges infrastruktúra kialakítása            538</t>
  </si>
  <si>
    <t>EFOP-1.4.2-16-2016-00004 Kezünkben a JÖVŐ- a barcsi járás integrált gyermek programja              531</t>
  </si>
  <si>
    <t>Kerékpáros hálózat fejlesztése Barcson</t>
  </si>
  <si>
    <t>Előleg 2018-ban</t>
  </si>
  <si>
    <t>2017 évben</t>
  </si>
  <si>
    <t>05841</t>
  </si>
  <si>
    <t>K841</t>
  </si>
  <si>
    <t xml:space="preserve">Nagyatádi kórház röntgenvásárlás támogatás </t>
  </si>
  <si>
    <t xml:space="preserve">K84 </t>
  </si>
  <si>
    <t>Egyéb felhalmozási célú támogatások államháztartáson belülre összesen:</t>
  </si>
  <si>
    <t>összege (Ft)</t>
  </si>
  <si>
    <t>2022. évi terv</t>
  </si>
  <si>
    <t>2017. évi    teljesítés</t>
  </si>
  <si>
    <t>2018. évi várható teljesítés</t>
  </si>
  <si>
    <t>2019. évi eredeti ei.</t>
  </si>
  <si>
    <t>Szociális, téli rezsicsökkentéssel kapcsolatos tűzifa juttatás</t>
  </si>
  <si>
    <t>Szociális, téli rezsicsökkentéssel kapcsolatos tűzifa juttatás ÁFA</t>
  </si>
  <si>
    <t>K312</t>
  </si>
  <si>
    <t>K351</t>
  </si>
  <si>
    <t>OK 2019.03.04</t>
  </si>
  <si>
    <t>Barcs Drávaszentes kerékpárút 544</t>
  </si>
  <si>
    <t>a 1/2019.(III. 14. ) önkormányzati rendelethez</t>
  </si>
  <si>
    <t>Módosított e.i.</t>
  </si>
  <si>
    <t>MINDÖSSZESEN</t>
  </si>
  <si>
    <t>Szociális ágazati pótlék</t>
  </si>
  <si>
    <t>Kulturális illetménypótlék</t>
  </si>
  <si>
    <r>
      <t xml:space="preserve">13. melléklet </t>
    </r>
    <r>
      <rPr>
        <b/>
        <vertAlign val="superscript"/>
        <sz val="12"/>
        <color indexed="8"/>
        <rFont val="Times New Roman"/>
        <family val="1"/>
        <charset val="238"/>
      </rPr>
      <t xml:space="preserve"> </t>
    </r>
  </si>
  <si>
    <t>2019.évi bérkompenzáció támogatása</t>
  </si>
  <si>
    <t>Közművelődési érdekeltségnövelő támogatás</t>
  </si>
  <si>
    <t>Gyerekesély program infrastruktúrális hátterének biztosítása eszköz besz.</t>
  </si>
  <si>
    <t>Gyerekesély program infrastruktúrális hátterének bizt. eszköz besz. ÁFA</t>
  </si>
  <si>
    <t>Előző évi elszámolás alapján a helyi önkormányzatok által költségvetési évben visszafizetett támogatások összege</t>
  </si>
  <si>
    <t>Autómentes nap támogatása</t>
  </si>
  <si>
    <t>Saját erő</t>
  </si>
  <si>
    <t>15. melléklet</t>
  </si>
  <si>
    <t>a 4/2020.(III.19. 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</si>
</sst>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\ _F_t_-;\-* #,##0.00\ _F_t_-;_-* \-??\ _F_t_-;_-@_-"/>
    <numFmt numFmtId="165" formatCode="#,###"/>
    <numFmt numFmtId="166" formatCode="\ ##########"/>
    <numFmt numFmtId="167" formatCode="0__"/>
    <numFmt numFmtId="168" formatCode="yyyy/\ mmmm;@"/>
    <numFmt numFmtId="169" formatCode="#,##0.0"/>
  </numFmts>
  <fonts count="82" x14ac:knownFonts="1"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b/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2"/>
      <color indexed="63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vertAlign val="superscript"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i/>
      <sz val="14"/>
      <color indexed="8"/>
      <name val="Times New Roman"/>
      <family val="1"/>
      <charset val="238"/>
    </font>
    <font>
      <sz val="12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i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2"/>
      <color indexed="8"/>
      <name val="Bookman Old Style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sz val="8"/>
      <color indexed="8"/>
      <name val="Tahoma"/>
      <family val="2"/>
      <charset val="238"/>
    </font>
    <font>
      <sz val="8"/>
      <color indexed="8"/>
      <name val="Tahoma"/>
      <family val="2"/>
      <charset val="238"/>
    </font>
    <font>
      <sz val="14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sz val="11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12"/>
      <color indexed="63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1"/>
    </font>
    <font>
      <b/>
      <sz val="10"/>
      <color indexed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i/>
      <u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6"/>
      <name val="Times New Roman"/>
      <family val="1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color indexed="8"/>
      <name val="Calibri"/>
      <family val="2"/>
      <charset val="238"/>
    </font>
    <font>
      <i/>
      <sz val="11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10"/>
      <color indexed="8"/>
      <name val="Times New Roman"/>
      <family val="1"/>
      <charset val="1"/>
    </font>
    <font>
      <sz val="10"/>
      <color indexed="10"/>
      <name val="Times New Roman"/>
      <family val="1"/>
      <charset val="238"/>
    </font>
    <font>
      <sz val="8"/>
      <color indexed="8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1"/>
      <color indexed="10"/>
      <name val="Bookman Old Style"/>
      <family val="1"/>
      <charset val="238"/>
    </font>
    <font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8"/>
      <color rgb="FF424242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0"/>
      <color rgb="FFFF0000"/>
      <name val="Times New Roman"/>
      <family val="1"/>
      <charset val="238"/>
    </font>
    <font>
      <sz val="8"/>
      <name val="Calibri"/>
      <family val="2"/>
      <charset val="238"/>
    </font>
    <font>
      <sz val="12"/>
      <color rgb="FF000000"/>
      <name val="Times New Roman"/>
      <family val="1"/>
      <charset val="238"/>
    </font>
  </fonts>
  <fills count="30">
    <fill>
      <patternFill patternType="none"/>
    </fill>
    <fill>
      <patternFill patternType="gray125"/>
    </fill>
    <fill>
      <patternFill patternType="solid">
        <fgColor indexed="31"/>
        <bgColor indexed="2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24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40"/>
        <bgColor indexed="49"/>
      </patternFill>
    </fill>
    <fill>
      <patternFill patternType="solid">
        <fgColor indexed="9"/>
        <bgColor indexed="26"/>
      </patternFill>
    </fill>
    <fill>
      <patternFill patternType="solid">
        <fgColor rgb="FFE1E5E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26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rgb="FFABA9A5"/>
      </left>
      <right/>
      <top/>
      <bottom style="medium">
        <color rgb="FFABA9A5"/>
      </bottom>
      <diagonal/>
    </border>
    <border>
      <left style="medium">
        <color rgb="FFABA9A5"/>
      </left>
      <right/>
      <top style="medium">
        <color rgb="FFABA9A5"/>
      </top>
      <bottom style="medium">
        <color rgb="FFABA9A5"/>
      </bottom>
      <diagonal/>
    </border>
    <border>
      <left style="medium">
        <color rgb="FFABA9A5"/>
      </left>
      <right style="medium">
        <color rgb="FFABA9A5"/>
      </right>
      <top style="medium">
        <color rgb="FFABA9A5"/>
      </top>
      <bottom style="medium">
        <color rgb="FFABA9A5"/>
      </bottom>
      <diagonal/>
    </border>
    <border>
      <left style="medium">
        <color rgb="FFABA9A5"/>
      </left>
      <right style="medium">
        <color rgb="FFABA9A5"/>
      </right>
      <top/>
      <bottom style="medium">
        <color rgb="FFABA9A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</borders>
  <cellStyleXfs count="92">
    <xf numFmtId="0" fontId="0" fillId="0" borderId="0"/>
    <xf numFmtId="0" fontId="73" fillId="2" borderId="0" applyNumberFormat="0" applyBorder="0" applyAlignment="0" applyProtection="0"/>
    <xf numFmtId="0" fontId="73" fillId="3" borderId="0" applyNumberFormat="0" applyBorder="0" applyAlignment="0" applyProtection="0"/>
    <xf numFmtId="0" fontId="73" fillId="4" borderId="0" applyNumberFormat="0" applyBorder="0" applyAlignment="0" applyProtection="0"/>
    <xf numFmtId="0" fontId="73" fillId="5" borderId="0" applyNumberFormat="0" applyBorder="0" applyAlignment="0" applyProtection="0"/>
    <xf numFmtId="0" fontId="73" fillId="6" borderId="0" applyNumberFormat="0" applyBorder="0" applyAlignment="0" applyProtection="0"/>
    <xf numFmtId="0" fontId="73" fillId="7" borderId="0" applyNumberFormat="0" applyBorder="0" applyAlignment="0" applyProtection="0"/>
    <xf numFmtId="0" fontId="73" fillId="2" borderId="0" applyNumberFormat="0" applyBorder="0" applyAlignment="0" applyProtection="0"/>
    <xf numFmtId="0" fontId="73" fillId="3" borderId="0" applyNumberFormat="0" applyBorder="0" applyAlignment="0" applyProtection="0"/>
    <xf numFmtId="0" fontId="73" fillId="4" borderId="0" applyNumberFormat="0" applyBorder="0" applyAlignment="0" applyProtection="0"/>
    <xf numFmtId="0" fontId="73" fillId="5" borderId="0" applyNumberFormat="0" applyBorder="0" applyAlignment="0" applyProtection="0"/>
    <xf numFmtId="0" fontId="73" fillId="6" borderId="0" applyNumberFormat="0" applyBorder="0" applyAlignment="0" applyProtection="0"/>
    <xf numFmtId="0" fontId="73" fillId="7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73" fillId="8" borderId="0" applyNumberFormat="0" applyBorder="0" applyAlignment="0" applyProtection="0"/>
    <xf numFmtId="0" fontId="73" fillId="11" borderId="0" applyNumberFormat="0" applyBorder="0" applyAlignment="0" applyProtection="0"/>
    <xf numFmtId="0" fontId="73" fillId="8" borderId="0" applyNumberFormat="0" applyBorder="0" applyAlignment="0" applyProtection="0"/>
    <xf numFmtId="0" fontId="73" fillId="9" borderId="0" applyNumberFormat="0" applyBorder="0" applyAlignment="0" applyProtection="0"/>
    <xf numFmtId="0" fontId="73" fillId="10" borderId="0" applyNumberFormat="0" applyBorder="0" applyAlignment="0" applyProtection="0"/>
    <xf numFmtId="0" fontId="73" fillId="5" borderId="0" applyNumberFormat="0" applyBorder="0" applyAlignment="0" applyProtection="0"/>
    <xf numFmtId="0" fontId="73" fillId="8" borderId="0" applyNumberFormat="0" applyBorder="0" applyAlignment="0" applyProtection="0"/>
    <xf numFmtId="0" fontId="73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2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5" fillId="21" borderId="2" applyNumberFormat="0" applyAlignment="0" applyProtection="0"/>
    <xf numFmtId="0" fontId="10" fillId="0" borderId="0" applyNumberFormat="0" applyFill="0" applyBorder="0" applyAlignment="0" applyProtection="0"/>
    <xf numFmtId="164" fontId="73" fillId="0" borderId="0" applyFill="0" applyBorder="0" applyAlignment="0" applyProtection="0"/>
    <xf numFmtId="0" fontId="11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3" fillId="7" borderId="1" applyNumberFormat="0" applyAlignment="0" applyProtection="0"/>
    <xf numFmtId="0" fontId="73" fillId="22" borderId="7" applyNumberFormat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9" borderId="0" applyNumberFormat="0" applyBorder="0" applyAlignment="0" applyProtection="0"/>
    <xf numFmtId="0" fontId="12" fillId="4" borderId="0" applyNumberFormat="0" applyBorder="0" applyAlignment="0" applyProtection="0"/>
    <xf numFmtId="0" fontId="14" fillId="20" borderId="8" applyNumberFormat="0" applyAlignment="0" applyProtection="0"/>
    <xf numFmtId="0" fontId="13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5" fillId="23" borderId="0" applyNumberFormat="0" applyBorder="0" applyAlignment="0" applyProtection="0"/>
    <xf numFmtId="0" fontId="16" fillId="0" borderId="0"/>
    <xf numFmtId="0" fontId="16" fillId="0" borderId="0"/>
    <xf numFmtId="0" fontId="16" fillId="0" borderId="0"/>
    <xf numFmtId="0" fontId="17" fillId="0" borderId="0"/>
    <xf numFmtId="0" fontId="18" fillId="0" borderId="0"/>
    <xf numFmtId="0" fontId="18" fillId="0" borderId="0"/>
    <xf numFmtId="0" fontId="16" fillId="0" borderId="0"/>
    <xf numFmtId="0" fontId="19" fillId="0" borderId="0"/>
    <xf numFmtId="0" fontId="73" fillId="22" borderId="7" applyNumberFormat="0" applyAlignment="0" applyProtection="0"/>
    <xf numFmtId="0" fontId="14" fillId="20" borderId="8" applyNumberFormat="0" applyAlignment="0" applyProtection="0"/>
    <xf numFmtId="0" fontId="2" fillId="3" borderId="0" applyNumberFormat="0" applyBorder="0" applyAlignment="0" applyProtection="0"/>
    <xf numFmtId="0" fontId="15" fillId="23" borderId="0" applyNumberFormat="0" applyBorder="0" applyAlignment="0" applyProtection="0"/>
    <xf numFmtId="0" fontId="4" fillId="20" borderId="1" applyNumberFormat="0" applyAlignment="0" applyProtection="0"/>
    <xf numFmtId="0" fontId="6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11" fillId="0" borderId="0" applyNumberFormat="0" applyFill="0" applyBorder="0" applyAlignment="0" applyProtection="0"/>
    <xf numFmtId="0" fontId="20" fillId="0" borderId="9" applyNumberFormat="0" applyFill="0" applyAlignment="0" applyProtection="0"/>
  </cellStyleXfs>
  <cellXfs count="522">
    <xf numFmtId="0" fontId="0" fillId="0" borderId="0" xfId="0"/>
    <xf numFmtId="0" fontId="21" fillId="0" borderId="0" xfId="79" applyFont="1"/>
    <xf numFmtId="3" fontId="21" fillId="0" borderId="0" xfId="79" applyNumberFormat="1" applyFont="1"/>
    <xf numFmtId="3" fontId="21" fillId="0" borderId="0" xfId="79" applyNumberFormat="1" applyFont="1" applyAlignment="1">
      <alignment horizontal="right"/>
    </xf>
    <xf numFmtId="0" fontId="22" fillId="0" borderId="0" xfId="0" applyFont="1" applyAlignment="1">
      <alignment horizontal="center" wrapText="1"/>
    </xf>
    <xf numFmtId="165" fontId="23" fillId="0" borderId="0" xfId="82" applyNumberFormat="1" applyFont="1" applyAlignment="1">
      <alignment horizontal="center" vertical="center"/>
    </xf>
    <xf numFmtId="0" fontId="24" fillId="0" borderId="0" xfId="79" applyFont="1"/>
    <xf numFmtId="0" fontId="21" fillId="0" borderId="0" xfId="78" applyFont="1"/>
    <xf numFmtId="0" fontId="23" fillId="0" borderId="0" xfId="79" applyFont="1" applyAlignment="1">
      <alignment horizontal="right"/>
    </xf>
    <xf numFmtId="0" fontId="25" fillId="0" borderId="0" xfId="0" applyFont="1" applyAlignment="1">
      <alignment horizontal="justify" wrapText="1"/>
    </xf>
    <xf numFmtId="0" fontId="21" fillId="0" borderId="0" xfId="79" applyFont="1" applyAlignment="1">
      <alignment horizontal="right"/>
    </xf>
    <xf numFmtId="0" fontId="21" fillId="0" borderId="0" xfId="79" applyFont="1" applyAlignment="1">
      <alignment horizontal="left"/>
    </xf>
    <xf numFmtId="3" fontId="21" fillId="0" borderId="0" xfId="0" applyNumberFormat="1" applyFont="1" applyAlignment="1">
      <alignment horizontal="left" vertical="center"/>
    </xf>
    <xf numFmtId="0" fontId="26" fillId="0" borderId="0" xfId="0" applyFont="1"/>
    <xf numFmtId="3" fontId="26" fillId="0" borderId="0" xfId="0" applyNumberFormat="1" applyFont="1"/>
    <xf numFmtId="0" fontId="27" fillId="0" borderId="0" xfId="0" applyFont="1" applyAlignment="1">
      <alignment horizontal="right"/>
    </xf>
    <xf numFmtId="3" fontId="27" fillId="0" borderId="0" xfId="0" applyNumberFormat="1" applyFont="1" applyAlignment="1">
      <alignment horizontal="right"/>
    </xf>
    <xf numFmtId="0" fontId="29" fillId="0" borderId="0" xfId="0" applyFont="1" applyAlignment="1">
      <alignment horizontal="center" wrapText="1"/>
    </xf>
    <xf numFmtId="0" fontId="30" fillId="0" borderId="0" xfId="0" applyFont="1" applyAlignment="1">
      <alignment horizontal="center" wrapText="1"/>
    </xf>
    <xf numFmtId="0" fontId="27" fillId="0" borderId="10" xfId="0" applyFont="1" applyBorder="1" applyAlignment="1">
      <alignment horizontal="center" vertical="center"/>
    </xf>
    <xf numFmtId="3" fontId="26" fillId="0" borderId="10" xfId="0" applyNumberFormat="1" applyFont="1" applyBorder="1" applyAlignment="1">
      <alignment horizontal="center" vertical="center" wrapText="1"/>
    </xf>
    <xf numFmtId="3" fontId="27" fillId="0" borderId="10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10" xfId="0" applyFont="1" applyBorder="1"/>
    <xf numFmtId="3" fontId="26" fillId="0" borderId="10" xfId="0" applyNumberFormat="1" applyFont="1" applyBorder="1"/>
    <xf numFmtId="3" fontId="27" fillId="0" borderId="10" xfId="0" applyNumberFormat="1" applyFont="1" applyBorder="1"/>
    <xf numFmtId="0" fontId="27" fillId="0" borderId="10" xfId="0" applyFont="1" applyBorder="1"/>
    <xf numFmtId="0" fontId="27" fillId="0" borderId="0" xfId="0" applyFont="1"/>
    <xf numFmtId="0" fontId="27" fillId="11" borderId="10" xfId="0" applyFont="1" applyFill="1" applyBorder="1"/>
    <xf numFmtId="3" fontId="27" fillId="11" borderId="10" xfId="0" applyNumberFormat="1" applyFont="1" applyFill="1" applyBorder="1"/>
    <xf numFmtId="0" fontId="31" fillId="0" borderId="0" xfId="0" applyFont="1"/>
    <xf numFmtId="0" fontId="32" fillId="0" borderId="0" xfId="0" applyFont="1"/>
    <xf numFmtId="3" fontId="31" fillId="0" borderId="0" xfId="0" applyNumberFormat="1" applyFont="1"/>
    <xf numFmtId="3" fontId="32" fillId="0" borderId="0" xfId="0" applyNumberFormat="1" applyFont="1"/>
    <xf numFmtId="0" fontId="33" fillId="0" borderId="0" xfId="0" applyFont="1" applyAlignment="1">
      <alignment horizontal="center" wrapText="1"/>
    </xf>
    <xf numFmtId="0" fontId="22" fillId="0" borderId="0" xfId="0" applyFont="1" applyAlignment="1">
      <alignment wrapText="1"/>
    </xf>
    <xf numFmtId="0" fontId="26" fillId="0" borderId="0" xfId="0" applyFont="1" applyAlignment="1">
      <alignment wrapText="1"/>
    </xf>
    <xf numFmtId="0" fontId="27" fillId="0" borderId="0" xfId="0" applyFont="1" applyAlignment="1">
      <alignment wrapText="1"/>
    </xf>
    <xf numFmtId="3" fontId="22" fillId="0" borderId="0" xfId="0" applyNumberFormat="1" applyFont="1" applyAlignment="1">
      <alignment wrapText="1"/>
    </xf>
    <xf numFmtId="3" fontId="26" fillId="0" borderId="0" xfId="0" applyNumberFormat="1" applyFont="1" applyAlignment="1">
      <alignment wrapText="1"/>
    </xf>
    <xf numFmtId="3" fontId="27" fillId="0" borderId="0" xfId="0" applyNumberFormat="1" applyFont="1" applyAlignment="1">
      <alignment wrapText="1"/>
    </xf>
    <xf numFmtId="0" fontId="34" fillId="0" borderId="0" xfId="0" applyFont="1" applyAlignment="1">
      <alignment horizontal="center" wrapText="1"/>
    </xf>
    <xf numFmtId="0" fontId="26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3" fontId="26" fillId="0" borderId="0" xfId="0" applyNumberFormat="1" applyFont="1" applyAlignment="1">
      <alignment horizontal="center" wrapText="1"/>
    </xf>
    <xf numFmtId="3" fontId="27" fillId="0" borderId="0" xfId="0" applyNumberFormat="1" applyFont="1" applyAlignment="1">
      <alignment horizontal="center" wrapText="1"/>
    </xf>
    <xf numFmtId="0" fontId="35" fillId="0" borderId="0" xfId="0" applyFont="1"/>
    <xf numFmtId="0" fontId="27" fillId="0" borderId="10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wrapText="1"/>
    </xf>
    <xf numFmtId="3" fontId="26" fillId="0" borderId="10" xfId="0" applyNumberFormat="1" applyFont="1" applyBorder="1" applyAlignment="1">
      <alignment horizontal="center" wrapText="1"/>
    </xf>
    <xf numFmtId="3" fontId="27" fillId="0" borderId="10" xfId="0" applyNumberFormat="1" applyFont="1" applyBorder="1" applyAlignment="1">
      <alignment horizontal="center" wrapText="1"/>
    </xf>
    <xf numFmtId="0" fontId="26" fillId="0" borderId="10" xfId="0" applyFont="1" applyBorder="1" applyAlignment="1">
      <alignment vertical="center" wrapText="1"/>
    </xf>
    <xf numFmtId="166" fontId="26" fillId="0" borderId="10" xfId="0" applyNumberFormat="1" applyFont="1" applyBorder="1" applyAlignment="1">
      <alignment vertical="center"/>
    </xf>
    <xf numFmtId="0" fontId="26" fillId="0" borderId="10" xfId="0" applyFont="1" applyBorder="1" applyAlignment="1">
      <alignment horizontal="left" vertical="center" wrapText="1"/>
    </xf>
    <xf numFmtId="0" fontId="27" fillId="0" borderId="10" xfId="0" applyFont="1" applyBorder="1" applyAlignment="1">
      <alignment vertical="center" wrapText="1"/>
    </xf>
    <xf numFmtId="166" fontId="27" fillId="0" borderId="10" xfId="0" applyNumberFormat="1" applyFont="1" applyBorder="1" applyAlignment="1">
      <alignment vertical="center"/>
    </xf>
    <xf numFmtId="0" fontId="27" fillId="0" borderId="10" xfId="0" applyFont="1" applyBorder="1" applyAlignment="1">
      <alignment horizontal="left" vertical="center" wrapText="1"/>
    </xf>
    <xf numFmtId="0" fontId="23" fillId="0" borderId="10" xfId="0" applyFont="1" applyBorder="1" applyAlignment="1">
      <alignment horizontal="left" vertical="center" wrapText="1"/>
    </xf>
    <xf numFmtId="0" fontId="21" fillId="0" borderId="10" xfId="0" applyFont="1" applyBorder="1" applyAlignment="1">
      <alignment vertical="center" wrapText="1"/>
    </xf>
    <xf numFmtId="0" fontId="21" fillId="0" borderId="10" xfId="0" applyFont="1" applyBorder="1" applyAlignment="1">
      <alignment vertical="center"/>
    </xf>
    <xf numFmtId="0" fontId="36" fillId="24" borderId="10" xfId="0" applyFont="1" applyFill="1" applyBorder="1"/>
    <xf numFmtId="166" fontId="27" fillId="24" borderId="10" xfId="0" applyNumberFormat="1" applyFont="1" applyFill="1" applyBorder="1" applyAlignment="1">
      <alignment vertical="center"/>
    </xf>
    <xf numFmtId="3" fontId="27" fillId="24" borderId="10" xfId="0" applyNumberFormat="1" applyFont="1" applyFill="1" applyBorder="1"/>
    <xf numFmtId="167" fontId="26" fillId="0" borderId="10" xfId="0" applyNumberFormat="1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27" fillId="0" borderId="10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 wrapText="1"/>
    </xf>
    <xf numFmtId="0" fontId="27" fillId="10" borderId="10" xfId="0" applyFont="1" applyFill="1" applyBorder="1" applyAlignment="1">
      <alignment horizontal="left" vertical="center"/>
    </xf>
    <xf numFmtId="166" fontId="27" fillId="10" borderId="10" xfId="0" applyNumberFormat="1" applyFont="1" applyFill="1" applyBorder="1" applyAlignment="1">
      <alignment vertical="center"/>
    </xf>
    <xf numFmtId="3" fontId="27" fillId="10" borderId="10" xfId="0" applyNumberFormat="1" applyFont="1" applyFill="1" applyBorder="1"/>
    <xf numFmtId="3" fontId="23" fillId="0" borderId="10" xfId="0" applyNumberFormat="1" applyFont="1" applyBorder="1" applyAlignment="1">
      <alignment horizontal="right" vertical="center" wrapText="1"/>
    </xf>
    <xf numFmtId="0" fontId="21" fillId="0" borderId="10" xfId="0" applyFont="1" applyBorder="1" applyAlignment="1">
      <alignment horizontal="left" vertical="center"/>
    </xf>
    <xf numFmtId="3" fontId="23" fillId="0" borderId="10" xfId="0" applyNumberFormat="1" applyFont="1" applyBorder="1" applyAlignment="1">
      <alignment horizontal="right" vertical="center"/>
    </xf>
    <xf numFmtId="0" fontId="23" fillId="0" borderId="10" xfId="0" applyFont="1" applyBorder="1" applyAlignment="1">
      <alignment horizontal="left" vertical="center"/>
    </xf>
    <xf numFmtId="0" fontId="23" fillId="10" borderId="10" xfId="0" applyFont="1" applyFill="1" applyBorder="1" applyAlignment="1">
      <alignment horizontal="left" vertical="center"/>
    </xf>
    <xf numFmtId="0" fontId="27" fillId="10" borderId="10" xfId="0" applyFont="1" applyFill="1" applyBorder="1" applyAlignment="1">
      <alignment horizontal="left" vertical="center" wrapText="1"/>
    </xf>
    <xf numFmtId="3" fontId="23" fillId="10" borderId="10" xfId="0" applyNumberFormat="1" applyFont="1" applyFill="1" applyBorder="1" applyAlignment="1">
      <alignment horizontal="right" vertical="center"/>
    </xf>
    <xf numFmtId="3" fontId="27" fillId="0" borderId="0" xfId="0" applyNumberFormat="1" applyFont="1"/>
    <xf numFmtId="0" fontId="23" fillId="10" borderId="10" xfId="0" applyFont="1" applyFill="1" applyBorder="1" applyAlignment="1">
      <alignment horizontal="left" vertical="center" wrapText="1"/>
    </xf>
    <xf numFmtId="0" fontId="34" fillId="5" borderId="10" xfId="0" applyFont="1" applyFill="1" applyBorder="1" applyAlignment="1">
      <alignment horizontal="left" indent="2"/>
    </xf>
    <xf numFmtId="0" fontId="34" fillId="5" borderId="10" xfId="0" applyFont="1" applyFill="1" applyBorder="1" applyAlignment="1">
      <alignment horizontal="left" vertical="center"/>
    </xf>
    <xf numFmtId="3" fontId="34" fillId="5" borderId="10" xfId="0" applyNumberFormat="1" applyFont="1" applyFill="1" applyBorder="1"/>
    <xf numFmtId="0" fontId="26" fillId="0" borderId="0" xfId="0" applyFont="1" applyAlignment="1">
      <alignment horizontal="right"/>
    </xf>
    <xf numFmtId="0" fontId="39" fillId="0" borderId="0" xfId="0" applyFont="1" applyAlignment="1">
      <alignment wrapText="1"/>
    </xf>
    <xf numFmtId="0" fontId="39" fillId="0" borderId="0" xfId="0" applyFont="1" applyAlignment="1">
      <alignment horizontal="center" wrapText="1"/>
    </xf>
    <xf numFmtId="0" fontId="34" fillId="0" borderId="0" xfId="0" applyFont="1" applyAlignment="1">
      <alignment wrapText="1"/>
    </xf>
    <xf numFmtId="0" fontId="27" fillId="0" borderId="10" xfId="0" applyFont="1" applyBorder="1" applyAlignment="1">
      <alignment horizontal="center" wrapText="1"/>
    </xf>
    <xf numFmtId="0" fontId="40" fillId="0" borderId="0" xfId="0" applyFont="1" applyAlignment="1">
      <alignment horizontal="center"/>
    </xf>
    <xf numFmtId="0" fontId="26" fillId="0" borderId="10" xfId="0" applyFont="1" applyBorder="1" applyAlignment="1">
      <alignment horizontal="left" vertical="center" wrapText="1" indent="1"/>
    </xf>
    <xf numFmtId="3" fontId="40" fillId="0" borderId="0" xfId="0" applyNumberFormat="1" applyFont="1" applyAlignment="1">
      <alignment horizontal="center"/>
    </xf>
    <xf numFmtId="0" fontId="27" fillId="20" borderId="10" xfId="0" applyFont="1" applyFill="1" applyBorder="1" applyAlignment="1">
      <alignment horizontal="left" vertical="center" wrapText="1"/>
    </xf>
    <xf numFmtId="0" fontId="27" fillId="20" borderId="10" xfId="0" applyFont="1" applyFill="1" applyBorder="1" applyAlignment="1">
      <alignment horizontal="left" vertical="center"/>
    </xf>
    <xf numFmtId="3" fontId="27" fillId="20" borderId="10" xfId="0" applyNumberFormat="1" applyFont="1" applyFill="1" applyBorder="1"/>
    <xf numFmtId="3" fontId="40" fillId="20" borderId="0" xfId="0" applyNumberFormat="1" applyFont="1" applyFill="1" applyAlignment="1">
      <alignment horizontal="center"/>
    </xf>
    <xf numFmtId="0" fontId="26" fillId="20" borderId="0" xfId="0" applyFont="1" applyFill="1"/>
    <xf numFmtId="0" fontId="41" fillId="0" borderId="10" xfId="0" applyFont="1" applyBorder="1" applyAlignment="1">
      <alignment horizontal="left" vertical="center" wrapText="1" indent="2"/>
    </xf>
    <xf numFmtId="0" fontId="41" fillId="0" borderId="10" xfId="0" applyFont="1" applyBorder="1" applyAlignment="1">
      <alignment horizontal="left" vertical="center" wrapText="1"/>
    </xf>
    <xf numFmtId="3" fontId="40" fillId="0" borderId="10" xfId="0" applyNumberFormat="1" applyFont="1" applyBorder="1"/>
    <xf numFmtId="0" fontId="21" fillId="0" borderId="10" xfId="0" applyFont="1" applyBorder="1" applyAlignment="1">
      <alignment horizontal="left" vertical="center" wrapText="1" indent="1"/>
    </xf>
    <xf numFmtId="0" fontId="40" fillId="20" borderId="0" xfId="0" applyFont="1" applyFill="1" applyAlignment="1">
      <alignment horizontal="center"/>
    </xf>
    <xf numFmtId="3" fontId="26" fillId="20" borderId="0" xfId="0" applyNumberFormat="1" applyFont="1" applyFill="1" applyAlignment="1">
      <alignment horizontal="center"/>
    </xf>
    <xf numFmtId="0" fontId="21" fillId="0" borderId="10" xfId="82" applyFont="1" applyBorder="1" applyAlignment="1">
      <alignment horizontal="left" vertical="center" wrapText="1" indent="2"/>
    </xf>
    <xf numFmtId="3" fontId="26" fillId="0" borderId="10" xfId="0" applyNumberFormat="1" applyFont="1" applyBorder="1" applyAlignment="1">
      <alignment horizontal="right"/>
    </xf>
    <xf numFmtId="0" fontId="26" fillId="25" borderId="10" xfId="0" applyFont="1" applyFill="1" applyBorder="1" applyAlignment="1">
      <alignment horizontal="left" vertical="top" wrapText="1" indent="3"/>
    </xf>
    <xf numFmtId="0" fontId="27" fillId="20" borderId="10" xfId="0" applyFont="1" applyFill="1" applyBorder="1" applyAlignment="1">
      <alignment vertical="center" wrapText="1"/>
    </xf>
    <xf numFmtId="3" fontId="27" fillId="20" borderId="10" xfId="0" applyNumberFormat="1" applyFont="1" applyFill="1" applyBorder="1" applyAlignment="1">
      <alignment horizontal="right"/>
    </xf>
    <xf numFmtId="3" fontId="27" fillId="20" borderId="0" xfId="0" applyNumberFormat="1" applyFont="1" applyFill="1"/>
    <xf numFmtId="10" fontId="27" fillId="20" borderId="0" xfId="0" applyNumberFormat="1" applyFont="1" applyFill="1"/>
    <xf numFmtId="0" fontId="21" fillId="0" borderId="10" xfId="0" applyFont="1" applyBorder="1" applyAlignment="1">
      <alignment horizontal="left" indent="2"/>
    </xf>
    <xf numFmtId="0" fontId="19" fillId="0" borderId="10" xfId="82" applyBorder="1" applyAlignment="1">
      <alignment horizontal="left" indent="2"/>
    </xf>
    <xf numFmtId="0" fontId="40" fillId="0" borderId="0" xfId="0" applyFont="1"/>
    <xf numFmtId="0" fontId="40" fillId="0" borderId="10" xfId="0" applyFont="1" applyBorder="1" applyAlignment="1">
      <alignment horizontal="left" vertical="center"/>
    </xf>
    <xf numFmtId="3" fontId="40" fillId="0" borderId="10" xfId="0" applyNumberFormat="1" applyFont="1" applyBorder="1" applyAlignment="1">
      <alignment horizontal="right"/>
    </xf>
    <xf numFmtId="0" fontId="27" fillId="20" borderId="10" xfId="0" applyFont="1" applyFill="1" applyBorder="1"/>
    <xf numFmtId="3" fontId="26" fillId="20" borderId="0" xfId="0" applyNumberFormat="1" applyFont="1" applyFill="1"/>
    <xf numFmtId="3" fontId="26" fillId="0" borderId="0" xfId="0" applyNumberFormat="1" applyFont="1" applyAlignment="1">
      <alignment horizontal="right"/>
    </xf>
    <xf numFmtId="3" fontId="18" fillId="0" borderId="0" xfId="0" applyNumberFormat="1" applyFont="1" applyAlignment="1">
      <alignment horizontal="right" vertical="top" wrapText="1"/>
    </xf>
    <xf numFmtId="0" fontId="41" fillId="0" borderId="10" xfId="0" applyFont="1" applyBorder="1" applyAlignment="1">
      <alignment horizontal="left" vertical="center" wrapText="1" indent="1"/>
    </xf>
    <xf numFmtId="0" fontId="40" fillId="0" borderId="10" xfId="0" applyFont="1" applyBorder="1" applyAlignment="1">
      <alignment horizontal="left" vertical="center" wrapText="1" indent="1"/>
    </xf>
    <xf numFmtId="0" fontId="43" fillId="0" borderId="0" xfId="0" applyFont="1"/>
    <xf numFmtId="0" fontId="44" fillId="20" borderId="10" xfId="0" applyFont="1" applyFill="1" applyBorder="1"/>
    <xf numFmtId="0" fontId="34" fillId="20" borderId="10" xfId="0" applyFont="1" applyFill="1" applyBorder="1" applyAlignment="1">
      <alignment horizontal="left" vertical="center"/>
    </xf>
    <xf numFmtId="3" fontId="34" fillId="20" borderId="10" xfId="0" applyNumberFormat="1" applyFont="1" applyFill="1" applyBorder="1"/>
    <xf numFmtId="0" fontId="43" fillId="20" borderId="0" xfId="0" applyFont="1" applyFill="1"/>
    <xf numFmtId="0" fontId="44" fillId="0" borderId="10" xfId="0" applyFont="1" applyBorder="1"/>
    <xf numFmtId="3" fontId="34" fillId="0" borderId="10" xfId="0" applyNumberFormat="1" applyFont="1" applyBorder="1"/>
    <xf numFmtId="0" fontId="41" fillId="0" borderId="10" xfId="82" applyFont="1" applyBorder="1" applyAlignment="1">
      <alignment horizontal="left" vertical="center" wrapText="1" indent="1"/>
    </xf>
    <xf numFmtId="0" fontId="27" fillId="20" borderId="11" xfId="0" applyFont="1" applyFill="1" applyBorder="1" applyAlignment="1">
      <alignment horizontal="left" vertical="center" wrapText="1"/>
    </xf>
    <xf numFmtId="0" fontId="27" fillId="20" borderId="11" xfId="0" applyFont="1" applyFill="1" applyBorder="1" applyAlignment="1">
      <alignment horizontal="left" vertical="center"/>
    </xf>
    <xf numFmtId="3" fontId="27" fillId="20" borderId="11" xfId="0" applyNumberFormat="1" applyFont="1" applyFill="1" applyBorder="1"/>
    <xf numFmtId="0" fontId="21" fillId="0" borderId="12" xfId="0" applyFont="1" applyBorder="1" applyAlignment="1">
      <alignment horizontal="left" vertical="center" wrapText="1"/>
    </xf>
    <xf numFmtId="0" fontId="26" fillId="0" borderId="12" xfId="0" applyFont="1" applyBorder="1" applyAlignment="1">
      <alignment horizontal="left" vertical="center"/>
    </xf>
    <xf numFmtId="3" fontId="26" fillId="0" borderId="12" xfId="0" applyNumberFormat="1" applyFont="1" applyBorder="1"/>
    <xf numFmtId="10" fontId="26" fillId="20" borderId="0" xfId="0" applyNumberFormat="1" applyFont="1" applyFill="1"/>
    <xf numFmtId="0" fontId="26" fillId="0" borderId="12" xfId="0" applyFont="1" applyBorder="1" applyAlignment="1">
      <alignment horizontal="left" vertical="center" wrapText="1"/>
    </xf>
    <xf numFmtId="3" fontId="27" fillId="0" borderId="13" xfId="0" applyNumberFormat="1" applyFont="1" applyBorder="1"/>
    <xf numFmtId="0" fontId="40" fillId="0" borderId="10" xfId="0" applyFont="1" applyBorder="1" applyAlignment="1">
      <alignment horizontal="left" vertical="center" wrapText="1"/>
    </xf>
    <xf numFmtId="0" fontId="23" fillId="20" borderId="10" xfId="0" applyFont="1" applyFill="1" applyBorder="1" applyAlignment="1">
      <alignment horizontal="left" vertical="center" wrapText="1"/>
    </xf>
    <xf numFmtId="3" fontId="21" fillId="0" borderId="10" xfId="82" applyNumberFormat="1" applyFont="1" applyBorder="1" applyAlignment="1" applyProtection="1">
      <alignment horizontal="right" vertical="center" wrapText="1"/>
      <protection locked="0"/>
    </xf>
    <xf numFmtId="3" fontId="45" fillId="20" borderId="0" xfId="0" applyNumberFormat="1" applyFont="1" applyFill="1"/>
    <xf numFmtId="0" fontId="40" fillId="0" borderId="10" xfId="0" applyFont="1" applyBorder="1" applyAlignment="1">
      <alignment horizontal="left" indent="1"/>
    </xf>
    <xf numFmtId="0" fontId="34" fillId="20" borderId="10" xfId="0" applyFont="1" applyFill="1" applyBorder="1"/>
    <xf numFmtId="0" fontId="34" fillId="0" borderId="10" xfId="0" applyFont="1" applyBorder="1"/>
    <xf numFmtId="0" fontId="46" fillId="0" borderId="0" xfId="0" applyFont="1"/>
    <xf numFmtId="0" fontId="47" fillId="0" borderId="0" xfId="0" applyFont="1" applyAlignment="1">
      <alignment horizontal="right"/>
    </xf>
    <xf numFmtId="0" fontId="46" fillId="0" borderId="0" xfId="0" applyFont="1" applyAlignment="1">
      <alignment horizontal="center" wrapText="1"/>
    </xf>
    <xf numFmtId="0" fontId="46" fillId="0" borderId="0" xfId="0" applyFont="1" applyAlignment="1">
      <alignment wrapText="1"/>
    </xf>
    <xf numFmtId="0" fontId="30" fillId="0" borderId="0" xfId="0" applyFont="1"/>
    <xf numFmtId="0" fontId="26" fillId="0" borderId="10" xfId="0" applyFont="1" applyBorder="1" applyAlignment="1">
      <alignment horizontal="center" vertical="center" wrapText="1"/>
    </xf>
    <xf numFmtId="0" fontId="47" fillId="0" borderId="10" xfId="0" applyFont="1" applyBorder="1" applyAlignment="1">
      <alignment horizontal="center" vertical="center"/>
    </xf>
    <xf numFmtId="0" fontId="47" fillId="0" borderId="10" xfId="0" applyFont="1" applyBorder="1" applyAlignment="1">
      <alignment horizontal="center" vertical="center" wrapText="1"/>
    </xf>
    <xf numFmtId="0" fontId="45" fillId="0" borderId="10" xfId="0" applyFont="1" applyBorder="1" applyAlignment="1">
      <alignment horizontal="center" wrapText="1"/>
    </xf>
    <xf numFmtId="0" fontId="47" fillId="0" borderId="10" xfId="0" applyFont="1" applyBorder="1" applyAlignment="1">
      <alignment wrapText="1"/>
    </xf>
    <xf numFmtId="0" fontId="46" fillId="20" borderId="0" xfId="0" applyFont="1" applyFill="1"/>
    <xf numFmtId="0" fontId="21" fillId="0" borderId="10" xfId="82" applyFont="1" applyBorder="1" applyAlignment="1">
      <alignment horizontal="left" vertical="center" wrapText="1" indent="3"/>
    </xf>
    <xf numFmtId="0" fontId="33" fillId="20" borderId="10" xfId="0" applyFont="1" applyFill="1" applyBorder="1" applyAlignment="1">
      <alignment horizontal="left" vertical="center" wrapText="1" indent="1"/>
    </xf>
    <xf numFmtId="0" fontId="48" fillId="20" borderId="10" xfId="0" applyFont="1" applyFill="1" applyBorder="1"/>
    <xf numFmtId="3" fontId="48" fillId="20" borderId="10" xfId="0" applyNumberFormat="1" applyFont="1" applyFill="1" applyBorder="1"/>
    <xf numFmtId="0" fontId="48" fillId="20" borderId="0" xfId="0" applyFont="1" applyFill="1"/>
    <xf numFmtId="0" fontId="45" fillId="0" borderId="0" xfId="0" applyFont="1"/>
    <xf numFmtId="0" fontId="49" fillId="0" borderId="0" xfId="0" applyFont="1"/>
    <xf numFmtId="0" fontId="49" fillId="0" borderId="0" xfId="0" applyFont="1" applyAlignment="1">
      <alignment horizontal="right"/>
    </xf>
    <xf numFmtId="3" fontId="49" fillId="0" borderId="0" xfId="0" applyNumberFormat="1" applyFont="1" applyAlignment="1">
      <alignment horizontal="right"/>
    </xf>
    <xf numFmtId="0" fontId="45" fillId="0" borderId="0" xfId="0" applyFont="1" applyAlignment="1">
      <alignment horizontal="right"/>
    </xf>
    <xf numFmtId="0" fontId="50" fillId="0" borderId="0" xfId="0" applyFont="1"/>
    <xf numFmtId="0" fontId="45" fillId="0" borderId="0" xfId="0" applyFont="1" applyAlignment="1">
      <alignment horizontal="center"/>
    </xf>
    <xf numFmtId="0" fontId="30" fillId="0" borderId="0" xfId="0" applyFont="1" applyAlignment="1">
      <alignment horizontal="center" vertical="top" wrapText="1"/>
    </xf>
    <xf numFmtId="0" fontId="45" fillId="0" borderId="10" xfId="0" applyFont="1" applyBorder="1" applyAlignment="1">
      <alignment horizontal="center"/>
    </xf>
    <xf numFmtId="0" fontId="45" fillId="0" borderId="0" xfId="0" applyFont="1" applyAlignment="1">
      <alignment horizontal="center" vertical="center"/>
    </xf>
    <xf numFmtId="0" fontId="45" fillId="0" borderId="10" xfId="0" applyFont="1" applyBorder="1" applyAlignment="1">
      <alignment horizontal="center" vertical="center" wrapText="1"/>
    </xf>
    <xf numFmtId="0" fontId="45" fillId="0" borderId="10" xfId="0" applyFont="1" applyBorder="1" applyAlignment="1">
      <alignment vertical="center" wrapText="1"/>
    </xf>
    <xf numFmtId="166" fontId="45" fillId="0" borderId="10" xfId="0" applyNumberFormat="1" applyFont="1" applyBorder="1" applyAlignment="1">
      <alignment vertical="center"/>
    </xf>
    <xf numFmtId="3" fontId="45" fillId="0" borderId="10" xfId="0" applyNumberFormat="1" applyFont="1" applyBorder="1"/>
    <xf numFmtId="3" fontId="45" fillId="0" borderId="12" xfId="0" applyNumberFormat="1" applyFont="1" applyBorder="1"/>
    <xf numFmtId="3" fontId="47" fillId="0" borderId="10" xfId="0" applyNumberFormat="1" applyFont="1" applyBorder="1"/>
    <xf numFmtId="0" fontId="45" fillId="0" borderId="10" xfId="0" applyFont="1" applyBorder="1"/>
    <xf numFmtId="0" fontId="45" fillId="0" borderId="10" xfId="0" applyFont="1" applyBorder="1" applyAlignment="1">
      <alignment horizontal="left" vertical="center" wrapText="1"/>
    </xf>
    <xf numFmtId="0" fontId="45" fillId="20" borderId="0" xfId="0" applyFont="1" applyFill="1"/>
    <xf numFmtId="0" fontId="47" fillId="20" borderId="10" xfId="0" applyFont="1" applyFill="1" applyBorder="1" applyAlignment="1">
      <alignment vertical="center" wrapText="1"/>
    </xf>
    <xf numFmtId="166" fontId="47" fillId="20" borderId="10" xfId="0" applyNumberFormat="1" applyFont="1" applyFill="1" applyBorder="1" applyAlignment="1">
      <alignment vertical="center"/>
    </xf>
    <xf numFmtId="3" fontId="47" fillId="20" borderId="10" xfId="0" applyNumberFormat="1" applyFont="1" applyFill="1" applyBorder="1"/>
    <xf numFmtId="0" fontId="47" fillId="20" borderId="10" xfId="0" applyFont="1" applyFill="1" applyBorder="1" applyAlignment="1">
      <alignment horizontal="left" vertical="center" wrapText="1"/>
    </xf>
    <xf numFmtId="3" fontId="45" fillId="20" borderId="10" xfId="0" applyNumberFormat="1" applyFont="1" applyFill="1" applyBorder="1"/>
    <xf numFmtId="3" fontId="45" fillId="20" borderId="12" xfId="0" applyNumberFormat="1" applyFont="1" applyFill="1" applyBorder="1"/>
    <xf numFmtId="0" fontId="51" fillId="20" borderId="10" xfId="0" applyFont="1" applyFill="1" applyBorder="1" applyAlignment="1">
      <alignment horizontal="left" vertical="center" wrapText="1"/>
    </xf>
    <xf numFmtId="0" fontId="52" fillId="0" borderId="10" xfId="0" applyFont="1" applyBorder="1" applyAlignment="1">
      <alignment vertical="center" wrapText="1"/>
    </xf>
    <xf numFmtId="0" fontId="52" fillId="0" borderId="10" xfId="0" applyFont="1" applyBorder="1" applyAlignment="1">
      <alignment vertical="center"/>
    </xf>
    <xf numFmtId="0" fontId="53" fillId="24" borderId="10" xfId="0" applyFont="1" applyFill="1" applyBorder="1"/>
    <xf numFmtId="166" fontId="47" fillId="24" borderId="10" xfId="0" applyNumberFormat="1" applyFont="1" applyFill="1" applyBorder="1" applyAlignment="1">
      <alignment vertical="center"/>
    </xf>
    <xf numFmtId="3" fontId="47" fillId="24" borderId="10" xfId="0" applyNumberFormat="1" applyFont="1" applyFill="1" applyBorder="1"/>
    <xf numFmtId="167" fontId="45" fillId="0" borderId="10" xfId="0" applyNumberFormat="1" applyFont="1" applyBorder="1" applyAlignment="1">
      <alignment horizontal="left" vertical="center"/>
    </xf>
    <xf numFmtId="0" fontId="45" fillId="0" borderId="10" xfId="0" applyFont="1" applyBorder="1" applyAlignment="1">
      <alignment horizontal="left" vertical="center"/>
    </xf>
    <xf numFmtId="0" fontId="47" fillId="20" borderId="10" xfId="0" applyFont="1" applyFill="1" applyBorder="1" applyAlignment="1">
      <alignment horizontal="left" vertical="center"/>
    </xf>
    <xf numFmtId="0" fontId="52" fillId="0" borderId="10" xfId="0" applyFont="1" applyBorder="1" applyAlignment="1">
      <alignment horizontal="left" vertical="center" wrapText="1"/>
    </xf>
    <xf numFmtId="0" fontId="47" fillId="10" borderId="10" xfId="0" applyFont="1" applyFill="1" applyBorder="1" applyAlignment="1">
      <alignment horizontal="left" vertical="center"/>
    </xf>
    <xf numFmtId="166" fontId="47" fillId="10" borderId="10" xfId="0" applyNumberFormat="1" applyFont="1" applyFill="1" applyBorder="1" applyAlignment="1">
      <alignment vertical="center"/>
    </xf>
    <xf numFmtId="3" fontId="47" fillId="10" borderId="10" xfId="0" applyNumberFormat="1" applyFont="1" applyFill="1" applyBorder="1"/>
    <xf numFmtId="0" fontId="52" fillId="0" borderId="10" xfId="0" applyFont="1" applyBorder="1" applyAlignment="1">
      <alignment horizontal="left" vertical="center"/>
    </xf>
    <xf numFmtId="3" fontId="51" fillId="0" borderId="10" xfId="0" applyNumberFormat="1" applyFont="1" applyBorder="1" applyAlignment="1">
      <alignment horizontal="right" vertical="center"/>
    </xf>
    <xf numFmtId="3" fontId="52" fillId="0" borderId="10" xfId="0" applyNumberFormat="1" applyFont="1" applyBorder="1" applyAlignment="1">
      <alignment horizontal="right" vertical="center" wrapText="1"/>
    </xf>
    <xf numFmtId="0" fontId="51" fillId="10" borderId="10" xfId="0" applyFont="1" applyFill="1" applyBorder="1" applyAlignment="1">
      <alignment horizontal="left" vertical="center"/>
    </xf>
    <xf numFmtId="0" fontId="47" fillId="10" borderId="10" xfId="0" applyFont="1" applyFill="1" applyBorder="1" applyAlignment="1">
      <alignment horizontal="left" vertical="center" wrapText="1"/>
    </xf>
    <xf numFmtId="3" fontId="51" fillId="10" borderId="10" xfId="0" applyNumberFormat="1" applyFont="1" applyFill="1" applyBorder="1" applyAlignment="1">
      <alignment horizontal="right" vertical="center"/>
    </xf>
    <xf numFmtId="0" fontId="47" fillId="11" borderId="10" xfId="0" applyFont="1" applyFill="1" applyBorder="1"/>
    <xf numFmtId="3" fontId="47" fillId="11" borderId="10" xfId="0" applyNumberFormat="1" applyFont="1" applyFill="1" applyBorder="1"/>
    <xf numFmtId="0" fontId="47" fillId="0" borderId="0" xfId="0" applyFont="1"/>
    <xf numFmtId="3" fontId="47" fillId="0" borderId="0" xfId="0" applyNumberFormat="1" applyFont="1"/>
    <xf numFmtId="3" fontId="47" fillId="20" borderId="12" xfId="0" applyNumberFormat="1" applyFont="1" applyFill="1" applyBorder="1"/>
    <xf numFmtId="0" fontId="51" fillId="10" borderId="10" xfId="0" applyFont="1" applyFill="1" applyBorder="1" applyAlignment="1">
      <alignment horizontal="left" vertical="center" wrapText="1"/>
    </xf>
    <xf numFmtId="0" fontId="54" fillId="5" borderId="10" xfId="0" applyFont="1" applyFill="1" applyBorder="1" applyAlignment="1">
      <alignment horizontal="left" indent="2"/>
    </xf>
    <xf numFmtId="0" fontId="54" fillId="5" borderId="10" xfId="0" applyFont="1" applyFill="1" applyBorder="1" applyAlignment="1">
      <alignment horizontal="left" vertical="center"/>
    </xf>
    <xf numFmtId="3" fontId="54" fillId="5" borderId="10" xfId="0" applyNumberFormat="1" applyFont="1" applyFill="1" applyBorder="1"/>
    <xf numFmtId="0" fontId="51" fillId="0" borderId="10" xfId="0" applyFont="1" applyBorder="1" applyAlignment="1">
      <alignment horizontal="left" vertical="center" wrapText="1"/>
    </xf>
    <xf numFmtId="0" fontId="47" fillId="0" borderId="10" xfId="0" applyFont="1" applyBorder="1" applyAlignment="1">
      <alignment horizontal="left" vertical="center" wrapText="1"/>
    </xf>
    <xf numFmtId="0" fontId="51" fillId="0" borderId="10" xfId="0" applyFont="1" applyBorder="1" applyAlignment="1">
      <alignment horizontal="left" vertical="center"/>
    </xf>
    <xf numFmtId="0" fontId="55" fillId="0" borderId="10" xfId="0" applyFont="1" applyBorder="1" applyAlignment="1">
      <alignment horizontal="left" vertical="center" indent="1"/>
    </xf>
    <xf numFmtId="0" fontId="55" fillId="0" borderId="10" xfId="0" applyFont="1" applyBorder="1" applyAlignment="1">
      <alignment horizontal="left" vertical="center" indent="4"/>
    </xf>
    <xf numFmtId="0" fontId="56" fillId="0" borderId="0" xfId="0" applyFont="1" applyAlignment="1">
      <alignment horizontal="center" wrapText="1"/>
    </xf>
    <xf numFmtId="3" fontId="21" fillId="0" borderId="10" xfId="0" applyNumberFormat="1" applyFont="1" applyBorder="1" applyAlignment="1">
      <alignment horizontal="right" vertical="center" wrapText="1"/>
    </xf>
    <xf numFmtId="0" fontId="57" fillId="0" borderId="0" xfId="0" applyFont="1" applyAlignment="1">
      <alignment horizontal="left" vertical="center"/>
    </xf>
    <xf numFmtId="0" fontId="57" fillId="0" borderId="0" xfId="0" applyFont="1" applyAlignment="1">
      <alignment horizontal="left" vertical="center" wrapText="1"/>
    </xf>
    <xf numFmtId="0" fontId="58" fillId="0" borderId="0" xfId="0" applyFont="1" applyAlignment="1">
      <alignment horizontal="left" vertical="center"/>
    </xf>
    <xf numFmtId="0" fontId="59" fillId="0" borderId="0" xfId="0" applyFont="1"/>
    <xf numFmtId="0" fontId="41" fillId="0" borderId="10" xfId="0" applyFont="1" applyBorder="1" applyAlignment="1">
      <alignment horizontal="left" vertical="center" indent="1"/>
    </xf>
    <xf numFmtId="0" fontId="41" fillId="0" borderId="10" xfId="0" applyFont="1" applyBorder="1" applyAlignment="1">
      <alignment horizontal="left" vertical="center" indent="4"/>
    </xf>
    <xf numFmtId="0" fontId="60" fillId="0" borderId="0" xfId="0" applyFont="1" applyAlignment="1">
      <alignment wrapText="1"/>
    </xf>
    <xf numFmtId="0" fontId="48" fillId="0" borderId="0" xfId="0" applyFont="1"/>
    <xf numFmtId="0" fontId="61" fillId="0" borderId="10" xfId="0" applyFont="1" applyBorder="1" applyAlignment="1">
      <alignment horizontal="center" vertical="center" wrapText="1"/>
    </xf>
    <xf numFmtId="0" fontId="64" fillId="0" borderId="0" xfId="0" applyFont="1" applyAlignment="1">
      <alignment horizontal="center"/>
    </xf>
    <xf numFmtId="0" fontId="45" fillId="20" borderId="10" xfId="0" applyFont="1" applyFill="1" applyBorder="1" applyAlignment="1">
      <alignment horizontal="center"/>
    </xf>
    <xf numFmtId="0" fontId="52" fillId="0" borderId="0" xfId="0" applyFont="1" applyAlignment="1">
      <alignment horizontal="left" vertical="center" wrapText="1"/>
    </xf>
    <xf numFmtId="0" fontId="45" fillId="0" borderId="0" xfId="0" applyFont="1" applyAlignment="1">
      <alignment horizontal="center" wrapText="1"/>
    </xf>
    <xf numFmtId="0" fontId="52" fillId="0" borderId="0" xfId="0" applyFont="1" applyAlignment="1">
      <alignment horizontal="center"/>
    </xf>
    <xf numFmtId="0" fontId="65" fillId="0" borderId="0" xfId="0" applyFont="1" applyAlignment="1">
      <alignment horizontal="center"/>
    </xf>
    <xf numFmtId="0" fontId="45" fillId="0" borderId="0" xfId="0" applyFont="1" applyAlignment="1">
      <alignment wrapText="1"/>
    </xf>
    <xf numFmtId="3" fontId="21" fillId="0" borderId="0" xfId="0" applyNumberFormat="1" applyFont="1"/>
    <xf numFmtId="0" fontId="66" fillId="0" borderId="0" xfId="0" applyFont="1"/>
    <xf numFmtId="3" fontId="23" fillId="0" borderId="0" xfId="0" applyNumberFormat="1" applyFont="1" applyAlignment="1">
      <alignment horizontal="right"/>
    </xf>
    <xf numFmtId="0" fontId="21" fillId="0" borderId="0" xfId="0" applyFont="1" applyAlignment="1">
      <alignment wrapText="1"/>
    </xf>
    <xf numFmtId="0" fontId="33" fillId="0" borderId="0" xfId="0" applyFont="1" applyAlignment="1">
      <alignment wrapText="1"/>
    </xf>
    <xf numFmtId="0" fontId="33" fillId="0" borderId="0" xfId="0" applyFont="1" applyAlignment="1">
      <alignment horizontal="center" vertical="center" wrapText="1"/>
    </xf>
    <xf numFmtId="0" fontId="40" fillId="0" borderId="0" xfId="0" applyFont="1" applyAlignment="1">
      <alignment horizontal="center" wrapText="1"/>
    </xf>
    <xf numFmtId="3" fontId="41" fillId="0" borderId="0" xfId="0" applyNumberFormat="1" applyFont="1" applyAlignment="1">
      <alignment horizontal="center" wrapText="1"/>
    </xf>
    <xf numFmtId="0" fontId="66" fillId="0" borderId="0" xfId="0" applyFont="1" applyAlignment="1">
      <alignment horizontal="center" vertical="center"/>
    </xf>
    <xf numFmtId="3" fontId="23" fillId="0" borderId="10" xfId="0" applyNumberFormat="1" applyFont="1" applyBorder="1" applyAlignment="1">
      <alignment horizontal="center" vertical="center"/>
    </xf>
    <xf numFmtId="0" fontId="34" fillId="0" borderId="10" xfId="0" applyFont="1" applyBorder="1" applyAlignment="1">
      <alignment horizontal="left"/>
    </xf>
    <xf numFmtId="3" fontId="21" fillId="0" borderId="10" xfId="0" applyNumberFormat="1" applyFont="1" applyBorder="1"/>
    <xf numFmtId="0" fontId="21" fillId="0" borderId="16" xfId="0" applyFont="1" applyBorder="1" applyAlignment="1">
      <alignment horizontal="left" vertical="center" wrapText="1" indent="1"/>
    </xf>
    <xf numFmtId="3" fontId="21" fillId="0" borderId="10" xfId="0" applyNumberFormat="1" applyFont="1" applyBorder="1" applyAlignment="1">
      <alignment horizontal="right"/>
    </xf>
    <xf numFmtId="0" fontId="21" fillId="0" borderId="16" xfId="0" applyFont="1" applyBorder="1" applyAlignment="1">
      <alignment vertical="center" wrapText="1"/>
    </xf>
    <xf numFmtId="0" fontId="23" fillId="20" borderId="10" xfId="0" applyFont="1" applyFill="1" applyBorder="1" applyAlignment="1">
      <alignment vertical="center" wrapText="1"/>
    </xf>
    <xf numFmtId="3" fontId="23" fillId="20" borderId="10" xfId="0" applyNumberFormat="1" applyFont="1" applyFill="1" applyBorder="1"/>
    <xf numFmtId="0" fontId="26" fillId="0" borderId="0" xfId="0" applyFont="1" applyAlignment="1">
      <alignment horizontal="left"/>
    </xf>
    <xf numFmtId="3" fontId="23" fillId="0" borderId="0" xfId="0" applyNumberFormat="1" applyFont="1"/>
    <xf numFmtId="0" fontId="22" fillId="0" borderId="10" xfId="0" applyFont="1" applyBorder="1" applyAlignment="1">
      <alignment horizontal="center" vertical="center"/>
    </xf>
    <xf numFmtId="0" fontId="41" fillId="0" borderId="10" xfId="78" applyFont="1" applyBorder="1" applyAlignment="1">
      <alignment horizontal="left" indent="3"/>
    </xf>
    <xf numFmtId="0" fontId="40" fillId="0" borderId="10" xfId="0" applyFont="1" applyBorder="1" applyAlignment="1">
      <alignment horizontal="left" vertical="center" wrapText="1" indent="3"/>
    </xf>
    <xf numFmtId="0" fontId="41" fillId="0" borderId="10" xfId="0" applyFont="1" applyBorder="1" applyAlignment="1">
      <alignment horizontal="left" vertical="center" wrapText="1" indent="3"/>
    </xf>
    <xf numFmtId="0" fontId="34" fillId="0" borderId="0" xfId="0" applyFont="1"/>
    <xf numFmtId="0" fontId="33" fillId="20" borderId="10" xfId="0" applyFont="1" applyFill="1" applyBorder="1" applyAlignment="1">
      <alignment vertical="center" wrapText="1"/>
    </xf>
    <xf numFmtId="0" fontId="34" fillId="20" borderId="10" xfId="0" applyFont="1" applyFill="1" applyBorder="1" applyAlignment="1">
      <alignment horizontal="left" vertical="center" wrapText="1"/>
    </xf>
    <xf numFmtId="0" fontId="34" fillId="20" borderId="0" xfId="0" applyFont="1" applyFill="1"/>
    <xf numFmtId="0" fontId="33" fillId="0" borderId="10" xfId="0" applyFont="1" applyBorder="1" applyAlignment="1">
      <alignment vertical="center"/>
    </xf>
    <xf numFmtId="0" fontId="34" fillId="0" borderId="10" xfId="0" applyFont="1" applyBorder="1" applyAlignment="1">
      <alignment horizontal="left" vertical="center" wrapText="1"/>
    </xf>
    <xf numFmtId="0" fontId="33" fillId="20" borderId="10" xfId="0" applyFont="1" applyFill="1" applyBorder="1" applyAlignment="1">
      <alignment vertical="center"/>
    </xf>
    <xf numFmtId="0" fontId="33" fillId="20" borderId="10" xfId="0" applyFont="1" applyFill="1" applyBorder="1" applyAlignment="1">
      <alignment horizontal="left" vertical="center" wrapText="1"/>
    </xf>
    <xf numFmtId="0" fontId="41" fillId="0" borderId="10" xfId="78" applyFont="1" applyBorder="1" applyAlignment="1">
      <alignment horizontal="left" indent="4"/>
    </xf>
    <xf numFmtId="0" fontId="23" fillId="20" borderId="10" xfId="0" applyFont="1" applyFill="1" applyBorder="1" applyAlignment="1">
      <alignment vertical="center"/>
    </xf>
    <xf numFmtId="0" fontId="23" fillId="0" borderId="10" xfId="0" applyFont="1" applyBorder="1" applyAlignment="1">
      <alignment vertical="center"/>
    </xf>
    <xf numFmtId="0" fontId="40" fillId="0" borderId="10" xfId="0" applyFont="1" applyBorder="1" applyAlignment="1">
      <alignment horizontal="left" vertical="center" wrapText="1" indent="4"/>
    </xf>
    <xf numFmtId="0" fontId="41" fillId="0" borderId="10" xfId="0" applyFont="1" applyBorder="1" applyAlignment="1">
      <alignment horizontal="left" vertical="center" wrapText="1" indent="4"/>
    </xf>
    <xf numFmtId="0" fontId="23" fillId="0" borderId="10" xfId="0" applyFont="1" applyBorder="1" applyAlignment="1">
      <alignment vertical="center" wrapText="1"/>
    </xf>
    <xf numFmtId="0" fontId="33" fillId="0" borderId="10" xfId="0" applyFont="1" applyBorder="1" applyAlignment="1">
      <alignment horizontal="center" vertical="center" wrapText="1"/>
    </xf>
    <xf numFmtId="0" fontId="21" fillId="0" borderId="10" xfId="0" applyFont="1" applyBorder="1"/>
    <xf numFmtId="0" fontId="52" fillId="0" borderId="10" xfId="78" applyFont="1" applyBorder="1"/>
    <xf numFmtId="0" fontId="33" fillId="20" borderId="10" xfId="0" applyFont="1" applyFill="1" applyBorder="1"/>
    <xf numFmtId="3" fontId="33" fillId="20" borderId="10" xfId="0" applyNumberFormat="1" applyFont="1" applyFill="1" applyBorder="1"/>
    <xf numFmtId="0" fontId="23" fillId="20" borderId="10" xfId="0" applyFont="1" applyFill="1" applyBorder="1"/>
    <xf numFmtId="0" fontId="21" fillId="20" borderId="10" xfId="0" applyFont="1" applyFill="1" applyBorder="1"/>
    <xf numFmtId="0" fontId="52" fillId="0" borderId="0" xfId="80" applyFont="1"/>
    <xf numFmtId="0" fontId="21" fillId="0" borderId="0" xfId="80" applyFont="1"/>
    <xf numFmtId="0" fontId="52" fillId="0" borderId="0" xfId="81" applyFont="1" applyAlignment="1">
      <alignment horizontal="right"/>
    </xf>
    <xf numFmtId="0" fontId="52" fillId="0" borderId="11" xfId="81" applyFont="1" applyBorder="1" applyAlignment="1">
      <alignment horizontal="center" wrapText="1"/>
    </xf>
    <xf numFmtId="0" fontId="52" fillId="0" borderId="20" xfId="81" applyFont="1" applyBorder="1" applyAlignment="1">
      <alignment horizontal="center" wrapText="1"/>
    </xf>
    <xf numFmtId="0" fontId="52" fillId="0" borderId="17" xfId="81" applyFont="1" applyBorder="1" applyAlignment="1">
      <alignment horizontal="center"/>
    </xf>
    <xf numFmtId="0" fontId="52" fillId="0" borderId="18" xfId="81" applyFont="1" applyBorder="1" applyAlignment="1">
      <alignment horizontal="center"/>
    </xf>
    <xf numFmtId="0" fontId="52" fillId="0" borderId="21" xfId="81" applyFont="1" applyBorder="1" applyAlignment="1">
      <alignment horizontal="center"/>
    </xf>
    <xf numFmtId="0" fontId="21" fillId="0" borderId="22" xfId="81" applyFont="1" applyBorder="1" applyAlignment="1">
      <alignment horizontal="center" vertical="center"/>
    </xf>
    <xf numFmtId="0" fontId="21" fillId="0" borderId="12" xfId="81" applyFont="1" applyBorder="1" applyAlignment="1">
      <alignment horizontal="center" vertical="center" wrapText="1"/>
    </xf>
    <xf numFmtId="0" fontId="21" fillId="0" borderId="12" xfId="81" applyFont="1" applyBorder="1" applyAlignment="1">
      <alignment horizontal="center" vertical="center"/>
    </xf>
    <xf numFmtId="3" fontId="21" fillId="0" borderId="23" xfId="81" applyNumberFormat="1" applyFont="1" applyBorder="1" applyAlignment="1">
      <alignment horizontal="right" vertical="center" indent="1"/>
    </xf>
    <xf numFmtId="0" fontId="52" fillId="0" borderId="0" xfId="80" applyFont="1" applyAlignment="1">
      <alignment horizontal="center" vertical="center"/>
    </xf>
    <xf numFmtId="0" fontId="21" fillId="0" borderId="24" xfId="81" applyFont="1" applyBorder="1" applyAlignment="1">
      <alignment horizontal="center" vertical="center"/>
    </xf>
    <xf numFmtId="0" fontId="21" fillId="0" borderId="10" xfId="81" applyFont="1" applyBorder="1" applyAlignment="1">
      <alignment horizontal="center" vertical="center" wrapText="1"/>
    </xf>
    <xf numFmtId="0" fontId="21" fillId="0" borderId="10" xfId="81" applyFont="1" applyBorder="1" applyAlignment="1">
      <alignment horizontal="center" vertical="center"/>
    </xf>
    <xf numFmtId="3" fontId="21" fillId="0" borderId="25" xfId="81" applyNumberFormat="1" applyFont="1" applyBorder="1" applyAlignment="1">
      <alignment horizontal="right" vertical="center" indent="1"/>
    </xf>
    <xf numFmtId="0" fontId="52" fillId="0" borderId="24" xfId="81" applyFont="1" applyBorder="1" applyAlignment="1">
      <alignment horizontal="center" vertical="center"/>
    </xf>
    <xf numFmtId="0" fontId="52" fillId="0" borderId="26" xfId="81" applyFont="1" applyBorder="1" applyAlignment="1">
      <alignment horizontal="center" vertical="center"/>
    </xf>
    <xf numFmtId="0" fontId="21" fillId="0" borderId="27" xfId="81" applyFont="1" applyBorder="1" applyAlignment="1">
      <alignment horizontal="center" vertical="center" wrapText="1"/>
    </xf>
    <xf numFmtId="0" fontId="21" fillId="0" borderId="27" xfId="81" applyFont="1" applyBorder="1" applyAlignment="1">
      <alignment horizontal="center" vertical="center"/>
    </xf>
    <xf numFmtId="3" fontId="21" fillId="0" borderId="28" xfId="81" applyNumberFormat="1" applyFont="1" applyBorder="1" applyAlignment="1">
      <alignment horizontal="right" vertical="center" indent="1"/>
    </xf>
    <xf numFmtId="3" fontId="67" fillId="20" borderId="21" xfId="81" applyNumberFormat="1" applyFont="1" applyFill="1" applyBorder="1" applyAlignment="1">
      <alignment horizontal="right" indent="1"/>
    </xf>
    <xf numFmtId="0" fontId="39" fillId="0" borderId="0" xfId="0" applyFont="1" applyAlignment="1">
      <alignment horizontal="right" wrapText="1"/>
    </xf>
    <xf numFmtId="0" fontId="26" fillId="0" borderId="10" xfId="0" applyFont="1" applyBorder="1" applyAlignment="1">
      <alignment horizontal="right" wrapText="1"/>
    </xf>
    <xf numFmtId="166" fontId="27" fillId="20" borderId="10" xfId="0" applyNumberFormat="1" applyFont="1" applyFill="1" applyBorder="1" applyAlignment="1">
      <alignment vertical="center"/>
    </xf>
    <xf numFmtId="0" fontId="36" fillId="20" borderId="10" xfId="0" applyFont="1" applyFill="1" applyBorder="1"/>
    <xf numFmtId="3" fontId="23" fillId="20" borderId="10" xfId="0" applyNumberFormat="1" applyFont="1" applyFill="1" applyBorder="1" applyAlignment="1">
      <alignment horizontal="right" vertical="center" wrapText="1"/>
    </xf>
    <xf numFmtId="0" fontId="23" fillId="20" borderId="10" xfId="0" applyFont="1" applyFill="1" applyBorder="1" applyAlignment="1">
      <alignment horizontal="left" vertical="center"/>
    </xf>
    <xf numFmtId="3" fontId="23" fillId="20" borderId="10" xfId="0" applyNumberFormat="1" applyFont="1" applyFill="1" applyBorder="1" applyAlignment="1">
      <alignment horizontal="right" vertical="center"/>
    </xf>
    <xf numFmtId="0" fontId="34" fillId="20" borderId="10" xfId="0" applyFont="1" applyFill="1" applyBorder="1" applyAlignment="1">
      <alignment horizontal="left" indent="2"/>
    </xf>
    <xf numFmtId="3" fontId="0" fillId="0" borderId="0" xfId="0" applyNumberFormat="1"/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68" fillId="0" borderId="0" xfId="0" applyFont="1" applyAlignment="1">
      <alignment wrapText="1"/>
    </xf>
    <xf numFmtId="0" fontId="69" fillId="0" borderId="0" xfId="0" applyFont="1"/>
    <xf numFmtId="3" fontId="70" fillId="0" borderId="10" xfId="0" applyNumberFormat="1" applyFont="1" applyBorder="1" applyAlignment="1">
      <alignment horizontal="center" vertical="center"/>
    </xf>
    <xf numFmtId="168" fontId="70" fillId="0" borderId="10" xfId="0" applyNumberFormat="1" applyFont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3" fontId="27" fillId="0" borderId="10" xfId="0" applyNumberFormat="1" applyFont="1" applyBorder="1" applyAlignment="1">
      <alignment vertical="center"/>
    </xf>
    <xf numFmtId="3" fontId="69" fillId="0" borderId="0" xfId="0" applyNumberFormat="1" applyFont="1"/>
    <xf numFmtId="3" fontId="27" fillId="20" borderId="10" xfId="0" applyNumberFormat="1" applyFont="1" applyFill="1" applyBorder="1" applyAlignment="1">
      <alignment vertical="center"/>
    </xf>
    <xf numFmtId="3" fontId="69" fillId="20" borderId="0" xfId="0" applyNumberFormat="1" applyFont="1" applyFill="1"/>
    <xf numFmtId="0" fontId="69" fillId="20" borderId="0" xfId="0" applyFont="1" applyFill="1"/>
    <xf numFmtId="0" fontId="0" fillId="20" borderId="0" xfId="0" applyFill="1"/>
    <xf numFmtId="0" fontId="69" fillId="0" borderId="10" xfId="0" applyFont="1" applyBorder="1"/>
    <xf numFmtId="3" fontId="69" fillId="0" borderId="10" xfId="0" applyNumberFormat="1" applyFont="1" applyBorder="1"/>
    <xf numFmtId="0" fontId="27" fillId="11" borderId="0" xfId="0" applyFont="1" applyFill="1"/>
    <xf numFmtId="3" fontId="27" fillId="11" borderId="0" xfId="0" applyNumberFormat="1" applyFont="1" applyFill="1"/>
    <xf numFmtId="0" fontId="21" fillId="0" borderId="0" xfId="0" applyFont="1"/>
    <xf numFmtId="0" fontId="21" fillId="0" borderId="0" xfId="0" applyFont="1" applyAlignment="1">
      <alignment horizontal="center" wrapText="1"/>
    </xf>
    <xf numFmtId="0" fontId="72" fillId="0" borderId="0" xfId="0" applyFont="1"/>
    <xf numFmtId="0" fontId="27" fillId="0" borderId="0" xfId="0" applyFont="1" applyAlignment="1">
      <alignment horizontal="justify" wrapText="1"/>
    </xf>
    <xf numFmtId="168" fontId="70" fillId="0" borderId="10" xfId="0" applyNumberFormat="1" applyFont="1" applyBorder="1" applyAlignment="1">
      <alignment horizontal="center" vertical="center" wrapText="1"/>
    </xf>
    <xf numFmtId="0" fontId="40" fillId="0" borderId="0" xfId="0" applyFont="1" applyAlignment="1">
      <alignment horizontal="justify" wrapText="1"/>
    </xf>
    <xf numFmtId="0" fontId="26" fillId="0" borderId="0" xfId="0" applyFont="1" applyAlignment="1">
      <alignment horizontal="justify" wrapText="1"/>
    </xf>
    <xf numFmtId="3" fontId="23" fillId="0" borderId="10" xfId="0" applyNumberFormat="1" applyFont="1" applyBorder="1" applyAlignment="1">
      <alignment vertical="center"/>
    </xf>
    <xf numFmtId="3" fontId="26" fillId="0" borderId="10" xfId="0" applyNumberFormat="1" applyFont="1" applyBorder="1" applyAlignment="1">
      <alignment vertical="center"/>
    </xf>
    <xf numFmtId="3" fontId="72" fillId="0" borderId="0" xfId="0" applyNumberFormat="1" applyFont="1"/>
    <xf numFmtId="0" fontId="48" fillId="0" borderId="0" xfId="0" applyFont="1" applyAlignment="1">
      <alignment horizontal="right"/>
    </xf>
    <xf numFmtId="0" fontId="48" fillId="0" borderId="0" xfId="0" applyFont="1" applyAlignment="1">
      <alignment wrapText="1"/>
    </xf>
    <xf numFmtId="0" fontId="48" fillId="0" borderId="0" xfId="0" applyFont="1" applyAlignment="1">
      <alignment horizontal="center" wrapText="1"/>
    </xf>
    <xf numFmtId="0" fontId="46" fillId="0" borderId="10" xfId="0" applyFont="1" applyBorder="1" applyAlignment="1">
      <alignment horizontal="center" wrapText="1"/>
    </xf>
    <xf numFmtId="0" fontId="48" fillId="0" borderId="10" xfId="0" applyFont="1" applyBorder="1" applyAlignment="1">
      <alignment horizontal="center" wrapText="1"/>
    </xf>
    <xf numFmtId="3" fontId="46" fillId="0" borderId="10" xfId="0" applyNumberFormat="1" applyFont="1" applyBorder="1"/>
    <xf numFmtId="3" fontId="48" fillId="0" borderId="10" xfId="0" applyNumberFormat="1" applyFont="1" applyBorder="1"/>
    <xf numFmtId="3" fontId="48" fillId="24" borderId="10" xfId="0" applyNumberFormat="1" applyFont="1" applyFill="1" applyBorder="1"/>
    <xf numFmtId="3" fontId="48" fillId="10" borderId="10" xfId="0" applyNumberFormat="1" applyFont="1" applyFill="1" applyBorder="1"/>
    <xf numFmtId="3" fontId="74" fillId="0" borderId="10" xfId="0" applyNumberFormat="1" applyFont="1" applyBorder="1" applyAlignment="1">
      <alignment horizontal="right" vertical="center" wrapText="1"/>
    </xf>
    <xf numFmtId="3" fontId="74" fillId="0" borderId="10" xfId="0" applyNumberFormat="1" applyFont="1" applyBorder="1" applyAlignment="1">
      <alignment horizontal="right" vertical="center"/>
    </xf>
    <xf numFmtId="3" fontId="74" fillId="10" borderId="10" xfId="0" applyNumberFormat="1" applyFont="1" applyFill="1" applyBorder="1" applyAlignment="1">
      <alignment horizontal="right" vertical="center"/>
    </xf>
    <xf numFmtId="3" fontId="48" fillId="11" borderId="10" xfId="0" applyNumberFormat="1" applyFont="1" applyFill="1" applyBorder="1"/>
    <xf numFmtId="3" fontId="46" fillId="0" borderId="0" xfId="0" applyNumberFormat="1" applyFont="1"/>
    <xf numFmtId="3" fontId="48" fillId="0" borderId="0" xfId="0" applyNumberFormat="1" applyFont="1"/>
    <xf numFmtId="3" fontId="46" fillId="0" borderId="10" xfId="0" applyNumberFormat="1" applyFont="1" applyBorder="1" applyAlignment="1">
      <alignment horizontal="center" wrapText="1"/>
    </xf>
    <xf numFmtId="3" fontId="48" fillId="0" borderId="10" xfId="0" applyNumberFormat="1" applyFont="1" applyBorder="1" applyAlignment="1">
      <alignment horizontal="center" wrapText="1"/>
    </xf>
    <xf numFmtId="3" fontId="75" fillId="5" borderId="10" xfId="0" applyNumberFormat="1" applyFont="1" applyFill="1" applyBorder="1"/>
    <xf numFmtId="0" fontId="20" fillId="0" borderId="0" xfId="0" applyFont="1"/>
    <xf numFmtId="0" fontId="76" fillId="26" borderId="29" xfId="0" applyFont="1" applyFill="1" applyBorder="1" applyAlignment="1">
      <alignment horizontal="left" vertical="top" wrapText="1"/>
    </xf>
    <xf numFmtId="0" fontId="76" fillId="26" borderId="30" xfId="0" applyFont="1" applyFill="1" applyBorder="1" applyAlignment="1">
      <alignment horizontal="left" vertical="top" wrapText="1"/>
    </xf>
    <xf numFmtId="0" fontId="76" fillId="26" borderId="31" xfId="0" applyFont="1" applyFill="1" applyBorder="1" applyAlignment="1">
      <alignment horizontal="center" vertical="top" wrapText="1"/>
    </xf>
    <xf numFmtId="0" fontId="76" fillId="26" borderId="32" xfId="0" applyFont="1" applyFill="1" applyBorder="1" applyAlignment="1">
      <alignment horizontal="center" vertical="top" wrapText="1"/>
    </xf>
    <xf numFmtId="0" fontId="45" fillId="20" borderId="27" xfId="0" applyFont="1" applyFill="1" applyBorder="1" applyAlignment="1">
      <alignment horizontal="center"/>
    </xf>
    <xf numFmtId="0" fontId="45" fillId="0" borderId="12" xfId="0" applyFont="1" applyBorder="1" applyAlignment="1">
      <alignment horizontal="center"/>
    </xf>
    <xf numFmtId="0" fontId="45" fillId="0" borderId="33" xfId="0" applyFont="1" applyBorder="1" applyAlignment="1">
      <alignment horizontal="center"/>
    </xf>
    <xf numFmtId="4" fontId="52" fillId="0" borderId="33" xfId="0" applyNumberFormat="1" applyFont="1" applyBorder="1" applyAlignment="1">
      <alignment horizontal="right" vertical="center" wrapText="1"/>
    </xf>
    <xf numFmtId="3" fontId="60" fillId="0" borderId="10" xfId="0" applyNumberFormat="1" applyFont="1" applyBorder="1"/>
    <xf numFmtId="0" fontId="26" fillId="0" borderId="15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 wrapText="1" indent="1"/>
    </xf>
    <xf numFmtId="0" fontId="41" fillId="0" borderId="33" xfId="0" applyFont="1" applyBorder="1" applyAlignment="1">
      <alignment horizontal="left" vertical="center" wrapText="1" indent="1"/>
    </xf>
    <xf numFmtId="0" fontId="21" fillId="0" borderId="10" xfId="0" applyFont="1" applyBorder="1" applyAlignment="1">
      <alignment horizontal="center"/>
    </xf>
    <xf numFmtId="3" fontId="26" fillId="0" borderId="34" xfId="0" applyNumberFormat="1" applyFont="1" applyBorder="1"/>
    <xf numFmtId="0" fontId="27" fillId="20" borderId="27" xfId="0" applyFont="1" applyFill="1" applyBorder="1" applyAlignment="1">
      <alignment horizontal="left" vertical="center" wrapText="1"/>
    </xf>
    <xf numFmtId="0" fontId="27" fillId="20" borderId="27" xfId="0" applyFont="1" applyFill="1" applyBorder="1" applyAlignment="1">
      <alignment horizontal="left" vertical="center"/>
    </xf>
    <xf numFmtId="3" fontId="27" fillId="20" borderId="27" xfId="0" applyNumberFormat="1" applyFont="1" applyFill="1" applyBorder="1"/>
    <xf numFmtId="0" fontId="27" fillId="0" borderId="12" xfId="0" applyFont="1" applyBorder="1"/>
    <xf numFmtId="0" fontId="27" fillId="0" borderId="12" xfId="0" applyFont="1" applyBorder="1" applyAlignment="1">
      <alignment horizontal="center" vertical="center" wrapText="1"/>
    </xf>
    <xf numFmtId="3" fontId="26" fillId="0" borderId="12" xfId="0" applyNumberFormat="1" applyFont="1" applyBorder="1" applyAlignment="1">
      <alignment horizontal="center" wrapText="1"/>
    </xf>
    <xf numFmtId="0" fontId="40" fillId="0" borderId="33" xfId="0" applyFont="1" applyBorder="1" applyAlignment="1">
      <alignment horizontal="left" vertical="center" wrapText="1"/>
    </xf>
    <xf numFmtId="3" fontId="26" fillId="0" borderId="33" xfId="0" applyNumberFormat="1" applyFont="1" applyBorder="1"/>
    <xf numFmtId="3" fontId="27" fillId="0" borderId="33" xfId="0" applyNumberFormat="1" applyFont="1" applyBorder="1"/>
    <xf numFmtId="0" fontId="27" fillId="20" borderId="33" xfId="0" applyFont="1" applyFill="1" applyBorder="1" applyAlignment="1">
      <alignment horizontal="left" vertical="center" wrapText="1"/>
    </xf>
    <xf numFmtId="3" fontId="27" fillId="20" borderId="33" xfId="0" applyNumberFormat="1" applyFont="1" applyFill="1" applyBorder="1"/>
    <xf numFmtId="4" fontId="31" fillId="0" borderId="0" xfId="0" applyNumberFormat="1" applyFont="1"/>
    <xf numFmtId="3" fontId="45" fillId="0" borderId="0" xfId="0" applyNumberFormat="1" applyFont="1"/>
    <xf numFmtId="0" fontId="45" fillId="0" borderId="33" xfId="0" applyFont="1" applyBorder="1" applyAlignment="1">
      <alignment horizontal="center" vertical="center" wrapText="1"/>
    </xf>
    <xf numFmtId="3" fontId="45" fillId="0" borderId="33" xfId="0" applyNumberFormat="1" applyFont="1" applyBorder="1"/>
    <xf numFmtId="0" fontId="79" fillId="0" borderId="0" xfId="0" applyFont="1" applyAlignment="1">
      <alignment horizontal="center"/>
    </xf>
    <xf numFmtId="0" fontId="79" fillId="0" borderId="0" xfId="0" applyFont="1"/>
    <xf numFmtId="3" fontId="45" fillId="28" borderId="10" xfId="0" applyNumberFormat="1" applyFont="1" applyFill="1" applyBorder="1"/>
    <xf numFmtId="0" fontId="48" fillId="0" borderId="33" xfId="0" applyFont="1" applyBorder="1" applyAlignment="1">
      <alignment horizontal="center" vertical="center" wrapText="1"/>
    </xf>
    <xf numFmtId="3" fontId="47" fillId="28" borderId="10" xfId="0" applyNumberFormat="1" applyFont="1" applyFill="1" applyBorder="1"/>
    <xf numFmtId="0" fontId="47" fillId="0" borderId="16" xfId="0" applyFont="1" applyBorder="1" applyAlignment="1">
      <alignment horizontal="center" vertical="center" wrapText="1"/>
    </xf>
    <xf numFmtId="0" fontId="34" fillId="0" borderId="0" xfId="0" applyFont="1" applyAlignment="1">
      <alignment horizontal="left"/>
    </xf>
    <xf numFmtId="166" fontId="45" fillId="0" borderId="12" xfId="0" applyNumberFormat="1" applyFont="1" applyBorder="1" applyAlignment="1">
      <alignment vertical="center"/>
    </xf>
    <xf numFmtId="0" fontId="47" fillId="0" borderId="33" xfId="0" applyFont="1" applyBorder="1" applyAlignment="1">
      <alignment horizontal="center" vertical="center" wrapText="1"/>
    </xf>
    <xf numFmtId="3" fontId="49" fillId="0" borderId="0" xfId="0" applyNumberFormat="1" applyFont="1"/>
    <xf numFmtId="3" fontId="45" fillId="0" borderId="0" xfId="0" applyNumberFormat="1" applyFont="1" applyAlignment="1">
      <alignment horizontal="center"/>
    </xf>
    <xf numFmtId="3" fontId="47" fillId="0" borderId="33" xfId="0" applyNumberFormat="1" applyFont="1" applyBorder="1" applyAlignment="1">
      <alignment horizontal="center" vertical="center" wrapText="1"/>
    </xf>
    <xf numFmtId="3" fontId="45" fillId="0" borderId="12" xfId="0" applyNumberFormat="1" applyFont="1" applyBorder="1" applyAlignment="1">
      <alignment vertical="center"/>
    </xf>
    <xf numFmtId="3" fontId="45" fillId="0" borderId="10" xfId="0" applyNumberFormat="1" applyFont="1" applyBorder="1" applyAlignment="1">
      <alignment vertical="center"/>
    </xf>
    <xf numFmtId="3" fontId="47" fillId="20" borderId="10" xfId="0" applyNumberFormat="1" applyFont="1" applyFill="1" applyBorder="1" applyAlignment="1">
      <alignment vertical="center"/>
    </xf>
    <xf numFmtId="3" fontId="45" fillId="0" borderId="10" xfId="0" applyNumberFormat="1" applyFont="1" applyBorder="1" applyAlignment="1">
      <alignment horizontal="left" vertical="center" wrapText="1"/>
    </xf>
    <xf numFmtId="3" fontId="45" fillId="0" borderId="12" xfId="0" applyNumberFormat="1" applyFont="1" applyBorder="1" applyAlignment="1">
      <alignment horizontal="left" vertical="center"/>
    </xf>
    <xf numFmtId="3" fontId="45" fillId="0" borderId="10" xfId="0" applyNumberFormat="1" applyFont="1" applyBorder="1" applyAlignment="1">
      <alignment horizontal="left" vertical="center"/>
    </xf>
    <xf numFmtId="3" fontId="47" fillId="20" borderId="10" xfId="0" applyNumberFormat="1" applyFont="1" applyFill="1" applyBorder="1" applyAlignment="1">
      <alignment horizontal="left" vertical="center"/>
    </xf>
    <xf numFmtId="3" fontId="54" fillId="5" borderId="10" xfId="0" applyNumberFormat="1" applyFont="1" applyFill="1" applyBorder="1" applyAlignment="1">
      <alignment horizontal="left" vertical="center"/>
    </xf>
    <xf numFmtId="3" fontId="47" fillId="0" borderId="10" xfId="0" applyNumberFormat="1" applyFont="1" applyBorder="1" applyAlignment="1">
      <alignment horizontal="left" vertical="center" wrapText="1"/>
    </xf>
    <xf numFmtId="3" fontId="45" fillId="28" borderId="12" xfId="0" applyNumberFormat="1" applyFont="1" applyFill="1" applyBorder="1" applyAlignment="1">
      <alignment vertical="center"/>
    </xf>
    <xf numFmtId="0" fontId="47" fillId="0" borderId="35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left" vertical="center"/>
    </xf>
    <xf numFmtId="3" fontId="45" fillId="0" borderId="15" xfId="0" applyNumberFormat="1" applyFont="1" applyBorder="1"/>
    <xf numFmtId="3" fontId="45" fillId="0" borderId="27" xfId="0" applyNumberFormat="1" applyFont="1" applyBorder="1" applyAlignment="1">
      <alignment horizontal="left" vertical="center"/>
    </xf>
    <xf numFmtId="3" fontId="45" fillId="0" borderId="33" xfId="0" applyNumberFormat="1" applyFont="1" applyBorder="1" applyAlignment="1">
      <alignment vertical="center"/>
    </xf>
    <xf numFmtId="3" fontId="45" fillId="28" borderId="12" xfId="0" applyNumberFormat="1" applyFont="1" applyFill="1" applyBorder="1"/>
    <xf numFmtId="0" fontId="0" fillId="0" borderId="36" xfId="0" quotePrefix="1" applyBorder="1" applyAlignment="1">
      <alignment horizontal="center"/>
    </xf>
    <xf numFmtId="3" fontId="34" fillId="0" borderId="15" xfId="0" applyNumberFormat="1" applyFont="1" applyBorder="1"/>
    <xf numFmtId="0" fontId="34" fillId="0" borderId="12" xfId="0" applyFont="1" applyBorder="1"/>
    <xf numFmtId="3" fontId="34" fillId="0" borderId="12" xfId="0" applyNumberFormat="1" applyFont="1" applyBorder="1"/>
    <xf numFmtId="0" fontId="34" fillId="0" borderId="33" xfId="0" applyFont="1" applyBorder="1"/>
    <xf numFmtId="3" fontId="34" fillId="0" borderId="33" xfId="0" applyNumberFormat="1" applyFont="1" applyBorder="1"/>
    <xf numFmtId="0" fontId="41" fillId="0" borderId="33" xfId="0" applyFont="1" applyBorder="1" applyAlignment="1">
      <alignment horizontal="left" wrapText="1" indent="1"/>
    </xf>
    <xf numFmtId="0" fontId="21" fillId="28" borderId="33" xfId="0" applyFont="1" applyFill="1" applyBorder="1" applyAlignment="1">
      <alignment horizontal="left" wrapText="1"/>
    </xf>
    <xf numFmtId="0" fontId="34" fillId="28" borderId="33" xfId="0" applyFont="1" applyFill="1" applyBorder="1"/>
    <xf numFmtId="3" fontId="34" fillId="28" borderId="33" xfId="0" applyNumberFormat="1" applyFont="1" applyFill="1" applyBorder="1"/>
    <xf numFmtId="0" fontId="62" fillId="0" borderId="16" xfId="75" applyFont="1" applyBorder="1" applyAlignment="1">
      <alignment horizontal="center" vertical="center" wrapText="1"/>
    </xf>
    <xf numFmtId="0" fontId="52" fillId="0" borderId="16" xfId="75" applyFont="1" applyBorder="1" applyAlignment="1">
      <alignment horizontal="left" vertical="center" wrapText="1"/>
    </xf>
    <xf numFmtId="0" fontId="51" fillId="20" borderId="16" xfId="75" applyFont="1" applyFill="1" applyBorder="1" applyAlignment="1">
      <alignment horizontal="left" vertical="center" wrapText="1"/>
    </xf>
    <xf numFmtId="0" fontId="51" fillId="20" borderId="37" xfId="75" applyFont="1" applyFill="1" applyBorder="1" applyAlignment="1">
      <alignment horizontal="left" vertical="center" wrapText="1"/>
    </xf>
    <xf numFmtId="0" fontId="76" fillId="27" borderId="38" xfId="0" applyFont="1" applyFill="1" applyBorder="1" applyAlignment="1">
      <alignment horizontal="left" vertical="top" wrapText="1"/>
    </xf>
    <xf numFmtId="0" fontId="52" fillId="0" borderId="39" xfId="75" applyFont="1" applyBorder="1" applyAlignment="1">
      <alignment horizontal="left" vertical="center" wrapText="1"/>
    </xf>
    <xf numFmtId="0" fontId="47" fillId="0" borderId="33" xfId="0" applyFont="1" applyBorder="1" applyAlignment="1">
      <alignment horizontal="center" wrapText="1"/>
    </xf>
    <xf numFmtId="4" fontId="47" fillId="0" borderId="33" xfId="0" applyNumberFormat="1" applyFont="1" applyBorder="1" applyAlignment="1">
      <alignment horizontal="right"/>
    </xf>
    <xf numFmtId="4" fontId="51" fillId="20" borderId="33" xfId="0" applyNumberFormat="1" applyFont="1" applyFill="1" applyBorder="1" applyAlignment="1">
      <alignment horizontal="right" vertical="center" wrapText="1"/>
    </xf>
    <xf numFmtId="4" fontId="47" fillId="20" borderId="33" xfId="0" applyNumberFormat="1" applyFont="1" applyFill="1" applyBorder="1" applyAlignment="1">
      <alignment horizontal="right" vertical="center" wrapText="1"/>
    </xf>
    <xf numFmtId="0" fontId="31" fillId="0" borderId="0" xfId="0" applyFont="1" applyAlignment="1">
      <alignment wrapText="1"/>
    </xf>
    <xf numFmtId="0" fontId="26" fillId="0" borderId="10" xfId="0" applyFont="1" applyBorder="1" applyAlignment="1">
      <alignment horizontal="left" vertical="center" indent="1"/>
    </xf>
    <xf numFmtId="0" fontId="27" fillId="0" borderId="16" xfId="0" applyFont="1" applyBorder="1" applyAlignment="1">
      <alignment horizontal="center" vertical="center" wrapText="1"/>
    </xf>
    <xf numFmtId="3" fontId="23" fillId="0" borderId="27" xfId="0" applyNumberFormat="1" applyFont="1" applyBorder="1" applyAlignment="1">
      <alignment horizontal="center" vertical="center"/>
    </xf>
    <xf numFmtId="3" fontId="23" fillId="0" borderId="12" xfId="0" applyNumberFormat="1" applyFont="1" applyBorder="1" applyAlignment="1">
      <alignment horizontal="center" vertical="center"/>
    </xf>
    <xf numFmtId="3" fontId="26" fillId="29" borderId="33" xfId="0" applyNumberFormat="1" applyFont="1" applyFill="1" applyBorder="1" applyAlignment="1">
      <alignment horizontal="right"/>
    </xf>
    <xf numFmtId="4" fontId="0" fillId="0" borderId="0" xfId="0" applyNumberFormat="1"/>
    <xf numFmtId="4" fontId="0" fillId="0" borderId="0" xfId="0" applyNumberFormat="1" applyAlignment="1">
      <alignment wrapText="1"/>
    </xf>
    <xf numFmtId="4" fontId="70" fillId="0" borderId="10" xfId="0" applyNumberFormat="1" applyFont="1" applyBorder="1" applyAlignment="1">
      <alignment horizontal="center" vertical="center"/>
    </xf>
    <xf numFmtId="4" fontId="71" fillId="0" borderId="10" xfId="0" applyNumberFormat="1" applyFont="1" applyBorder="1"/>
    <xf numFmtId="4" fontId="27" fillId="20" borderId="0" xfId="0" applyNumberFormat="1" applyFont="1" applyFill="1"/>
    <xf numFmtId="169" fontId="0" fillId="0" borderId="0" xfId="0" applyNumberFormat="1"/>
    <xf numFmtId="0" fontId="45" fillId="0" borderId="0" xfId="0" applyFont="1" applyAlignment="1">
      <alignment horizontal="center"/>
    </xf>
    <xf numFmtId="0" fontId="47" fillId="0" borderId="41" xfId="0" applyFont="1" applyBorder="1" applyAlignment="1">
      <alignment horizontal="center" vertical="center" wrapText="1"/>
    </xf>
    <xf numFmtId="3" fontId="45" fillId="0" borderId="38" xfId="0" applyNumberFormat="1" applyFont="1" applyBorder="1"/>
    <xf numFmtId="3" fontId="45" fillId="0" borderId="39" xfId="0" applyNumberFormat="1" applyFont="1" applyBorder="1"/>
    <xf numFmtId="3" fontId="47" fillId="20" borderId="16" xfId="0" applyNumberFormat="1" applyFont="1" applyFill="1" applyBorder="1"/>
    <xf numFmtId="3" fontId="45" fillId="20" borderId="16" xfId="0" applyNumberFormat="1" applyFont="1" applyFill="1" applyBorder="1"/>
    <xf numFmtId="3" fontId="45" fillId="0" borderId="16" xfId="0" applyNumberFormat="1" applyFont="1" applyBorder="1"/>
    <xf numFmtId="3" fontId="47" fillId="20" borderId="33" xfId="0" applyNumberFormat="1" applyFont="1" applyFill="1" applyBorder="1"/>
    <xf numFmtId="3" fontId="45" fillId="20" borderId="33" xfId="0" applyNumberFormat="1" applyFont="1" applyFill="1" applyBorder="1"/>
    <xf numFmtId="3" fontId="47" fillId="24" borderId="33" xfId="0" applyNumberFormat="1" applyFont="1" applyFill="1" applyBorder="1"/>
    <xf numFmtId="3" fontId="47" fillId="10" borderId="33" xfId="0" applyNumberFormat="1" applyFont="1" applyFill="1" applyBorder="1"/>
    <xf numFmtId="3" fontId="51" fillId="0" borderId="33" xfId="0" applyNumberFormat="1" applyFont="1" applyBorder="1" applyAlignment="1">
      <alignment horizontal="right" vertical="center"/>
    </xf>
    <xf numFmtId="3" fontId="52" fillId="0" borderId="33" xfId="0" applyNumberFormat="1" applyFont="1" applyBorder="1" applyAlignment="1">
      <alignment horizontal="right" vertical="center" wrapText="1"/>
    </xf>
    <xf numFmtId="3" fontId="51" fillId="10" borderId="33" xfId="0" applyNumberFormat="1" applyFont="1" applyFill="1" applyBorder="1" applyAlignment="1">
      <alignment horizontal="right" vertical="center"/>
    </xf>
    <xf numFmtId="3" fontId="47" fillId="11" borderId="33" xfId="0" applyNumberFormat="1" applyFont="1" applyFill="1" applyBorder="1"/>
    <xf numFmtId="3" fontId="47" fillId="0" borderId="27" xfId="0" applyNumberFormat="1" applyFont="1" applyBorder="1"/>
    <xf numFmtId="3" fontId="45" fillId="28" borderId="33" xfId="0" applyNumberFormat="1" applyFont="1" applyFill="1" applyBorder="1"/>
    <xf numFmtId="3" fontId="54" fillId="5" borderId="33" xfId="0" applyNumberFormat="1" applyFont="1" applyFill="1" applyBorder="1"/>
    <xf numFmtId="3" fontId="47" fillId="0" borderId="33" xfId="0" applyNumberFormat="1" applyFont="1" applyBorder="1"/>
    <xf numFmtId="3" fontId="45" fillId="28" borderId="33" xfId="0" applyNumberFormat="1" applyFont="1" applyFill="1" applyBorder="1" applyAlignment="1">
      <alignment vertical="center"/>
    </xf>
    <xf numFmtId="3" fontId="47" fillId="28" borderId="33" xfId="0" applyNumberFormat="1" applyFont="1" applyFill="1" applyBorder="1" applyAlignment="1">
      <alignment vertical="center"/>
    </xf>
    <xf numFmtId="0" fontId="26" fillId="0" borderId="33" xfId="0" applyFont="1" applyBorder="1" applyAlignment="1">
      <alignment horizontal="left" indent="2"/>
    </xf>
    <xf numFmtId="3" fontId="46" fillId="20" borderId="0" xfId="0" applyNumberFormat="1" applyFont="1" applyFill="1"/>
    <xf numFmtId="3" fontId="48" fillId="20" borderId="0" xfId="0" applyNumberFormat="1" applyFont="1" applyFill="1"/>
    <xf numFmtId="3" fontId="47" fillId="28" borderId="12" xfId="0" applyNumberFormat="1" applyFont="1" applyFill="1" applyBorder="1"/>
    <xf numFmtId="0" fontId="47" fillId="20" borderId="0" xfId="0" applyFont="1" applyFill="1"/>
    <xf numFmtId="0" fontId="27" fillId="0" borderId="10" xfId="0" applyFont="1" applyBorder="1" applyAlignment="1">
      <alignment horizontal="center" vertical="center" wrapText="1"/>
    </xf>
    <xf numFmtId="0" fontId="26" fillId="0" borderId="0" xfId="0" applyFont="1" applyAlignment="1">
      <alignment horizontal="left" indent="2"/>
    </xf>
    <xf numFmtId="0" fontId="21" fillId="0" borderId="27" xfId="82" applyFont="1" applyBorder="1" applyAlignment="1">
      <alignment horizontal="left" vertical="center" wrapText="1" indent="2"/>
    </xf>
    <xf numFmtId="0" fontId="41" fillId="0" borderId="12" xfId="82" applyFont="1" applyBorder="1" applyAlignment="1">
      <alignment horizontal="left" vertical="center" wrapText="1" indent="2"/>
    </xf>
    <xf numFmtId="0" fontId="21" fillId="0" borderId="33" xfId="0" applyFont="1" applyBorder="1" applyAlignment="1">
      <alignment horizontal="left" vertical="center" wrapText="1" indent="2"/>
    </xf>
    <xf numFmtId="0" fontId="47" fillId="0" borderId="43" xfId="0" applyFont="1" applyBorder="1" applyAlignment="1">
      <alignment horizontal="center" vertical="center" wrapText="1"/>
    </xf>
    <xf numFmtId="3" fontId="27" fillId="20" borderId="27" xfId="0" applyNumberFormat="1" applyFont="1" applyFill="1" applyBorder="1" applyAlignment="1">
      <alignment horizontal="right"/>
    </xf>
    <xf numFmtId="0" fontId="27" fillId="20" borderId="12" xfId="0" applyFont="1" applyFill="1" applyBorder="1" applyAlignment="1">
      <alignment horizontal="left" vertical="center" wrapText="1"/>
    </xf>
    <xf numFmtId="0" fontId="27" fillId="20" borderId="12" xfId="0" applyFont="1" applyFill="1" applyBorder="1" applyAlignment="1">
      <alignment horizontal="left" vertical="center"/>
    </xf>
    <xf numFmtId="3" fontId="27" fillId="20" borderId="12" xfId="0" applyNumberFormat="1" applyFont="1" applyFill="1" applyBorder="1" applyAlignment="1">
      <alignment horizontal="right"/>
    </xf>
    <xf numFmtId="0" fontId="21" fillId="0" borderId="33" xfId="82" applyFont="1" applyBorder="1" applyAlignment="1">
      <alignment horizontal="left" vertical="center" wrapText="1" indent="2"/>
    </xf>
    <xf numFmtId="0" fontId="26" fillId="0" borderId="33" xfId="0" applyFont="1" applyBorder="1" applyAlignment="1">
      <alignment horizontal="left" vertical="center"/>
    </xf>
    <xf numFmtId="3" fontId="26" fillId="0" borderId="33" xfId="0" applyNumberFormat="1" applyFont="1" applyBorder="1" applyAlignment="1">
      <alignment horizontal="right"/>
    </xf>
    <xf numFmtId="0" fontId="81" fillId="0" borderId="33" xfId="0" applyFont="1" applyBorder="1" applyAlignment="1">
      <alignment wrapText="1"/>
    </xf>
    <xf numFmtId="0" fontId="45" fillId="0" borderId="12" xfId="0" applyFont="1" applyBorder="1" applyAlignment="1">
      <alignment vertical="center" wrapText="1"/>
    </xf>
    <xf numFmtId="0" fontId="47" fillId="0" borderId="33" xfId="0" applyFont="1" applyBorder="1" applyAlignment="1">
      <alignment horizontal="center" vertical="center"/>
    </xf>
    <xf numFmtId="0" fontId="22" fillId="0" borderId="0" xfId="0" applyFont="1" applyAlignment="1">
      <alignment horizontal="center" wrapText="1"/>
    </xf>
    <xf numFmtId="165" fontId="23" fillId="0" borderId="0" xfId="82" applyNumberFormat="1" applyFont="1" applyAlignment="1">
      <alignment horizontal="center" vertical="center"/>
    </xf>
    <xf numFmtId="3" fontId="27" fillId="0" borderId="10" xfId="0" applyNumberFormat="1" applyFont="1" applyBorder="1" applyAlignment="1">
      <alignment horizontal="center"/>
    </xf>
    <xf numFmtId="3" fontId="48" fillId="0" borderId="10" xfId="0" applyNumberFormat="1" applyFont="1" applyBorder="1" applyAlignment="1">
      <alignment horizontal="center"/>
    </xf>
    <xf numFmtId="0" fontId="34" fillId="0" borderId="0" xfId="0" applyFont="1" applyAlignment="1">
      <alignment horizontal="center" wrapText="1"/>
    </xf>
    <xf numFmtId="0" fontId="27" fillId="0" borderId="10" xfId="0" applyFont="1" applyBorder="1" applyAlignment="1">
      <alignment horizontal="center" wrapText="1"/>
    </xf>
    <xf numFmtId="3" fontId="27" fillId="0" borderId="10" xfId="0" applyNumberFormat="1" applyFont="1" applyBorder="1" applyAlignment="1">
      <alignment horizontal="center" wrapText="1"/>
    </xf>
    <xf numFmtId="0" fontId="45" fillId="0" borderId="10" xfId="0" applyFont="1" applyBorder="1" applyAlignment="1">
      <alignment horizontal="center" vertical="center" wrapText="1"/>
    </xf>
    <xf numFmtId="0" fontId="45" fillId="0" borderId="14" xfId="0" applyFont="1" applyBorder="1" applyAlignment="1">
      <alignment horizontal="center"/>
    </xf>
    <xf numFmtId="0" fontId="45" fillId="0" borderId="15" xfId="0" applyFont="1" applyBorder="1" applyAlignment="1">
      <alignment horizontal="center"/>
    </xf>
    <xf numFmtId="0" fontId="27" fillId="0" borderId="10" xfId="0" applyFont="1" applyBorder="1" applyAlignment="1">
      <alignment horizontal="center" vertical="center" wrapText="1"/>
    </xf>
    <xf numFmtId="0" fontId="45" fillId="0" borderId="16" xfId="0" applyFont="1" applyBorder="1" applyAlignment="1">
      <alignment horizontal="center"/>
    </xf>
    <xf numFmtId="0" fontId="45" fillId="0" borderId="0" xfId="0" applyFont="1" applyAlignment="1">
      <alignment horizontal="center"/>
    </xf>
    <xf numFmtId="0" fontId="45" fillId="0" borderId="38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5" fillId="0" borderId="38" xfId="0" applyFont="1" applyBorder="1" applyAlignment="1">
      <alignment horizontal="center" vertical="center" wrapText="1"/>
    </xf>
    <xf numFmtId="0" fontId="45" fillId="0" borderId="40" xfId="0" applyFont="1" applyBorder="1" applyAlignment="1">
      <alignment horizontal="center" vertical="center" wrapText="1"/>
    </xf>
    <xf numFmtId="0" fontId="45" fillId="0" borderId="42" xfId="0" applyFont="1" applyBorder="1" applyAlignment="1">
      <alignment horizontal="center" vertical="center" wrapText="1"/>
    </xf>
    <xf numFmtId="0" fontId="45" fillId="0" borderId="33" xfId="0" applyFont="1" applyBorder="1" applyAlignment="1">
      <alignment horizontal="center" vertical="center" wrapText="1"/>
    </xf>
    <xf numFmtId="0" fontId="34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47" fillId="0" borderId="33" xfId="0" applyFont="1" applyBorder="1" applyAlignment="1">
      <alignment horizontal="center" vertical="center" wrapText="1"/>
    </xf>
    <xf numFmtId="0" fontId="63" fillId="0" borderId="33" xfId="75" applyFont="1" applyBorder="1" applyAlignment="1">
      <alignment horizontal="center" vertical="center" wrapText="1"/>
    </xf>
    <xf numFmtId="0" fontId="61" fillId="0" borderId="38" xfId="0" applyFont="1" applyBorder="1" applyAlignment="1">
      <alignment horizontal="center" vertical="center" wrapText="1"/>
    </xf>
    <xf numFmtId="0" fontId="61" fillId="0" borderId="40" xfId="0" applyFont="1" applyBorder="1" applyAlignment="1">
      <alignment horizontal="center" vertical="center" wrapText="1"/>
    </xf>
    <xf numFmtId="0" fontId="52" fillId="0" borderId="0" xfId="0" applyFont="1" applyAlignment="1">
      <alignment horizontal="left" vertical="center" wrapText="1"/>
    </xf>
    <xf numFmtId="3" fontId="27" fillId="0" borderId="10" xfId="0" applyNumberFormat="1" applyFont="1" applyBorder="1" applyAlignment="1">
      <alignment horizontal="center" vertical="center"/>
    </xf>
    <xf numFmtId="0" fontId="23" fillId="0" borderId="0" xfId="80" applyFont="1" applyAlignment="1">
      <alignment horizontal="center"/>
    </xf>
    <xf numFmtId="0" fontId="52" fillId="0" borderId="17" xfId="81" applyFont="1" applyBorder="1" applyAlignment="1">
      <alignment horizontal="center" vertical="center" wrapText="1"/>
    </xf>
    <xf numFmtId="0" fontId="52" fillId="0" borderId="18" xfId="81" applyFont="1" applyBorder="1" applyAlignment="1">
      <alignment horizontal="center" vertical="center"/>
    </xf>
    <xf numFmtId="0" fontId="52" fillId="0" borderId="19" xfId="81" applyFont="1" applyBorder="1" applyAlignment="1">
      <alignment horizontal="center"/>
    </xf>
    <xf numFmtId="0" fontId="67" fillId="20" borderId="17" xfId="81" applyFont="1" applyFill="1" applyBorder="1" applyAlignment="1">
      <alignment horizontal="center"/>
    </xf>
    <xf numFmtId="0" fontId="30" fillId="0" borderId="0" xfId="0" applyFont="1" applyAlignment="1">
      <alignment horizontal="center" wrapText="1"/>
    </xf>
  </cellXfs>
  <cellStyles count="92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20% - Accent1" xfId="7"/>
    <cellStyle name="20% - Accent2" xfId="8"/>
    <cellStyle name="20% - Accent3" xfId="9"/>
    <cellStyle name="20% - Accent4" xfId="10"/>
    <cellStyle name="20% - Accent5" xfId="11"/>
    <cellStyle name="20% - Accent6" xfId="12"/>
    <cellStyle name="40% - 1. jelölőszín" xfId="13" builtinId="31" customBuiltin="1"/>
    <cellStyle name="40% - 2. jelölőszín" xfId="14" builtinId="35" customBuiltin="1"/>
    <cellStyle name="40% - 3. jelölőszín" xfId="15" builtinId="39" customBuiltin="1"/>
    <cellStyle name="40% - 4. jelölőszín" xfId="16" builtinId="43" customBuiltin="1"/>
    <cellStyle name="40% - 5. jelölőszín" xfId="17" builtinId="47" customBuiltin="1"/>
    <cellStyle name="40% - 6. jelölőszín" xfId="18" builtinId="51" customBuiltin="1"/>
    <cellStyle name="40% - Accent1" xfId="19"/>
    <cellStyle name="40% - Accent2" xfId="20"/>
    <cellStyle name="40% - Accent3" xfId="21"/>
    <cellStyle name="40% - Accent4" xfId="22"/>
    <cellStyle name="40% - Accent5" xfId="23"/>
    <cellStyle name="40% - Accent6" xfId="24"/>
    <cellStyle name="60% - 1. jelölőszín" xfId="25" builtinId="32" customBuiltin="1"/>
    <cellStyle name="60% - 2. jelölőszín" xfId="26" builtinId="36" customBuiltin="1"/>
    <cellStyle name="60% - 3. jelölőszín" xfId="27" builtinId="40" customBuiltin="1"/>
    <cellStyle name="60% - 4. jelölőszín" xfId="28" builtinId="44" customBuiltin="1"/>
    <cellStyle name="60% - 5. jelölőszín" xfId="29" builtinId="48" customBuiltin="1"/>
    <cellStyle name="60% - 6. jelölőszín" xfId="30" builtinId="52" customBuiltin="1"/>
    <cellStyle name="60% - Accent1" xfId="31"/>
    <cellStyle name="60% - Accent2" xfId="32"/>
    <cellStyle name="60% - Accent3" xfId="33"/>
    <cellStyle name="60% - Accent4" xfId="34"/>
    <cellStyle name="60% - Accent5" xfId="35"/>
    <cellStyle name="60% - Accent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Bevitel" xfId="44" builtinId="20" customBuiltin="1"/>
    <cellStyle name="Calculation" xfId="45"/>
    <cellStyle name="Check Cell" xfId="46"/>
    <cellStyle name="Cím" xfId="47" builtinId="15" customBuiltin="1"/>
    <cellStyle name="Címsor 1" xfId="48" builtinId="16" customBuiltin="1"/>
    <cellStyle name="Címsor 2" xfId="49" builtinId="17" customBuiltin="1"/>
    <cellStyle name="Címsor 3" xfId="50" builtinId="18" customBuiltin="1"/>
    <cellStyle name="Címsor 4" xfId="51" builtinId="19" customBuiltin="1"/>
    <cellStyle name="Ellenőrzőcella" xfId="52" builtinId="23" customBuiltin="1"/>
    <cellStyle name="Explanatory Text" xfId="53"/>
    <cellStyle name="Ezres 2" xfId="54"/>
    <cellStyle name="Figyelmeztetés" xfId="55" builtinId="11" customBuiltin="1"/>
    <cellStyle name="Good" xfId="56"/>
    <cellStyle name="Heading 1" xfId="57"/>
    <cellStyle name="Heading 2" xfId="58"/>
    <cellStyle name="Heading 3" xfId="59"/>
    <cellStyle name="Heading 4" xfId="60"/>
    <cellStyle name="Hivatkozott cella" xfId="61" builtinId="24" customBuiltin="1"/>
    <cellStyle name="Input" xfId="62"/>
    <cellStyle name="Jegyzet" xfId="63" builtinId="10" customBuiltin="1"/>
    <cellStyle name="Jelölőszín (1)" xfId="64"/>
    <cellStyle name="Jelölőszín (2)" xfId="65"/>
    <cellStyle name="Jelölőszín (3)" xfId="66"/>
    <cellStyle name="Jelölőszín (4)" xfId="67"/>
    <cellStyle name="Jelölőszín (5)" xfId="68"/>
    <cellStyle name="Jelölőszín (6)" xfId="69"/>
    <cellStyle name="Jó" xfId="70" builtinId="26" customBuiltin="1"/>
    <cellStyle name="Kimenet" xfId="71" builtinId="21" customBuiltin="1"/>
    <cellStyle name="Linked Cell" xfId="72"/>
    <cellStyle name="Magyarázó szöveg" xfId="73" builtinId="53" customBuiltin="1"/>
    <cellStyle name="Neutral" xfId="74"/>
    <cellStyle name="Normál" xfId="0" builtinId="0"/>
    <cellStyle name="Normál 2" xfId="76"/>
    <cellStyle name="Normál 3" xfId="77"/>
    <cellStyle name="Normál_2010. ktgvetés JÓ LESZ ÚJ" xfId="78"/>
    <cellStyle name="Normál_2013 évi ktgvetés IV név mód 2013 12 05" xfId="79"/>
    <cellStyle name="Normál_2013 évi ktgvetés melléklete 2013 12 21 egységes" xfId="80"/>
    <cellStyle name="Normál_kovetetttam2009" xfId="81"/>
    <cellStyle name="Normal_KTRSZJ" xfId="75"/>
    <cellStyle name="Normál_KVRENMUNKA" xfId="82"/>
    <cellStyle name="Note" xfId="83"/>
    <cellStyle name="Output" xfId="84"/>
    <cellStyle name="Összesen" xfId="91" builtinId="25" customBuiltin="1"/>
    <cellStyle name="Rossz" xfId="85" builtinId="27" customBuiltin="1"/>
    <cellStyle name="Semleges" xfId="86" builtinId="28" customBuiltin="1"/>
    <cellStyle name="Számítás" xfId="87" builtinId="22" customBuiltin="1"/>
    <cellStyle name="Title" xfId="88"/>
    <cellStyle name="Total" xfId="89"/>
    <cellStyle name="Warning Text" xfId="9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CCCCC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99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222222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1"/>
  <sheetViews>
    <sheetView view="pageBreakPreview" zoomScale="80" zoomScaleNormal="62" zoomScaleSheetLayoutView="80" workbookViewId="0">
      <selection activeCell="B34" sqref="B33:B34"/>
    </sheetView>
  </sheetViews>
  <sheetFormatPr defaultRowHeight="15.75" x14ac:dyDescent="0.25"/>
  <cols>
    <col min="1" max="1" width="7.28515625" style="1" customWidth="1"/>
    <col min="2" max="2" width="81" style="1" customWidth="1"/>
    <col min="3" max="3" width="19.42578125" style="2" customWidth="1"/>
    <col min="4" max="16384" width="9.140625" style="1"/>
  </cols>
  <sheetData>
    <row r="1" spans="1:3" x14ac:dyDescent="0.25">
      <c r="B1" s="3"/>
    </row>
    <row r="2" spans="1:3" x14ac:dyDescent="0.25">
      <c r="C2" s="1"/>
    </row>
    <row r="3" spans="1:3" ht="18.75" customHeight="1" x14ac:dyDescent="0.3">
      <c r="A3" s="489" t="s">
        <v>0</v>
      </c>
      <c r="B3" s="489"/>
      <c r="C3" s="3"/>
    </row>
    <row r="4" spans="1:3" x14ac:dyDescent="0.25">
      <c r="C4" s="3"/>
    </row>
    <row r="5" spans="1:3" ht="12.75" customHeight="1" x14ac:dyDescent="0.25"/>
    <row r="6" spans="1:3" ht="12.75" customHeight="1" x14ac:dyDescent="0.25">
      <c r="A6" s="5"/>
      <c r="B6" s="5"/>
    </row>
    <row r="7" spans="1:3" x14ac:dyDescent="0.25">
      <c r="A7" s="490" t="s">
        <v>1</v>
      </c>
      <c r="B7" s="490"/>
    </row>
    <row r="9" spans="1:3" x14ac:dyDescent="0.25">
      <c r="A9" s="6"/>
    </row>
    <row r="11" spans="1:3" x14ac:dyDescent="0.25">
      <c r="B11" s="1" t="s">
        <v>2</v>
      </c>
    </row>
    <row r="12" spans="1:3" x14ac:dyDescent="0.25">
      <c r="B12" s="1" t="s">
        <v>3</v>
      </c>
    </row>
    <row r="13" spans="1:3" x14ac:dyDescent="0.25">
      <c r="B13" s="1" t="s">
        <v>4</v>
      </c>
    </row>
    <row r="14" spans="1:3" x14ac:dyDescent="0.25">
      <c r="B14" s="1" t="s">
        <v>5</v>
      </c>
    </row>
    <row r="15" spans="1:3" x14ac:dyDescent="0.25">
      <c r="B15" s="1" t="s">
        <v>6</v>
      </c>
    </row>
    <row r="16" spans="1:3" x14ac:dyDescent="0.25">
      <c r="B16" s="1" t="s">
        <v>7</v>
      </c>
    </row>
    <row r="17" spans="1:2" x14ac:dyDescent="0.25">
      <c r="B17" s="1" t="s">
        <v>8</v>
      </c>
    </row>
    <row r="18" spans="1:2" x14ac:dyDescent="0.25">
      <c r="B18" s="7"/>
    </row>
    <row r="19" spans="1:2" x14ac:dyDescent="0.25">
      <c r="B19" s="7"/>
    </row>
    <row r="20" spans="1:2" x14ac:dyDescent="0.25">
      <c r="A20" s="6"/>
    </row>
    <row r="27" spans="1:2" x14ac:dyDescent="0.25">
      <c r="B27" s="8"/>
    </row>
    <row r="28" spans="1:2" x14ac:dyDescent="0.25">
      <c r="B28" s="9"/>
    </row>
    <row r="29" spans="1:2" x14ac:dyDescent="0.25">
      <c r="B29" s="9"/>
    </row>
    <row r="30" spans="1:2" x14ac:dyDescent="0.25">
      <c r="B30" s="9"/>
    </row>
    <row r="31" spans="1:2" x14ac:dyDescent="0.25">
      <c r="B31" s="9"/>
    </row>
    <row r="32" spans="1:2" x14ac:dyDescent="0.25">
      <c r="B32" s="9"/>
    </row>
    <row r="33" spans="2:2" x14ac:dyDescent="0.25">
      <c r="B33" s="9"/>
    </row>
    <row r="34" spans="2:2" x14ac:dyDescent="0.25">
      <c r="B34" s="9"/>
    </row>
    <row r="35" spans="2:2" x14ac:dyDescent="0.25">
      <c r="B35" s="2"/>
    </row>
    <row r="36" spans="2:2" x14ac:dyDescent="0.25">
      <c r="B36" s="9"/>
    </row>
    <row r="37" spans="2:2" x14ac:dyDescent="0.25">
      <c r="B37" s="9"/>
    </row>
    <row r="38" spans="2:2" x14ac:dyDescent="0.25">
      <c r="B38" s="9"/>
    </row>
    <row r="39" spans="2:2" x14ac:dyDescent="0.25">
      <c r="B39" s="9"/>
    </row>
    <row r="40" spans="2:2" x14ac:dyDescent="0.25">
      <c r="B40" s="9"/>
    </row>
    <row r="41" spans="2:2" x14ac:dyDescent="0.25">
      <c r="B41" s="9"/>
    </row>
    <row r="42" spans="2:2" x14ac:dyDescent="0.25">
      <c r="B42" s="9"/>
    </row>
    <row r="43" spans="2:2" x14ac:dyDescent="0.25">
      <c r="B43" s="9"/>
    </row>
    <row r="44" spans="2:2" x14ac:dyDescent="0.25">
      <c r="B44" s="9"/>
    </row>
    <row r="45" spans="2:2" x14ac:dyDescent="0.25">
      <c r="B45" s="9"/>
    </row>
    <row r="46" spans="2:2" x14ac:dyDescent="0.25">
      <c r="B46" s="9"/>
    </row>
    <row r="47" spans="2:2" x14ac:dyDescent="0.25">
      <c r="B47" s="9"/>
    </row>
    <row r="48" spans="2:2" x14ac:dyDescent="0.25">
      <c r="B48" s="9"/>
    </row>
    <row r="49" spans="2:4" x14ac:dyDescent="0.25">
      <c r="B49" s="10"/>
    </row>
    <row r="50" spans="2:4" x14ac:dyDescent="0.25">
      <c r="B50" s="10"/>
    </row>
    <row r="51" spans="2:4" x14ac:dyDescent="0.25">
      <c r="B51" s="8"/>
    </row>
    <row r="52" spans="2:4" x14ac:dyDescent="0.25">
      <c r="B52" s="10"/>
      <c r="D52" s="11"/>
    </row>
    <row r="53" spans="2:4" x14ac:dyDescent="0.25">
      <c r="D53" s="11"/>
    </row>
    <row r="54" spans="2:4" x14ac:dyDescent="0.25">
      <c r="B54" s="10"/>
      <c r="D54" s="11"/>
    </row>
    <row r="55" spans="2:4" x14ac:dyDescent="0.25">
      <c r="B55" s="10"/>
      <c r="D55" s="11"/>
    </row>
    <row r="56" spans="2:4" x14ac:dyDescent="0.25">
      <c r="D56" s="10"/>
    </row>
    <row r="57" spans="2:4" x14ac:dyDescent="0.25">
      <c r="B57" s="10"/>
      <c r="D57" s="10"/>
    </row>
    <row r="58" spans="2:4" x14ac:dyDescent="0.25">
      <c r="B58" s="10"/>
      <c r="D58" s="10"/>
    </row>
    <row r="59" spans="2:4" x14ac:dyDescent="0.25">
      <c r="B59" s="8"/>
    </row>
    <row r="60" spans="2:4" x14ac:dyDescent="0.25">
      <c r="B60" s="10"/>
    </row>
    <row r="61" spans="2:4" x14ac:dyDescent="0.25">
      <c r="B61" s="10"/>
    </row>
    <row r="62" spans="2:4" x14ac:dyDescent="0.25">
      <c r="B62" s="10"/>
    </row>
    <row r="63" spans="2:4" x14ac:dyDescent="0.25">
      <c r="B63" s="10"/>
    </row>
    <row r="64" spans="2:4" x14ac:dyDescent="0.25">
      <c r="B64" s="10"/>
    </row>
    <row r="65" spans="2:2" x14ac:dyDescent="0.25">
      <c r="B65" s="8"/>
    </row>
    <row r="66" spans="2:2" x14ac:dyDescent="0.25">
      <c r="B66" s="10"/>
    </row>
    <row r="67" spans="2:2" x14ac:dyDescent="0.25">
      <c r="B67" s="10"/>
    </row>
    <row r="68" spans="2:2" x14ac:dyDescent="0.25">
      <c r="B68" s="10"/>
    </row>
    <row r="69" spans="2:2" x14ac:dyDescent="0.25">
      <c r="B69" s="10"/>
    </row>
    <row r="70" spans="2:2" x14ac:dyDescent="0.25">
      <c r="B70" s="10"/>
    </row>
    <row r="71" spans="2:2" x14ac:dyDescent="0.25">
      <c r="B71" s="10"/>
    </row>
    <row r="72" spans="2:2" x14ac:dyDescent="0.25">
      <c r="B72" s="8"/>
    </row>
    <row r="73" spans="2:2" x14ac:dyDescent="0.25">
      <c r="B73" s="10"/>
    </row>
    <row r="74" spans="2:2" x14ac:dyDescent="0.25">
      <c r="B74" s="10"/>
    </row>
    <row r="75" spans="2:2" x14ac:dyDescent="0.25">
      <c r="B75" s="10"/>
    </row>
    <row r="76" spans="2:2" x14ac:dyDescent="0.25">
      <c r="B76" s="10"/>
    </row>
    <row r="77" spans="2:2" x14ac:dyDescent="0.25">
      <c r="B77" s="10"/>
    </row>
    <row r="78" spans="2:2" x14ac:dyDescent="0.25">
      <c r="B78" s="10"/>
    </row>
    <row r="79" spans="2:2" x14ac:dyDescent="0.25">
      <c r="B79" s="8"/>
    </row>
    <row r="80" spans="2:2" x14ac:dyDescent="0.25">
      <c r="B80" s="10"/>
    </row>
    <row r="81" spans="2:3" x14ac:dyDescent="0.25">
      <c r="B81" s="10"/>
    </row>
    <row r="82" spans="2:3" x14ac:dyDescent="0.25">
      <c r="B82" s="10"/>
    </row>
    <row r="83" spans="2:3" x14ac:dyDescent="0.25">
      <c r="B83" s="10"/>
    </row>
    <row r="84" spans="2:3" x14ac:dyDescent="0.25">
      <c r="B84" s="8"/>
    </row>
    <row r="85" spans="2:3" x14ac:dyDescent="0.25">
      <c r="B85" s="10"/>
    </row>
    <row r="86" spans="2:3" x14ac:dyDescent="0.25">
      <c r="B86" s="10"/>
    </row>
    <row r="87" spans="2:3" x14ac:dyDescent="0.25">
      <c r="B87" s="10"/>
    </row>
    <row r="88" spans="2:3" x14ac:dyDescent="0.25">
      <c r="B88" s="8"/>
    </row>
    <row r="89" spans="2:3" x14ac:dyDescent="0.25">
      <c r="B89" s="10"/>
    </row>
    <row r="90" spans="2:3" x14ac:dyDescent="0.25">
      <c r="B90" s="10"/>
      <c r="C90" s="12"/>
    </row>
    <row r="91" spans="2:3" x14ac:dyDescent="0.25">
      <c r="C91" s="12"/>
    </row>
  </sheetData>
  <sheetProtection selectLockedCells="1" selectUnlockedCells="1"/>
  <mergeCells count="2">
    <mergeCell ref="A3:B3"/>
    <mergeCell ref="A7:B7"/>
  </mergeCells>
  <printOptions horizontalCentered="1"/>
  <pageMargins left="0.78749999999999998" right="0.78749999999999998" top="0.98402777777777772" bottom="0.82708333333333328" header="0.51180555555555551" footer="0.51180555555555551"/>
  <pageSetup paperSize="9" scale="94" firstPageNumber="0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I2" sqref="I2"/>
    </sheetView>
  </sheetViews>
  <sheetFormatPr defaultColWidth="11.5703125" defaultRowHeight="15.75" x14ac:dyDescent="0.25"/>
  <cols>
    <col min="1" max="1" width="10.7109375" style="30" customWidth="1"/>
    <col min="2" max="2" width="72.28515625" style="30" customWidth="1"/>
    <col min="3" max="3" width="10.140625" style="30" customWidth="1"/>
    <col min="4" max="4" width="15.7109375" style="30" customWidth="1"/>
    <col min="5" max="5" width="14.28515625" style="30" customWidth="1"/>
    <col min="6" max="6" width="14.28515625" style="31" customWidth="1"/>
    <col min="7" max="7" width="14.85546875" style="30" customWidth="1"/>
    <col min="8" max="8" width="14.42578125" style="30" customWidth="1"/>
    <col min="9" max="9" width="14.42578125" style="31" customWidth="1"/>
    <col min="10" max="10" width="9.140625" style="30" customWidth="1"/>
    <col min="11" max="11" width="15.140625" style="30" bestFit="1" customWidth="1"/>
    <col min="12" max="252" width="9.140625" style="30" customWidth="1"/>
  </cols>
  <sheetData>
    <row r="1" spans="2:9" s="13" customFormat="1" x14ac:dyDescent="0.25">
      <c r="I1" s="15" t="s">
        <v>626</v>
      </c>
    </row>
    <row r="2" spans="2:9" s="13" customFormat="1" ht="20.25" x14ac:dyDescent="0.3">
      <c r="B2" s="217" t="s">
        <v>627</v>
      </c>
      <c r="I2" s="16" t="s">
        <v>919</v>
      </c>
    </row>
    <row r="3" spans="2:9" s="13" customFormat="1" x14ac:dyDescent="0.25">
      <c r="B3" s="43" t="s">
        <v>858</v>
      </c>
      <c r="C3" s="36"/>
      <c r="D3" s="36"/>
      <c r="E3" s="36"/>
      <c r="F3" s="37"/>
      <c r="G3" s="36"/>
      <c r="H3" s="36"/>
      <c r="I3" s="37"/>
    </row>
    <row r="4" spans="2:9" s="13" customFormat="1" x14ac:dyDescent="0.25">
      <c r="B4" s="41" t="s">
        <v>822</v>
      </c>
      <c r="C4" s="42"/>
      <c r="D4" s="42"/>
      <c r="E4" s="42"/>
      <c r="F4" s="43"/>
      <c r="G4" s="42"/>
      <c r="H4" s="42"/>
      <c r="I4" s="43"/>
    </row>
    <row r="5" spans="2:9" ht="15.75" customHeight="1" x14ac:dyDescent="0.25">
      <c r="B5" s="46"/>
      <c r="D5" s="494" t="s">
        <v>10</v>
      </c>
      <c r="E5" s="494"/>
      <c r="F5" s="494"/>
      <c r="G5" s="494" t="s">
        <v>11</v>
      </c>
      <c r="H5" s="494"/>
      <c r="I5" s="494"/>
    </row>
    <row r="6" spans="2:9" ht="31.5" x14ac:dyDescent="0.25">
      <c r="B6" s="19" t="s">
        <v>12</v>
      </c>
      <c r="C6" s="47" t="s">
        <v>38</v>
      </c>
      <c r="D6" s="48" t="s">
        <v>13</v>
      </c>
      <c r="E6" s="48" t="s">
        <v>14</v>
      </c>
      <c r="F6" s="47" t="s">
        <v>543</v>
      </c>
      <c r="G6" s="48" t="s">
        <v>13</v>
      </c>
      <c r="H6" s="48" t="s">
        <v>14</v>
      </c>
      <c r="I6" s="473" t="s">
        <v>543</v>
      </c>
    </row>
    <row r="7" spans="2:9" x14ac:dyDescent="0.25">
      <c r="B7" s="51" t="s">
        <v>39</v>
      </c>
      <c r="C7" s="52" t="s">
        <v>40</v>
      </c>
      <c r="D7" s="24">
        <v>147206269</v>
      </c>
      <c r="E7" s="24">
        <v>147806828</v>
      </c>
      <c r="F7" s="25">
        <f>+D7+E7</f>
        <v>295013097</v>
      </c>
      <c r="G7" s="24">
        <f>295059074-H7</f>
        <v>147252246</v>
      </c>
      <c r="H7" s="24">
        <v>147806828</v>
      </c>
      <c r="I7" s="25">
        <f>+G7+H7</f>
        <v>295059074</v>
      </c>
    </row>
    <row r="8" spans="2:9" x14ac:dyDescent="0.25">
      <c r="B8" s="53" t="s">
        <v>41</v>
      </c>
      <c r="C8" s="52" t="s">
        <v>42</v>
      </c>
      <c r="D8" s="24">
        <v>0</v>
      </c>
      <c r="E8" s="24">
        <v>11544121</v>
      </c>
      <c r="F8" s="25">
        <f>+D8+E8</f>
        <v>11544121</v>
      </c>
      <c r="G8" s="24">
        <f>11544121-H8</f>
        <v>9152010</v>
      </c>
      <c r="H8" s="24">
        <v>2392111</v>
      </c>
      <c r="I8" s="25">
        <f>+G8+H8</f>
        <v>11544121</v>
      </c>
    </row>
    <row r="9" spans="2:9" x14ac:dyDescent="0.25">
      <c r="B9" s="54" t="s">
        <v>43</v>
      </c>
      <c r="C9" s="55" t="s">
        <v>44</v>
      </c>
      <c r="D9" s="25">
        <f t="shared" ref="D9:F9" si="0">SUM(D7:D8)</f>
        <v>147206269</v>
      </c>
      <c r="E9" s="25">
        <f t="shared" si="0"/>
        <v>159350949</v>
      </c>
      <c r="F9" s="25">
        <f t="shared" si="0"/>
        <v>306557218</v>
      </c>
      <c r="G9" s="25">
        <f>SUM(G7:G8)</f>
        <v>156404256</v>
      </c>
      <c r="H9" s="25">
        <f>SUM(H7:H8)</f>
        <v>150198939</v>
      </c>
      <c r="I9" s="25">
        <f t="shared" ref="I9" si="1">SUM(I7:I8)</f>
        <v>306603195</v>
      </c>
    </row>
    <row r="10" spans="2:9" x14ac:dyDescent="0.25">
      <c r="B10" s="56" t="s">
        <v>45</v>
      </c>
      <c r="C10" s="55" t="s">
        <v>46</v>
      </c>
      <c r="D10" s="24">
        <v>24492231</v>
      </c>
      <c r="E10" s="24">
        <v>23808088</v>
      </c>
      <c r="F10" s="25">
        <f t="shared" ref="F10:F15" si="2">+D10+E10</f>
        <v>48300319</v>
      </c>
      <c r="G10" s="24">
        <f>48309388-H10</f>
        <v>24501299</v>
      </c>
      <c r="H10" s="24">
        <v>23808089</v>
      </c>
      <c r="I10" s="25">
        <f t="shared" ref="I10:I15" si="3">+G10+H10</f>
        <v>48309388</v>
      </c>
    </row>
    <row r="11" spans="2:9" x14ac:dyDescent="0.25">
      <c r="B11" s="53" t="s">
        <v>47</v>
      </c>
      <c r="C11" s="52" t="s">
        <v>48</v>
      </c>
      <c r="D11" s="24">
        <v>32057292</v>
      </c>
      <c r="E11" s="24">
        <v>24943063</v>
      </c>
      <c r="F11" s="25">
        <f t="shared" si="2"/>
        <v>57000355</v>
      </c>
      <c r="G11" s="24">
        <f>57353298-H11</f>
        <v>32410235</v>
      </c>
      <c r="H11" s="24">
        <v>24943063</v>
      </c>
      <c r="I11" s="25">
        <f t="shared" si="3"/>
        <v>57353298</v>
      </c>
    </row>
    <row r="12" spans="2:9" x14ac:dyDescent="0.25">
      <c r="B12" s="53" t="s">
        <v>49</v>
      </c>
      <c r="C12" s="52" t="s">
        <v>50</v>
      </c>
      <c r="D12" s="24">
        <v>865000</v>
      </c>
      <c r="E12" s="24">
        <v>638000</v>
      </c>
      <c r="F12" s="25">
        <f t="shared" si="2"/>
        <v>1503000</v>
      </c>
      <c r="G12" s="24">
        <v>865000</v>
      </c>
      <c r="H12" s="24">
        <v>638000</v>
      </c>
      <c r="I12" s="25">
        <f t="shared" si="3"/>
        <v>1503000</v>
      </c>
    </row>
    <row r="13" spans="2:9" x14ac:dyDescent="0.25">
      <c r="B13" s="53" t="s">
        <v>51</v>
      </c>
      <c r="C13" s="52" t="s">
        <v>52</v>
      </c>
      <c r="D13" s="24">
        <v>30662000</v>
      </c>
      <c r="E13" s="24">
        <v>67210400</v>
      </c>
      <c r="F13" s="25">
        <f t="shared" si="2"/>
        <v>97872400</v>
      </c>
      <c r="G13" s="24">
        <f>90377200-H13</f>
        <v>30662000</v>
      </c>
      <c r="H13" s="24">
        <v>59715200</v>
      </c>
      <c r="I13" s="25">
        <f t="shared" si="3"/>
        <v>90377200</v>
      </c>
    </row>
    <row r="14" spans="2:9" x14ac:dyDescent="0.25">
      <c r="B14" s="53" t="s">
        <v>53</v>
      </c>
      <c r="C14" s="52" t="s">
        <v>54</v>
      </c>
      <c r="D14" s="24">
        <v>1800000</v>
      </c>
      <c r="E14" s="24">
        <v>1678000</v>
      </c>
      <c r="F14" s="25">
        <f t="shared" si="2"/>
        <v>3478000</v>
      </c>
      <c r="G14" s="24">
        <v>1800000</v>
      </c>
      <c r="H14" s="24">
        <v>1678000</v>
      </c>
      <c r="I14" s="25">
        <f t="shared" si="3"/>
        <v>3478000</v>
      </c>
    </row>
    <row r="15" spans="2:9" x14ac:dyDescent="0.25">
      <c r="B15" s="53" t="s">
        <v>55</v>
      </c>
      <c r="C15" s="52" t="s">
        <v>56</v>
      </c>
      <c r="D15" s="24">
        <v>17896509</v>
      </c>
      <c r="E15" s="24">
        <v>24136068</v>
      </c>
      <c r="F15" s="25">
        <f t="shared" si="2"/>
        <v>42032577</v>
      </c>
      <c r="G15" s="24">
        <f>52459724-H15</f>
        <v>24120652</v>
      </c>
      <c r="H15" s="24">
        <v>28339072</v>
      </c>
      <c r="I15" s="25">
        <f t="shared" si="3"/>
        <v>52459724</v>
      </c>
    </row>
    <row r="16" spans="2:9" x14ac:dyDescent="0.25">
      <c r="B16" s="56" t="s">
        <v>57</v>
      </c>
      <c r="C16" s="55" t="s">
        <v>58</v>
      </c>
      <c r="D16" s="25">
        <f t="shared" ref="D16:F16" si="4">SUM(D11:D15)</f>
        <v>83280801</v>
      </c>
      <c r="E16" s="25">
        <f t="shared" si="4"/>
        <v>118605531</v>
      </c>
      <c r="F16" s="25">
        <f t="shared" si="4"/>
        <v>201886332</v>
      </c>
      <c r="G16" s="25">
        <f>SUM(G11:G15)</f>
        <v>89857887</v>
      </c>
      <c r="H16" s="25">
        <f>SUM(H11:H15)</f>
        <v>115313335</v>
      </c>
      <c r="I16" s="25">
        <f t="shared" ref="I16" si="5">SUM(I11:I15)</f>
        <v>205171222</v>
      </c>
    </row>
    <row r="17" spans="2:9" x14ac:dyDescent="0.25">
      <c r="B17" s="57" t="s">
        <v>59</v>
      </c>
      <c r="C17" s="55" t="s">
        <v>60</v>
      </c>
      <c r="D17" s="24"/>
      <c r="E17" s="24"/>
      <c r="F17" s="25">
        <f t="shared" ref="F17:F31" si="6">+D17+E17</f>
        <v>0</v>
      </c>
      <c r="G17" s="24"/>
      <c r="H17" s="24"/>
      <c r="I17" s="25">
        <f t="shared" ref="I17:I31" si="7">+G17+H17</f>
        <v>0</v>
      </c>
    </row>
    <row r="18" spans="2:9" ht="15.75" hidden="1" customHeight="1" x14ac:dyDescent="0.25">
      <c r="B18" s="58" t="s">
        <v>61</v>
      </c>
      <c r="C18" s="52" t="s">
        <v>62</v>
      </c>
      <c r="D18" s="24"/>
      <c r="E18" s="24"/>
      <c r="F18" s="25">
        <f t="shared" si="6"/>
        <v>0</v>
      </c>
      <c r="G18" s="24"/>
      <c r="H18" s="24"/>
      <c r="I18" s="25">
        <f t="shared" si="7"/>
        <v>0</v>
      </c>
    </row>
    <row r="19" spans="2:9" ht="15.75" hidden="1" customHeight="1" x14ac:dyDescent="0.25">
      <c r="B19" s="58" t="s">
        <v>63</v>
      </c>
      <c r="C19" s="52" t="s">
        <v>64</v>
      </c>
      <c r="D19" s="24">
        <v>0</v>
      </c>
      <c r="E19" s="24">
        <v>0</v>
      </c>
      <c r="F19" s="25">
        <f t="shared" si="6"/>
        <v>0</v>
      </c>
      <c r="G19" s="24">
        <v>0</v>
      </c>
      <c r="H19" s="24">
        <v>0</v>
      </c>
      <c r="I19" s="25">
        <f t="shared" si="7"/>
        <v>0</v>
      </c>
    </row>
    <row r="20" spans="2:9" ht="15.75" hidden="1" customHeight="1" x14ac:dyDescent="0.25">
      <c r="B20" s="58" t="s">
        <v>65</v>
      </c>
      <c r="C20" s="52" t="s">
        <v>66</v>
      </c>
      <c r="D20" s="24"/>
      <c r="E20" s="24"/>
      <c r="F20" s="25">
        <f t="shared" si="6"/>
        <v>0</v>
      </c>
      <c r="G20" s="24"/>
      <c r="H20" s="24"/>
      <c r="I20" s="25">
        <f t="shared" si="7"/>
        <v>0</v>
      </c>
    </row>
    <row r="21" spans="2:9" ht="15.75" hidden="1" customHeight="1" x14ac:dyDescent="0.25">
      <c r="B21" s="58" t="s">
        <v>67</v>
      </c>
      <c r="C21" s="52" t="s">
        <v>68</v>
      </c>
      <c r="D21" s="24"/>
      <c r="E21" s="24"/>
      <c r="F21" s="25">
        <f t="shared" si="6"/>
        <v>0</v>
      </c>
      <c r="G21" s="24"/>
      <c r="H21" s="24"/>
      <c r="I21" s="25">
        <f t="shared" si="7"/>
        <v>0</v>
      </c>
    </row>
    <row r="22" spans="2:9" ht="15.75" hidden="1" customHeight="1" x14ac:dyDescent="0.25">
      <c r="B22" s="58" t="s">
        <v>618</v>
      </c>
      <c r="C22" s="52" t="s">
        <v>70</v>
      </c>
      <c r="D22" s="24"/>
      <c r="E22" s="24"/>
      <c r="F22" s="25">
        <f t="shared" si="6"/>
        <v>0</v>
      </c>
      <c r="G22" s="24"/>
      <c r="H22" s="24"/>
      <c r="I22" s="25">
        <f t="shared" si="7"/>
        <v>0</v>
      </c>
    </row>
    <row r="23" spans="2:9" x14ac:dyDescent="0.25">
      <c r="B23" s="58" t="s">
        <v>71</v>
      </c>
      <c r="C23" s="52" t="s">
        <v>72</v>
      </c>
      <c r="D23" s="24">
        <v>0</v>
      </c>
      <c r="E23" s="24"/>
      <c r="F23" s="25">
        <f t="shared" si="6"/>
        <v>0</v>
      </c>
      <c r="G23" s="24">
        <v>0</v>
      </c>
      <c r="H23" s="24"/>
      <c r="I23" s="25">
        <f t="shared" si="7"/>
        <v>0</v>
      </c>
    </row>
    <row r="24" spans="2:9" ht="15.75" hidden="1" customHeight="1" x14ac:dyDescent="0.25">
      <c r="B24" s="58" t="s">
        <v>73</v>
      </c>
      <c r="C24" s="52" t="s">
        <v>74</v>
      </c>
      <c r="D24" s="24"/>
      <c r="E24" s="24"/>
      <c r="F24" s="25">
        <f t="shared" si="6"/>
        <v>0</v>
      </c>
      <c r="G24" s="24"/>
      <c r="H24" s="24"/>
      <c r="I24" s="25">
        <f t="shared" si="7"/>
        <v>0</v>
      </c>
    </row>
    <row r="25" spans="2:9" ht="15.75" hidden="1" customHeight="1" x14ac:dyDescent="0.25">
      <c r="B25" s="58" t="s">
        <v>75</v>
      </c>
      <c r="C25" s="52" t="s">
        <v>76</v>
      </c>
      <c r="D25" s="24"/>
      <c r="E25" s="24"/>
      <c r="F25" s="25">
        <f t="shared" si="6"/>
        <v>0</v>
      </c>
      <c r="G25" s="24"/>
      <c r="H25" s="24"/>
      <c r="I25" s="25">
        <f t="shared" si="7"/>
        <v>0</v>
      </c>
    </row>
    <row r="26" spans="2:9" ht="15.75" hidden="1" customHeight="1" x14ac:dyDescent="0.25">
      <c r="B26" s="58" t="s">
        <v>77</v>
      </c>
      <c r="C26" s="52" t="s">
        <v>78</v>
      </c>
      <c r="D26" s="24"/>
      <c r="E26" s="24"/>
      <c r="F26" s="25">
        <f t="shared" si="6"/>
        <v>0</v>
      </c>
      <c r="G26" s="24"/>
      <c r="H26" s="24"/>
      <c r="I26" s="25">
        <f t="shared" si="7"/>
        <v>0</v>
      </c>
    </row>
    <row r="27" spans="2:9" ht="15.75" hidden="1" customHeight="1" x14ac:dyDescent="0.25">
      <c r="B27" s="59" t="s">
        <v>79</v>
      </c>
      <c r="C27" s="52" t="s">
        <v>80</v>
      </c>
      <c r="D27" s="24"/>
      <c r="E27" s="24"/>
      <c r="F27" s="25">
        <f t="shared" si="6"/>
        <v>0</v>
      </c>
      <c r="G27" s="24"/>
      <c r="H27" s="24"/>
      <c r="I27" s="25">
        <f t="shared" si="7"/>
        <v>0</v>
      </c>
    </row>
    <row r="28" spans="2:9" ht="15.75" hidden="1" customHeight="1" x14ac:dyDescent="0.25">
      <c r="B28" s="59" t="s">
        <v>619</v>
      </c>
      <c r="C28" s="52" t="s">
        <v>82</v>
      </c>
      <c r="D28" s="24"/>
      <c r="E28" s="24"/>
      <c r="F28" s="25">
        <f t="shared" si="6"/>
        <v>0</v>
      </c>
      <c r="G28" s="24"/>
      <c r="H28" s="24"/>
      <c r="I28" s="25">
        <f t="shared" si="7"/>
        <v>0</v>
      </c>
    </row>
    <row r="29" spans="2:9" x14ac:dyDescent="0.25">
      <c r="B29" s="58" t="s">
        <v>83</v>
      </c>
      <c r="C29" s="52" t="s">
        <v>84</v>
      </c>
      <c r="D29" s="24"/>
      <c r="E29" s="24"/>
      <c r="F29" s="25">
        <f t="shared" si="6"/>
        <v>0</v>
      </c>
      <c r="G29" s="24">
        <v>1100000</v>
      </c>
      <c r="H29" s="24"/>
      <c r="I29" s="25">
        <f t="shared" si="7"/>
        <v>1100000</v>
      </c>
    </row>
    <row r="30" spans="2:9" x14ac:dyDescent="0.25">
      <c r="B30" s="59" t="s">
        <v>85</v>
      </c>
      <c r="C30" s="52" t="s">
        <v>86</v>
      </c>
      <c r="D30" s="24"/>
      <c r="E30" s="24"/>
      <c r="F30" s="25">
        <f t="shared" si="6"/>
        <v>0</v>
      </c>
      <c r="G30" s="24"/>
      <c r="H30" s="24"/>
      <c r="I30" s="25">
        <f t="shared" si="7"/>
        <v>0</v>
      </c>
    </row>
    <row r="31" spans="2:9" x14ac:dyDescent="0.25">
      <c r="B31" s="59" t="s">
        <v>87</v>
      </c>
      <c r="C31" s="52" t="s">
        <v>86</v>
      </c>
      <c r="D31" s="24"/>
      <c r="E31" s="24"/>
      <c r="F31" s="25">
        <f t="shared" si="6"/>
        <v>0</v>
      </c>
      <c r="G31" s="24"/>
      <c r="H31" s="24"/>
      <c r="I31" s="25">
        <f t="shared" si="7"/>
        <v>0</v>
      </c>
    </row>
    <row r="32" spans="2:9" s="31" customFormat="1" x14ac:dyDescent="0.25">
      <c r="B32" s="57" t="s">
        <v>88</v>
      </c>
      <c r="C32" s="55" t="s">
        <v>89</v>
      </c>
      <c r="D32" s="25">
        <f t="shared" ref="D32:F32" si="8">SUM(D18:D31)</f>
        <v>0</v>
      </c>
      <c r="E32" s="25">
        <f t="shared" si="8"/>
        <v>0</v>
      </c>
      <c r="F32" s="25">
        <f t="shared" si="8"/>
        <v>0</v>
      </c>
      <c r="G32" s="25">
        <f>SUM(G18:G31)</f>
        <v>1100000</v>
      </c>
      <c r="H32" s="25">
        <f>SUM(H18:H31)</f>
        <v>0</v>
      </c>
      <c r="I32" s="25">
        <f t="shared" ref="I32" si="9">SUM(I18:I31)</f>
        <v>1100000</v>
      </c>
    </row>
    <row r="33" spans="2:9" x14ac:dyDescent="0.25">
      <c r="B33" s="60" t="s">
        <v>90</v>
      </c>
      <c r="C33" s="61" t="s">
        <v>91</v>
      </c>
      <c r="D33" s="62">
        <f t="shared" ref="D33:F33" si="10">+D32+D17+D16+D10+D9</f>
        <v>254979301</v>
      </c>
      <c r="E33" s="62">
        <f t="shared" si="10"/>
        <v>301764568</v>
      </c>
      <c r="F33" s="62">
        <f t="shared" si="10"/>
        <v>556743869</v>
      </c>
      <c r="G33" s="62">
        <f>+G32+G17+G16+G10+G9</f>
        <v>271863442</v>
      </c>
      <c r="H33" s="62">
        <f>+H32+H17+H16+H10+H9</f>
        <v>289320363</v>
      </c>
      <c r="I33" s="62">
        <f t="shared" ref="I33" si="11">+I32+I17+I16+I10+I9</f>
        <v>561183805</v>
      </c>
    </row>
    <row r="34" spans="2:9" x14ac:dyDescent="0.25">
      <c r="B34" s="63" t="s">
        <v>92</v>
      </c>
      <c r="C34" s="52" t="s">
        <v>93</v>
      </c>
      <c r="D34" s="24"/>
      <c r="E34" s="24"/>
      <c r="F34" s="25">
        <f t="shared" ref="F34:F40" si="12">+D34+E34</f>
        <v>0</v>
      </c>
      <c r="G34" s="24"/>
      <c r="H34" s="24"/>
      <c r="I34" s="25">
        <f t="shared" ref="I34:I40" si="13">+G34+H34</f>
        <v>0</v>
      </c>
    </row>
    <row r="35" spans="2:9" x14ac:dyDescent="0.25">
      <c r="B35" s="63" t="s">
        <v>94</v>
      </c>
      <c r="C35" s="52" t="s">
        <v>95</v>
      </c>
      <c r="D35" s="24"/>
      <c r="E35" s="24"/>
      <c r="F35" s="25">
        <f t="shared" si="12"/>
        <v>0</v>
      </c>
      <c r="G35" s="24"/>
      <c r="H35" s="24"/>
      <c r="I35" s="25">
        <f t="shared" si="13"/>
        <v>0</v>
      </c>
    </row>
    <row r="36" spans="2:9" x14ac:dyDescent="0.25">
      <c r="B36" s="63" t="s">
        <v>96</v>
      </c>
      <c r="C36" s="52" t="s">
        <v>97</v>
      </c>
      <c r="D36" s="24">
        <v>550000</v>
      </c>
      <c r="E36" s="24">
        <v>561000</v>
      </c>
      <c r="F36" s="25">
        <f t="shared" si="12"/>
        <v>1111000</v>
      </c>
      <c r="G36" s="24">
        <v>550000</v>
      </c>
      <c r="H36" s="24">
        <v>561000</v>
      </c>
      <c r="I36" s="25">
        <f t="shared" si="13"/>
        <v>1111000</v>
      </c>
    </row>
    <row r="37" spans="2:9" x14ac:dyDescent="0.25">
      <c r="B37" s="63" t="s">
        <v>98</v>
      </c>
      <c r="C37" s="52" t="s">
        <v>99</v>
      </c>
      <c r="D37" s="24">
        <v>11670000</v>
      </c>
      <c r="E37" s="24">
        <v>1225000</v>
      </c>
      <c r="F37" s="25">
        <f t="shared" si="12"/>
        <v>12895000</v>
      </c>
      <c r="G37" s="24">
        <f>13045000-H37</f>
        <v>11820000</v>
      </c>
      <c r="H37" s="24">
        <v>1225000</v>
      </c>
      <c r="I37" s="25">
        <f t="shared" si="13"/>
        <v>13045000</v>
      </c>
    </row>
    <row r="38" spans="2:9" x14ac:dyDescent="0.25">
      <c r="B38" s="64" t="s">
        <v>100</v>
      </c>
      <c r="C38" s="52" t="s">
        <v>101</v>
      </c>
      <c r="D38" s="24"/>
      <c r="E38" s="24"/>
      <c r="F38" s="25">
        <f t="shared" si="12"/>
        <v>0</v>
      </c>
      <c r="G38" s="24"/>
      <c r="H38" s="24"/>
      <c r="I38" s="25">
        <f t="shared" si="13"/>
        <v>0</v>
      </c>
    </row>
    <row r="39" spans="2:9" x14ac:dyDescent="0.25">
      <c r="B39" s="64" t="s">
        <v>102</v>
      </c>
      <c r="C39" s="52" t="s">
        <v>103</v>
      </c>
      <c r="D39" s="24"/>
      <c r="E39" s="24"/>
      <c r="F39" s="25">
        <f t="shared" si="12"/>
        <v>0</v>
      </c>
      <c r="G39" s="24"/>
      <c r="H39" s="24"/>
      <c r="I39" s="25">
        <f t="shared" si="13"/>
        <v>0</v>
      </c>
    </row>
    <row r="40" spans="2:9" x14ac:dyDescent="0.25">
      <c r="B40" s="64" t="s">
        <v>104</v>
      </c>
      <c r="C40" s="52" t="s">
        <v>105</v>
      </c>
      <c r="D40" s="24">
        <v>2390000</v>
      </c>
      <c r="E40" s="24">
        <v>1024000</v>
      </c>
      <c r="F40" s="25">
        <f t="shared" si="12"/>
        <v>3414000</v>
      </c>
      <c r="G40" s="24">
        <v>2390000</v>
      </c>
      <c r="H40" s="24">
        <v>1024000</v>
      </c>
      <c r="I40" s="25">
        <f t="shared" si="13"/>
        <v>3414000</v>
      </c>
    </row>
    <row r="41" spans="2:9" s="31" customFormat="1" x14ac:dyDescent="0.25">
      <c r="B41" s="65" t="s">
        <v>106</v>
      </c>
      <c r="C41" s="55" t="s">
        <v>107</v>
      </c>
      <c r="D41" s="25">
        <f t="shared" ref="D41:F41" si="14">SUM(D34:D40)</f>
        <v>14610000</v>
      </c>
      <c r="E41" s="25">
        <f t="shared" si="14"/>
        <v>2810000</v>
      </c>
      <c r="F41" s="25">
        <f t="shared" si="14"/>
        <v>17420000</v>
      </c>
      <c r="G41" s="25">
        <f>SUM(G34:G40)</f>
        <v>14760000</v>
      </c>
      <c r="H41" s="25">
        <f>SUM(H34:H40)</f>
        <v>2810000</v>
      </c>
      <c r="I41" s="25">
        <f t="shared" ref="I41" si="15">SUM(I34:I40)</f>
        <v>17570000</v>
      </c>
    </row>
    <row r="42" spans="2:9" x14ac:dyDescent="0.25">
      <c r="B42" s="66" t="s">
        <v>108</v>
      </c>
      <c r="C42" s="52" t="s">
        <v>109</v>
      </c>
      <c r="D42" s="24">
        <v>550000</v>
      </c>
      <c r="E42" s="24">
        <v>0</v>
      </c>
      <c r="F42" s="25">
        <f>+D42+E42</f>
        <v>550000</v>
      </c>
      <c r="G42" s="24">
        <v>550000</v>
      </c>
      <c r="H42" s="24">
        <f>3050000-G42</f>
        <v>2500000</v>
      </c>
      <c r="I42" s="25">
        <f>+G42+H42</f>
        <v>3050000</v>
      </c>
    </row>
    <row r="43" spans="2:9" x14ac:dyDescent="0.25">
      <c r="B43" s="66" t="s">
        <v>110</v>
      </c>
      <c r="C43" s="52" t="s">
        <v>111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6" t="s">
        <v>112</v>
      </c>
      <c r="C44" s="52" t="s">
        <v>113</v>
      </c>
      <c r="D44" s="24"/>
      <c r="E44" s="24"/>
      <c r="F44" s="25">
        <f>+D44+E44</f>
        <v>0</v>
      </c>
      <c r="G44" s="24"/>
      <c r="H44" s="24">
        <v>7495200</v>
      </c>
      <c r="I44" s="25">
        <f>+G44+H44</f>
        <v>7495200</v>
      </c>
    </row>
    <row r="45" spans="2:9" x14ac:dyDescent="0.25">
      <c r="B45" s="66" t="s">
        <v>114</v>
      </c>
      <c r="C45" s="52" t="s">
        <v>115</v>
      </c>
      <c r="D45" s="24">
        <v>148000</v>
      </c>
      <c r="E45" s="24">
        <v>0</v>
      </c>
      <c r="F45" s="25">
        <f>+D45+E45</f>
        <v>148000</v>
      </c>
      <c r="G45" s="24">
        <f>2651346-H45</f>
        <v>148000</v>
      </c>
      <c r="H45" s="24">
        <v>2503346</v>
      </c>
      <c r="I45" s="25">
        <f>+G45+H45</f>
        <v>2651346</v>
      </c>
    </row>
    <row r="46" spans="2:9" s="31" customFormat="1" x14ac:dyDescent="0.25">
      <c r="B46" s="56" t="s">
        <v>116</v>
      </c>
      <c r="C46" s="55" t="s">
        <v>117</v>
      </c>
      <c r="D46" s="25">
        <f t="shared" ref="D46:F46" si="16">SUM(D42:D45)</f>
        <v>698000</v>
      </c>
      <c r="E46" s="25">
        <f t="shared" si="16"/>
        <v>0</v>
      </c>
      <c r="F46" s="25">
        <f t="shared" si="16"/>
        <v>698000</v>
      </c>
      <c r="G46" s="25">
        <f>SUM(G42:G45)</f>
        <v>698000</v>
      </c>
      <c r="H46" s="25">
        <f>SUM(H42:H45)</f>
        <v>12498546</v>
      </c>
      <c r="I46" s="25">
        <f t="shared" ref="I46" si="17">SUM(I42:I45)</f>
        <v>13196546</v>
      </c>
    </row>
    <row r="47" spans="2:9" ht="15.75" hidden="1" customHeight="1" x14ac:dyDescent="0.25">
      <c r="B47" s="66" t="s">
        <v>620</v>
      </c>
      <c r="C47" s="52" t="s">
        <v>119</v>
      </c>
      <c r="D47" s="24"/>
      <c r="E47" s="24"/>
      <c r="F47" s="25">
        <f t="shared" ref="F47:F55" si="18">+D47+E47</f>
        <v>0</v>
      </c>
      <c r="G47" s="24"/>
      <c r="H47" s="24"/>
      <c r="I47" s="25">
        <f t="shared" ref="I47:I55" si="19">+G47+H47</f>
        <v>0</v>
      </c>
    </row>
    <row r="48" spans="2:9" ht="15.75" hidden="1" customHeight="1" x14ac:dyDescent="0.25">
      <c r="B48" s="66" t="s">
        <v>621</v>
      </c>
      <c r="C48" s="52" t="s">
        <v>121</v>
      </c>
      <c r="D48" s="24"/>
      <c r="E48" s="24"/>
      <c r="F48" s="25">
        <f t="shared" si="18"/>
        <v>0</v>
      </c>
      <c r="G48" s="24"/>
      <c r="H48" s="24"/>
      <c r="I48" s="25">
        <f t="shared" si="19"/>
        <v>0</v>
      </c>
    </row>
    <row r="49" spans="2:16" ht="15.75" hidden="1" customHeight="1" x14ac:dyDescent="0.25">
      <c r="B49" s="66" t="s">
        <v>122</v>
      </c>
      <c r="C49" s="52" t="s">
        <v>123</v>
      </c>
      <c r="D49" s="24"/>
      <c r="E49" s="24"/>
      <c r="F49" s="25">
        <f t="shared" si="18"/>
        <v>0</v>
      </c>
      <c r="G49" s="24"/>
      <c r="H49" s="24"/>
      <c r="I49" s="25">
        <f t="shared" si="19"/>
        <v>0</v>
      </c>
    </row>
    <row r="50" spans="2:16" ht="15.75" hidden="1" customHeight="1" x14ac:dyDescent="0.25">
      <c r="B50" s="66" t="s">
        <v>124</v>
      </c>
      <c r="C50" s="52" t="s">
        <v>125</v>
      </c>
      <c r="D50" s="24"/>
      <c r="E50" s="24"/>
      <c r="F50" s="25">
        <f t="shared" si="18"/>
        <v>0</v>
      </c>
      <c r="G50" s="24"/>
      <c r="H50" s="24"/>
      <c r="I50" s="25">
        <f t="shared" si="19"/>
        <v>0</v>
      </c>
    </row>
    <row r="51" spans="2:16" x14ac:dyDescent="0.25">
      <c r="B51" s="66" t="s">
        <v>126</v>
      </c>
      <c r="C51" s="52" t="s">
        <v>127</v>
      </c>
      <c r="D51" s="24">
        <v>16101000</v>
      </c>
      <c r="E51" s="24"/>
      <c r="F51" s="25">
        <f t="shared" si="18"/>
        <v>16101000</v>
      </c>
      <c r="G51" s="24">
        <v>16101000</v>
      </c>
      <c r="H51" s="24"/>
      <c r="I51" s="25">
        <f t="shared" si="19"/>
        <v>16101000</v>
      </c>
    </row>
    <row r="52" spans="2:16" ht="15.75" hidden="1" customHeight="1" x14ac:dyDescent="0.25">
      <c r="B52" s="66" t="s">
        <v>128</v>
      </c>
      <c r="C52" s="52" t="s">
        <v>129</v>
      </c>
      <c r="D52" s="24"/>
      <c r="E52" s="24"/>
      <c r="F52" s="25">
        <f t="shared" si="18"/>
        <v>0</v>
      </c>
      <c r="G52" s="24"/>
      <c r="H52" s="24"/>
      <c r="I52" s="25">
        <f t="shared" si="19"/>
        <v>0</v>
      </c>
    </row>
    <row r="53" spans="2:16" ht="15.75" hidden="1" customHeight="1" x14ac:dyDescent="0.25">
      <c r="B53" s="66" t="s">
        <v>130</v>
      </c>
      <c r="C53" s="52" t="s">
        <v>131</v>
      </c>
      <c r="D53" s="24"/>
      <c r="E53" s="24"/>
      <c r="F53" s="25">
        <f t="shared" si="18"/>
        <v>0</v>
      </c>
      <c r="G53" s="24"/>
      <c r="H53" s="24"/>
      <c r="I53" s="25">
        <f t="shared" si="19"/>
        <v>0</v>
      </c>
    </row>
    <row r="54" spans="2:16" ht="15.75" hidden="1" customHeight="1" x14ac:dyDescent="0.25">
      <c r="B54" s="59" t="s">
        <v>622</v>
      </c>
      <c r="C54" s="52" t="s">
        <v>133</v>
      </c>
      <c r="D54" s="24"/>
      <c r="E54" s="24"/>
      <c r="F54" s="25">
        <f t="shared" si="18"/>
        <v>0</v>
      </c>
      <c r="G54" s="24"/>
      <c r="H54" s="24"/>
      <c r="I54" s="25">
        <f t="shared" si="19"/>
        <v>0</v>
      </c>
    </row>
    <row r="55" spans="2:16" ht="15.75" hidden="1" customHeight="1" x14ac:dyDescent="0.25">
      <c r="B55" s="66" t="s">
        <v>134</v>
      </c>
      <c r="C55" s="52" t="s">
        <v>135</v>
      </c>
      <c r="D55" s="24"/>
      <c r="E55" s="24"/>
      <c r="F55" s="25">
        <f t="shared" si="18"/>
        <v>0</v>
      </c>
      <c r="G55" s="24"/>
      <c r="H55" s="24"/>
      <c r="I55" s="25">
        <f t="shared" si="19"/>
        <v>0</v>
      </c>
    </row>
    <row r="56" spans="2:16" s="31" customFormat="1" x14ac:dyDescent="0.25">
      <c r="B56" s="57" t="s">
        <v>136</v>
      </c>
      <c r="C56" s="55" t="s">
        <v>137</v>
      </c>
      <c r="D56" s="25">
        <f t="shared" ref="D56:I56" si="20">SUM(D47:D55)</f>
        <v>16101000</v>
      </c>
      <c r="E56" s="25">
        <f t="shared" si="20"/>
        <v>0</v>
      </c>
      <c r="F56" s="25">
        <f t="shared" si="20"/>
        <v>16101000</v>
      </c>
      <c r="G56" s="25">
        <f t="shared" si="20"/>
        <v>16101000</v>
      </c>
      <c r="H56" s="25">
        <f t="shared" si="20"/>
        <v>0</v>
      </c>
      <c r="I56" s="25">
        <f t="shared" si="20"/>
        <v>16101000</v>
      </c>
    </row>
    <row r="57" spans="2:16" x14ac:dyDescent="0.25">
      <c r="B57" s="60" t="s">
        <v>138</v>
      </c>
      <c r="C57" s="61" t="s">
        <v>139</v>
      </c>
      <c r="D57" s="62">
        <f t="shared" ref="D57:I57" si="21">+D56+D46+D41</f>
        <v>31409000</v>
      </c>
      <c r="E57" s="62">
        <f t="shared" si="21"/>
        <v>2810000</v>
      </c>
      <c r="F57" s="62">
        <f t="shared" si="21"/>
        <v>34219000</v>
      </c>
      <c r="G57" s="62">
        <f t="shared" si="21"/>
        <v>31559000</v>
      </c>
      <c r="H57" s="62">
        <f t="shared" si="21"/>
        <v>15308546</v>
      </c>
      <c r="I57" s="62">
        <f t="shared" si="21"/>
        <v>46867546</v>
      </c>
    </row>
    <row r="58" spans="2:16" x14ac:dyDescent="0.25">
      <c r="B58" s="67" t="s">
        <v>140</v>
      </c>
      <c r="C58" s="68" t="s">
        <v>141</v>
      </c>
      <c r="D58" s="69">
        <f t="shared" ref="D58:I58" si="22">+D56+D46+D41+D32+D17+D16+D10+D9</f>
        <v>286388301</v>
      </c>
      <c r="E58" s="69">
        <f t="shared" si="22"/>
        <v>304574568</v>
      </c>
      <c r="F58" s="69">
        <f t="shared" si="22"/>
        <v>590962869</v>
      </c>
      <c r="G58" s="69">
        <f t="shared" si="22"/>
        <v>303422442</v>
      </c>
      <c r="H58" s="69">
        <f t="shared" si="22"/>
        <v>304628909</v>
      </c>
      <c r="I58" s="69">
        <f t="shared" si="22"/>
        <v>608051351</v>
      </c>
    </row>
    <row r="59" spans="2:16" ht="15.75" hidden="1" customHeight="1" x14ac:dyDescent="0.25">
      <c r="B59" s="71" t="s">
        <v>602</v>
      </c>
      <c r="C59" s="53" t="s">
        <v>167</v>
      </c>
      <c r="D59" s="218"/>
      <c r="E59" s="218"/>
      <c r="F59" s="24">
        <f>+D59+E59</f>
        <v>0</v>
      </c>
      <c r="G59" s="218"/>
      <c r="H59" s="218"/>
      <c r="I59" s="24">
        <f>+G59+H59</f>
        <v>0</v>
      </c>
      <c r="J59" s="219"/>
      <c r="K59" s="219"/>
      <c r="L59" s="219"/>
      <c r="M59" s="219"/>
      <c r="N59" s="219"/>
      <c r="O59" s="219"/>
      <c r="P59" s="219"/>
    </row>
    <row r="60" spans="2:16" ht="15.75" hidden="1" customHeight="1" x14ac:dyDescent="0.25">
      <c r="B60" s="71" t="s">
        <v>168</v>
      </c>
      <c r="C60" s="53" t="s">
        <v>169</v>
      </c>
      <c r="D60" s="218"/>
      <c r="E60" s="218"/>
      <c r="F60" s="24">
        <f>+D60+E60</f>
        <v>0</v>
      </c>
      <c r="G60" s="218"/>
      <c r="H60" s="218"/>
      <c r="I60" s="24">
        <f>+G60+H60</f>
        <v>0</v>
      </c>
      <c r="J60" s="219"/>
      <c r="K60" s="219"/>
      <c r="L60" s="219"/>
      <c r="M60" s="219"/>
      <c r="N60" s="219"/>
      <c r="O60" s="219"/>
      <c r="P60" s="219"/>
    </row>
    <row r="61" spans="2:16" ht="15.75" hidden="1" customHeight="1" x14ac:dyDescent="0.25">
      <c r="B61" s="66" t="s">
        <v>170</v>
      </c>
      <c r="C61" s="53" t="s">
        <v>171</v>
      </c>
      <c r="D61" s="218"/>
      <c r="E61" s="218"/>
      <c r="F61" s="24">
        <f>+D61+E61</f>
        <v>0</v>
      </c>
      <c r="G61" s="218"/>
      <c r="H61" s="218"/>
      <c r="I61" s="24">
        <f>+G61+H61</f>
        <v>0</v>
      </c>
      <c r="J61" s="220"/>
      <c r="K61" s="220"/>
      <c r="L61" s="220"/>
      <c r="M61" s="220"/>
      <c r="N61" s="220"/>
      <c r="O61" s="220"/>
      <c r="P61" s="220"/>
    </row>
    <row r="62" spans="2:16" ht="15.75" hidden="1" customHeight="1" x14ac:dyDescent="0.25">
      <c r="B62" s="66" t="s">
        <v>172</v>
      </c>
      <c r="C62" s="53" t="s">
        <v>173</v>
      </c>
      <c r="D62" s="218"/>
      <c r="E62" s="218"/>
      <c r="F62" s="24">
        <f>+D62+E62</f>
        <v>0</v>
      </c>
      <c r="G62" s="218"/>
      <c r="H62" s="218"/>
      <c r="I62" s="24">
        <f>+G62+H62</f>
        <v>0</v>
      </c>
      <c r="J62" s="220"/>
      <c r="K62" s="220"/>
      <c r="L62" s="220"/>
      <c r="M62" s="220"/>
      <c r="N62" s="220"/>
      <c r="O62" s="220"/>
      <c r="P62" s="220"/>
    </row>
    <row r="63" spans="2:16" x14ac:dyDescent="0.25">
      <c r="B63" s="74" t="s">
        <v>174</v>
      </c>
      <c r="C63" s="75" t="s">
        <v>175</v>
      </c>
      <c r="D63" s="76">
        <f t="shared" ref="D63:I63" si="23">+D61+D60+D59+D62</f>
        <v>0</v>
      </c>
      <c r="E63" s="76">
        <f t="shared" si="23"/>
        <v>0</v>
      </c>
      <c r="F63" s="76">
        <f t="shared" si="23"/>
        <v>0</v>
      </c>
      <c r="G63" s="76">
        <f t="shared" si="23"/>
        <v>0</v>
      </c>
      <c r="H63" s="76">
        <f t="shared" si="23"/>
        <v>0</v>
      </c>
      <c r="I63" s="76">
        <f t="shared" si="23"/>
        <v>0</v>
      </c>
      <c r="J63" s="221"/>
      <c r="K63" s="221"/>
      <c r="L63" s="221"/>
      <c r="M63" s="221"/>
      <c r="N63" s="221"/>
      <c r="O63" s="221"/>
      <c r="P63" s="221"/>
    </row>
    <row r="64" spans="2:16" x14ac:dyDescent="0.25">
      <c r="B64" s="28" t="s">
        <v>176</v>
      </c>
      <c r="C64" s="28" t="s">
        <v>177</v>
      </c>
      <c r="D64" s="29">
        <f t="shared" ref="D64:I64" si="24">+D58+D63</f>
        <v>286388301</v>
      </c>
      <c r="E64" s="29">
        <f t="shared" si="24"/>
        <v>304574568</v>
      </c>
      <c r="F64" s="29">
        <f t="shared" si="24"/>
        <v>590962869</v>
      </c>
      <c r="G64" s="29">
        <f t="shared" si="24"/>
        <v>303422442</v>
      </c>
      <c r="H64" s="29">
        <f t="shared" si="24"/>
        <v>304628909</v>
      </c>
      <c r="I64" s="29">
        <f t="shared" si="24"/>
        <v>608051351</v>
      </c>
    </row>
    <row r="65" spans="2:9" x14ac:dyDescent="0.25">
      <c r="B65" s="13"/>
      <c r="C65" s="13"/>
      <c r="D65" s="14"/>
      <c r="E65" s="14"/>
      <c r="F65" s="77"/>
      <c r="G65" s="14"/>
      <c r="H65" s="14"/>
      <c r="I65" s="77"/>
    </row>
    <row r="66" spans="2:9" ht="15.75" hidden="1" customHeight="1" x14ac:dyDescent="0.25">
      <c r="B66" s="13"/>
      <c r="C66" s="13"/>
      <c r="D66" s="494" t="s">
        <v>11</v>
      </c>
      <c r="E66" s="494"/>
      <c r="F66" s="494"/>
      <c r="G66" s="494" t="s">
        <v>11</v>
      </c>
      <c r="H66" s="494"/>
      <c r="I66" s="494"/>
    </row>
    <row r="67" spans="2:9" ht="31.5" x14ac:dyDescent="0.25">
      <c r="B67" s="19" t="s">
        <v>12</v>
      </c>
      <c r="C67" s="47" t="s">
        <v>178</v>
      </c>
      <c r="D67" s="48" t="s">
        <v>13</v>
      </c>
      <c r="E67" s="48" t="s">
        <v>14</v>
      </c>
      <c r="F67" s="47" t="s">
        <v>543</v>
      </c>
      <c r="G67" s="48" t="s">
        <v>13</v>
      </c>
      <c r="H67" s="48" t="s">
        <v>14</v>
      </c>
      <c r="I67" s="473" t="s">
        <v>543</v>
      </c>
    </row>
    <row r="68" spans="2:9" ht="15.75" hidden="1" customHeight="1" x14ac:dyDescent="0.25">
      <c r="B68" s="56" t="s">
        <v>603</v>
      </c>
      <c r="C68" s="65" t="s">
        <v>192</v>
      </c>
      <c r="D68" s="25"/>
      <c r="E68" s="25"/>
      <c r="F68" s="25">
        <f t="shared" ref="F68:F73" si="25">+E68+D68</f>
        <v>0</v>
      </c>
      <c r="G68" s="25"/>
      <c r="H68" s="25"/>
      <c r="I68" s="25">
        <f t="shared" ref="I68:I73" si="26">+H68+G68</f>
        <v>0</v>
      </c>
    </row>
    <row r="69" spans="2:9" ht="15.75" hidden="1" customHeight="1" x14ac:dyDescent="0.25">
      <c r="B69" s="53" t="s">
        <v>193</v>
      </c>
      <c r="C69" s="64" t="s">
        <v>194</v>
      </c>
      <c r="D69" s="25"/>
      <c r="E69" s="25"/>
      <c r="F69" s="25">
        <f t="shared" si="25"/>
        <v>0</v>
      </c>
      <c r="G69" s="25"/>
      <c r="H69" s="25"/>
      <c r="I69" s="25">
        <f t="shared" si="26"/>
        <v>0</v>
      </c>
    </row>
    <row r="70" spans="2:9" ht="31.5" hidden="1" customHeight="1" x14ac:dyDescent="0.25">
      <c r="B70" s="53" t="s">
        <v>604</v>
      </c>
      <c r="C70" s="64" t="s">
        <v>196</v>
      </c>
      <c r="D70" s="25"/>
      <c r="E70" s="25"/>
      <c r="F70" s="25">
        <f t="shared" si="25"/>
        <v>0</v>
      </c>
      <c r="G70" s="25"/>
      <c r="H70" s="25"/>
      <c r="I70" s="25">
        <f t="shared" si="26"/>
        <v>0</v>
      </c>
    </row>
    <row r="71" spans="2:9" ht="15.75" hidden="1" customHeight="1" x14ac:dyDescent="0.25">
      <c r="B71" s="53" t="s">
        <v>197</v>
      </c>
      <c r="C71" s="64" t="s">
        <v>198</v>
      </c>
      <c r="D71" s="25"/>
      <c r="E71" s="25"/>
      <c r="F71" s="25">
        <f t="shared" si="25"/>
        <v>0</v>
      </c>
      <c r="G71" s="25"/>
      <c r="H71" s="25"/>
      <c r="I71" s="25">
        <f t="shared" si="26"/>
        <v>0</v>
      </c>
    </row>
    <row r="72" spans="2:9" ht="15.75" hidden="1" customHeight="1" x14ac:dyDescent="0.25">
      <c r="B72" s="53" t="s">
        <v>199</v>
      </c>
      <c r="C72" s="64" t="s">
        <v>200</v>
      </c>
      <c r="D72" s="25"/>
      <c r="E72" s="25"/>
      <c r="F72" s="25">
        <f t="shared" si="25"/>
        <v>0</v>
      </c>
      <c r="G72" s="25"/>
      <c r="H72" s="25"/>
      <c r="I72" s="25">
        <f t="shared" si="26"/>
        <v>0</v>
      </c>
    </row>
    <row r="73" spans="2:9" x14ac:dyDescent="0.25">
      <c r="B73" s="53" t="s">
        <v>201</v>
      </c>
      <c r="C73" s="64" t="s">
        <v>202</v>
      </c>
      <c r="D73" s="24">
        <v>56450405</v>
      </c>
      <c r="E73" s="24">
        <v>81470852</v>
      </c>
      <c r="F73" s="25">
        <f t="shared" si="25"/>
        <v>137921257</v>
      </c>
      <c r="G73" s="24">
        <v>56450405</v>
      </c>
      <c r="H73" s="24">
        <v>81470852</v>
      </c>
      <c r="I73" s="25">
        <f t="shared" si="26"/>
        <v>137921257</v>
      </c>
    </row>
    <row r="74" spans="2:9" x14ac:dyDescent="0.25">
      <c r="B74" s="56" t="s">
        <v>203</v>
      </c>
      <c r="C74" s="65" t="s">
        <v>204</v>
      </c>
      <c r="D74" s="25">
        <f t="shared" ref="D74:F74" si="27">+D73+D72+D71+D70+D69+D68</f>
        <v>56450405</v>
      </c>
      <c r="E74" s="25">
        <f t="shared" si="27"/>
        <v>81470852</v>
      </c>
      <c r="F74" s="25">
        <f t="shared" si="27"/>
        <v>137921257</v>
      </c>
      <c r="G74" s="25">
        <f>+G73+G72+G71+G70+G69+G68</f>
        <v>56450405</v>
      </c>
      <c r="H74" s="25">
        <f>+H73+H72+H71+H70+H69+H68</f>
        <v>81470852</v>
      </c>
      <c r="I74" s="25">
        <f t="shared" ref="I74" si="28">+I73+I72+I71+I70+I69+I68</f>
        <v>137921257</v>
      </c>
    </row>
    <row r="75" spans="2:9" x14ac:dyDescent="0.25">
      <c r="B75" s="56" t="s">
        <v>205</v>
      </c>
      <c r="C75" s="65" t="s">
        <v>206</v>
      </c>
      <c r="D75" s="24"/>
      <c r="E75" s="24"/>
      <c r="F75" s="25">
        <f t="shared" ref="F75:F81" si="29">+E75+D75</f>
        <v>0</v>
      </c>
      <c r="G75" s="24"/>
      <c r="H75" s="24"/>
      <c r="I75" s="25">
        <f t="shared" ref="I75:I81" si="30">+H75+G75</f>
        <v>0</v>
      </c>
    </row>
    <row r="76" spans="2:9" ht="15.75" hidden="1" customHeight="1" x14ac:dyDescent="0.25">
      <c r="B76" s="53" t="s">
        <v>207</v>
      </c>
      <c r="C76" s="64" t="s">
        <v>208</v>
      </c>
      <c r="D76" s="24"/>
      <c r="E76" s="24"/>
      <c r="F76" s="25">
        <f t="shared" si="29"/>
        <v>0</v>
      </c>
      <c r="G76" s="24"/>
      <c r="H76" s="24"/>
      <c r="I76" s="25">
        <f t="shared" si="30"/>
        <v>0</v>
      </c>
    </row>
    <row r="77" spans="2:9" ht="15.75" hidden="1" customHeight="1" x14ac:dyDescent="0.25">
      <c r="B77" s="53" t="s">
        <v>209</v>
      </c>
      <c r="C77" s="64" t="s">
        <v>210</v>
      </c>
      <c r="D77" s="24"/>
      <c r="E77" s="24"/>
      <c r="F77" s="25">
        <f t="shared" si="29"/>
        <v>0</v>
      </c>
      <c r="G77" s="24"/>
      <c r="H77" s="24"/>
      <c r="I77" s="25">
        <f t="shared" si="30"/>
        <v>0</v>
      </c>
    </row>
    <row r="78" spans="2:9" ht="15.75" hidden="1" customHeight="1" x14ac:dyDescent="0.25">
      <c r="B78" s="53" t="s">
        <v>211</v>
      </c>
      <c r="C78" s="64" t="s">
        <v>212</v>
      </c>
      <c r="D78" s="24"/>
      <c r="E78" s="24"/>
      <c r="F78" s="25">
        <f t="shared" si="29"/>
        <v>0</v>
      </c>
      <c r="G78" s="24"/>
      <c r="H78" s="24"/>
      <c r="I78" s="25">
        <f t="shared" si="30"/>
        <v>0</v>
      </c>
    </row>
    <row r="79" spans="2:9" ht="15.75" hidden="1" customHeight="1" x14ac:dyDescent="0.25">
      <c r="B79" s="53" t="s">
        <v>213</v>
      </c>
      <c r="C79" s="64" t="s">
        <v>214</v>
      </c>
      <c r="D79" s="24"/>
      <c r="E79" s="24"/>
      <c r="F79" s="25">
        <f t="shared" si="29"/>
        <v>0</v>
      </c>
      <c r="G79" s="24"/>
      <c r="H79" s="24"/>
      <c r="I79" s="25">
        <f t="shared" si="30"/>
        <v>0</v>
      </c>
    </row>
    <row r="80" spans="2:9" ht="15.75" hidden="1" customHeight="1" x14ac:dyDescent="0.25">
      <c r="B80" s="53" t="s">
        <v>215</v>
      </c>
      <c r="C80" s="64" t="s">
        <v>216</v>
      </c>
      <c r="D80" s="24"/>
      <c r="E80" s="24"/>
      <c r="F80" s="25">
        <f t="shared" si="29"/>
        <v>0</v>
      </c>
      <c r="G80" s="24"/>
      <c r="H80" s="24"/>
      <c r="I80" s="25">
        <f t="shared" si="30"/>
        <v>0</v>
      </c>
    </row>
    <row r="81" spans="2:9" ht="15.75" hidden="1" customHeight="1" x14ac:dyDescent="0.25">
      <c r="B81" s="53" t="s">
        <v>217</v>
      </c>
      <c r="C81" s="64" t="s">
        <v>218</v>
      </c>
      <c r="D81" s="24"/>
      <c r="E81" s="24"/>
      <c r="F81" s="25">
        <f t="shared" si="29"/>
        <v>0</v>
      </c>
      <c r="G81" s="24"/>
      <c r="H81" s="24"/>
      <c r="I81" s="25">
        <f t="shared" si="30"/>
        <v>0</v>
      </c>
    </row>
    <row r="82" spans="2:9" x14ac:dyDescent="0.25">
      <c r="B82" s="56" t="s">
        <v>219</v>
      </c>
      <c r="C82" s="65" t="s">
        <v>220</v>
      </c>
      <c r="D82" s="25">
        <f t="shared" ref="D82:F82" si="31">SUM(D76:D81)</f>
        <v>0</v>
      </c>
      <c r="E82" s="25">
        <f t="shared" si="31"/>
        <v>0</v>
      </c>
      <c r="F82" s="25">
        <f t="shared" si="31"/>
        <v>0</v>
      </c>
      <c r="G82" s="25">
        <f>SUM(G76:G81)</f>
        <v>0</v>
      </c>
      <c r="H82" s="25">
        <f>SUM(H76:H81)</f>
        <v>0</v>
      </c>
      <c r="I82" s="25">
        <f t="shared" ref="I82" si="32">SUM(I76:I81)</f>
        <v>0</v>
      </c>
    </row>
    <row r="83" spans="2:9" x14ac:dyDescent="0.25">
      <c r="B83" s="66" t="s">
        <v>607</v>
      </c>
      <c r="C83" s="64" t="s">
        <v>222</v>
      </c>
      <c r="D83" s="24">
        <v>473000</v>
      </c>
      <c r="E83" s="24">
        <v>411000</v>
      </c>
      <c r="F83" s="25">
        <f t="shared" ref="F83:F93" si="33">+E83+D83</f>
        <v>884000</v>
      </c>
      <c r="G83" s="24">
        <v>418659</v>
      </c>
      <c r="H83" s="24">
        <v>465341</v>
      </c>
      <c r="I83" s="25">
        <f t="shared" ref="I83:I93" si="34">+H83+G83</f>
        <v>884000</v>
      </c>
    </row>
    <row r="84" spans="2:9" x14ac:dyDescent="0.25">
      <c r="B84" s="66" t="s">
        <v>223</v>
      </c>
      <c r="C84" s="64" t="s">
        <v>224</v>
      </c>
      <c r="D84" s="24">
        <v>32940000</v>
      </c>
      <c r="E84" s="24">
        <v>175451000</v>
      </c>
      <c r="F84" s="25">
        <f t="shared" si="33"/>
        <v>208391000</v>
      </c>
      <c r="G84" s="24">
        <v>32940000</v>
      </c>
      <c r="H84" s="24">
        <v>175451000</v>
      </c>
      <c r="I84" s="25">
        <f t="shared" si="34"/>
        <v>208391000</v>
      </c>
    </row>
    <row r="85" spans="2:9" x14ac:dyDescent="0.25">
      <c r="B85" s="66" t="s">
        <v>225</v>
      </c>
      <c r="C85" s="64" t="s">
        <v>226</v>
      </c>
      <c r="D85" s="24"/>
      <c r="E85" s="24">
        <v>121000</v>
      </c>
      <c r="F85" s="25">
        <f t="shared" si="33"/>
        <v>121000</v>
      </c>
      <c r="G85" s="24"/>
      <c r="H85" s="24">
        <v>121000</v>
      </c>
      <c r="I85" s="25">
        <f t="shared" si="34"/>
        <v>121000</v>
      </c>
    </row>
    <row r="86" spans="2:9" x14ac:dyDescent="0.25">
      <c r="B86" s="66" t="s">
        <v>227</v>
      </c>
      <c r="C86" s="64" t="s">
        <v>228</v>
      </c>
      <c r="D86" s="24"/>
      <c r="E86" s="24"/>
      <c r="F86" s="25">
        <f t="shared" si="33"/>
        <v>0</v>
      </c>
      <c r="G86" s="24"/>
      <c r="H86" s="24"/>
      <c r="I86" s="25">
        <f t="shared" si="34"/>
        <v>0</v>
      </c>
    </row>
    <row r="87" spans="2:9" x14ac:dyDescent="0.25">
      <c r="B87" s="66" t="s">
        <v>229</v>
      </c>
      <c r="C87" s="64" t="s">
        <v>230</v>
      </c>
      <c r="D87" s="24"/>
      <c r="E87" s="24"/>
      <c r="F87" s="25">
        <f t="shared" si="33"/>
        <v>0</v>
      </c>
      <c r="G87" s="24"/>
      <c r="H87" s="24"/>
      <c r="I87" s="25">
        <f t="shared" si="34"/>
        <v>0</v>
      </c>
    </row>
    <row r="88" spans="2:9" x14ac:dyDescent="0.25">
      <c r="B88" s="66" t="s">
        <v>231</v>
      </c>
      <c r="C88" s="64" t="s">
        <v>232</v>
      </c>
      <c r="D88" s="24">
        <v>128000</v>
      </c>
      <c r="E88" s="24">
        <v>27802000</v>
      </c>
      <c r="F88" s="25">
        <f t="shared" si="33"/>
        <v>27930000</v>
      </c>
      <c r="G88" s="24">
        <v>128000</v>
      </c>
      <c r="H88" s="24">
        <v>27802000</v>
      </c>
      <c r="I88" s="25">
        <f t="shared" si="34"/>
        <v>27930000</v>
      </c>
    </row>
    <row r="89" spans="2:9" x14ac:dyDescent="0.25">
      <c r="B89" s="66" t="s">
        <v>233</v>
      </c>
      <c r="C89" s="64" t="s">
        <v>234</v>
      </c>
      <c r="D89" s="24"/>
      <c r="E89" s="24"/>
      <c r="F89" s="25">
        <f t="shared" si="33"/>
        <v>0</v>
      </c>
      <c r="G89" s="24"/>
      <c r="H89" s="24"/>
      <c r="I89" s="25">
        <f t="shared" si="34"/>
        <v>0</v>
      </c>
    </row>
    <row r="90" spans="2:9" x14ac:dyDescent="0.25">
      <c r="B90" s="66" t="s">
        <v>235</v>
      </c>
      <c r="C90" s="64" t="s">
        <v>236</v>
      </c>
      <c r="D90" s="24"/>
      <c r="E90" s="24"/>
      <c r="F90" s="25">
        <f t="shared" si="33"/>
        <v>0</v>
      </c>
      <c r="G90" s="24"/>
      <c r="H90" s="24"/>
      <c r="I90" s="25">
        <f t="shared" si="34"/>
        <v>0</v>
      </c>
    </row>
    <row r="91" spans="2:9" x14ac:dyDescent="0.25">
      <c r="B91" s="66" t="s">
        <v>237</v>
      </c>
      <c r="C91" s="64" t="s">
        <v>238</v>
      </c>
      <c r="D91" s="24"/>
      <c r="E91" s="24">
        <v>10000</v>
      </c>
      <c r="F91" s="25">
        <f t="shared" si="33"/>
        <v>10000</v>
      </c>
      <c r="G91" s="24"/>
      <c r="H91" s="24">
        <v>10000</v>
      </c>
      <c r="I91" s="25">
        <f t="shared" si="34"/>
        <v>10000</v>
      </c>
    </row>
    <row r="92" spans="2:9" x14ac:dyDescent="0.25">
      <c r="B92" s="66" t="s">
        <v>239</v>
      </c>
      <c r="C92" s="64" t="s">
        <v>240</v>
      </c>
      <c r="D92" s="24"/>
      <c r="E92" s="24"/>
      <c r="F92" s="25">
        <f t="shared" si="33"/>
        <v>0</v>
      </c>
      <c r="G92" s="24"/>
      <c r="H92" s="24"/>
      <c r="I92" s="25">
        <f t="shared" si="34"/>
        <v>0</v>
      </c>
    </row>
    <row r="93" spans="2:9" x14ac:dyDescent="0.25">
      <c r="B93" s="66" t="s">
        <v>241</v>
      </c>
      <c r="C93" s="64" t="s">
        <v>242</v>
      </c>
      <c r="D93" s="24"/>
      <c r="E93" s="24"/>
      <c r="F93" s="25">
        <f t="shared" si="33"/>
        <v>0</v>
      </c>
      <c r="G93" s="24"/>
      <c r="H93" s="24"/>
      <c r="I93" s="25">
        <f t="shared" si="34"/>
        <v>0</v>
      </c>
    </row>
    <row r="94" spans="2:9" x14ac:dyDescent="0.25">
      <c r="B94" s="57" t="s">
        <v>243</v>
      </c>
      <c r="C94" s="65" t="s">
        <v>244</v>
      </c>
      <c r="D94" s="25">
        <f t="shared" ref="D94:F94" si="35">SUM(D83:D93)</f>
        <v>33541000</v>
      </c>
      <c r="E94" s="25">
        <f t="shared" si="35"/>
        <v>203795000</v>
      </c>
      <c r="F94" s="25">
        <f t="shared" si="35"/>
        <v>237336000</v>
      </c>
      <c r="G94" s="25">
        <f>SUM(G83:G93)</f>
        <v>33486659</v>
      </c>
      <c r="H94" s="25">
        <f>SUM(H83:H93)</f>
        <v>203849341</v>
      </c>
      <c r="I94" s="25">
        <f t="shared" ref="I94" si="36">SUM(I83:I93)</f>
        <v>237336000</v>
      </c>
    </row>
    <row r="95" spans="2:9" x14ac:dyDescent="0.25">
      <c r="B95" s="66" t="s">
        <v>245</v>
      </c>
      <c r="C95" s="64" t="s">
        <v>246</v>
      </c>
      <c r="D95" s="24"/>
      <c r="E95" s="24"/>
      <c r="F95" s="25">
        <f>+E95+D95</f>
        <v>0</v>
      </c>
      <c r="G95" s="24"/>
      <c r="H95" s="24"/>
      <c r="I95" s="25">
        <f>+H95+G95</f>
        <v>0</v>
      </c>
    </row>
    <row r="96" spans="2:9" x14ac:dyDescent="0.25">
      <c r="B96" s="66" t="s">
        <v>247</v>
      </c>
      <c r="C96" s="64" t="s">
        <v>248</v>
      </c>
      <c r="D96" s="24"/>
      <c r="E96" s="24"/>
      <c r="F96" s="25">
        <f>+E96+D96</f>
        <v>0</v>
      </c>
      <c r="G96" s="24"/>
      <c r="H96" s="24"/>
      <c r="I96" s="25">
        <f>+H96+G96</f>
        <v>0</v>
      </c>
    </row>
    <row r="97" spans="2:9" x14ac:dyDescent="0.25">
      <c r="B97" s="66" t="s">
        <v>249</v>
      </c>
      <c r="C97" s="64" t="s">
        <v>250</v>
      </c>
      <c r="D97" s="24"/>
      <c r="E97" s="24"/>
      <c r="F97" s="25">
        <f>+E97+D97</f>
        <v>0</v>
      </c>
      <c r="G97" s="24"/>
      <c r="H97" s="24"/>
      <c r="I97" s="25">
        <f>+H97+G97</f>
        <v>0</v>
      </c>
    </row>
    <row r="98" spans="2:9" ht="15.75" hidden="1" customHeight="1" x14ac:dyDescent="0.25">
      <c r="B98" s="66" t="s">
        <v>251</v>
      </c>
      <c r="C98" s="64" t="s">
        <v>252</v>
      </c>
      <c r="D98" s="24"/>
      <c r="E98" s="24"/>
      <c r="F98" s="25">
        <f>+E98+D98</f>
        <v>0</v>
      </c>
      <c r="G98" s="24"/>
      <c r="H98" s="24"/>
      <c r="I98" s="25">
        <f>+H98+G98</f>
        <v>0</v>
      </c>
    </row>
    <row r="99" spans="2:9" ht="15.75" hidden="1" customHeight="1" x14ac:dyDescent="0.25">
      <c r="B99" s="66" t="s">
        <v>253</v>
      </c>
      <c r="C99" s="64" t="s">
        <v>254</v>
      </c>
      <c r="D99" s="24"/>
      <c r="E99" s="24"/>
      <c r="F99" s="25">
        <f>+E99+D99</f>
        <v>0</v>
      </c>
      <c r="G99" s="24"/>
      <c r="H99" s="24"/>
      <c r="I99" s="25">
        <f>+H99+G99</f>
        <v>0</v>
      </c>
    </row>
    <row r="100" spans="2:9" x14ac:dyDescent="0.25">
      <c r="B100" s="56" t="s">
        <v>255</v>
      </c>
      <c r="C100" s="65" t="s">
        <v>256</v>
      </c>
      <c r="D100" s="25">
        <f t="shared" ref="D100:F100" si="37">SUM(D95:D99)</f>
        <v>0</v>
      </c>
      <c r="E100" s="25">
        <f t="shared" si="37"/>
        <v>0</v>
      </c>
      <c r="F100" s="25">
        <f t="shared" si="37"/>
        <v>0</v>
      </c>
      <c r="G100" s="25">
        <f>SUM(G95:G99)</f>
        <v>0</v>
      </c>
      <c r="H100" s="25">
        <f>SUM(H95:H99)</f>
        <v>0</v>
      </c>
      <c r="I100" s="25">
        <f t="shared" ref="I100" si="38">SUM(I95:I99)</f>
        <v>0</v>
      </c>
    </row>
    <row r="101" spans="2:9" x14ac:dyDescent="0.25">
      <c r="B101" s="56" t="s">
        <v>257</v>
      </c>
      <c r="C101" s="65" t="s">
        <v>258</v>
      </c>
      <c r="D101" s="24"/>
      <c r="E101" s="24"/>
      <c r="F101" s="25">
        <f>+E101+D101</f>
        <v>0</v>
      </c>
      <c r="G101" s="24"/>
      <c r="H101" s="24"/>
      <c r="I101" s="25">
        <f>+H101+G101</f>
        <v>0</v>
      </c>
    </row>
    <row r="102" spans="2:9" ht="15.75" hidden="1" customHeight="1" x14ac:dyDescent="0.25">
      <c r="B102" s="66" t="s">
        <v>259</v>
      </c>
      <c r="C102" s="64" t="s">
        <v>260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</row>
    <row r="103" spans="2:9" ht="15.75" hidden="1" customHeight="1" x14ac:dyDescent="0.25">
      <c r="B103" s="53" t="s">
        <v>261</v>
      </c>
      <c r="C103" s="64" t="s">
        <v>262</v>
      </c>
      <c r="D103" s="24"/>
      <c r="E103" s="24"/>
      <c r="F103" s="25"/>
      <c r="G103" s="24"/>
      <c r="H103" s="24"/>
      <c r="I103" s="25"/>
    </row>
    <row r="104" spans="2:9" ht="31.5" hidden="1" customHeight="1" x14ac:dyDescent="0.25">
      <c r="B104" s="66" t="s">
        <v>263</v>
      </c>
      <c r="C104" s="64" t="s">
        <v>264</v>
      </c>
      <c r="D104" s="24"/>
      <c r="E104" s="24"/>
      <c r="F104" s="25"/>
      <c r="G104" s="24"/>
      <c r="H104" s="24"/>
      <c r="I104" s="25"/>
    </row>
    <row r="105" spans="2:9" ht="15.75" hidden="1" customHeight="1" x14ac:dyDescent="0.25">
      <c r="B105" s="66" t="s">
        <v>265</v>
      </c>
      <c r="C105" s="64" t="s">
        <v>266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</row>
    <row r="106" spans="2:9" x14ac:dyDescent="0.25">
      <c r="B106" s="66" t="s">
        <v>267</v>
      </c>
      <c r="C106" s="64" t="s">
        <v>268</v>
      </c>
      <c r="D106" s="24">
        <v>4000000</v>
      </c>
      <c r="E106" s="24"/>
      <c r="F106" s="25">
        <f>+E106+D106</f>
        <v>4000000</v>
      </c>
      <c r="G106" s="24">
        <v>4000000</v>
      </c>
      <c r="H106" s="24"/>
      <c r="I106" s="25">
        <f>+H106+G106</f>
        <v>4000000</v>
      </c>
    </row>
    <row r="107" spans="2:9" x14ac:dyDescent="0.25">
      <c r="B107" s="56" t="s">
        <v>269</v>
      </c>
      <c r="C107" s="65" t="s">
        <v>270</v>
      </c>
      <c r="D107" s="25">
        <f t="shared" ref="D107:I107" si="39">SUM(D102:D106)</f>
        <v>4000000</v>
      </c>
      <c r="E107" s="25">
        <f t="shared" si="39"/>
        <v>0</v>
      </c>
      <c r="F107" s="25">
        <f t="shared" si="39"/>
        <v>4000000</v>
      </c>
      <c r="G107" s="25">
        <f t="shared" si="39"/>
        <v>4000000</v>
      </c>
      <c r="H107" s="25">
        <f t="shared" si="39"/>
        <v>0</v>
      </c>
      <c r="I107" s="25">
        <f t="shared" si="39"/>
        <v>4000000</v>
      </c>
    </row>
    <row r="108" spans="2:9" x14ac:dyDescent="0.25">
      <c r="B108" s="78" t="s">
        <v>271</v>
      </c>
      <c r="C108" s="67" t="s">
        <v>272</v>
      </c>
      <c r="D108" s="69">
        <f t="shared" ref="D108:I108" si="40">+D107+D101+D100+D94+D82+D75+D74</f>
        <v>93991405</v>
      </c>
      <c r="E108" s="69">
        <f t="shared" si="40"/>
        <v>285265852</v>
      </c>
      <c r="F108" s="69">
        <f t="shared" si="40"/>
        <v>379257257</v>
      </c>
      <c r="G108" s="69">
        <f t="shared" si="40"/>
        <v>93937064</v>
      </c>
      <c r="H108" s="69">
        <f t="shared" si="40"/>
        <v>285320193</v>
      </c>
      <c r="I108" s="69">
        <f t="shared" si="40"/>
        <v>379257257</v>
      </c>
    </row>
    <row r="109" spans="2:9" x14ac:dyDescent="0.25">
      <c r="B109" s="79" t="s">
        <v>273</v>
      </c>
      <c r="C109" s="80"/>
      <c r="D109" s="81">
        <f>+D101+D94+D82+D74-D33</f>
        <v>-164987896</v>
      </c>
      <c r="E109" s="81">
        <f>+E101+E94+E82+E74-E33</f>
        <v>-16498716</v>
      </c>
      <c r="F109" s="81">
        <f t="shared" ref="F109:F116" si="41">+E109+D109</f>
        <v>-181486612</v>
      </c>
      <c r="G109" s="81">
        <f>+G101+G94+G82+G74-G33</f>
        <v>-181926378</v>
      </c>
      <c r="H109" s="81">
        <f>+H101+H94+H82+H74-H33</f>
        <v>-4000170</v>
      </c>
      <c r="I109" s="81">
        <f t="shared" ref="I109:I116" si="42">+H109+G109</f>
        <v>-185926548</v>
      </c>
    </row>
    <row r="110" spans="2:9" x14ac:dyDescent="0.25">
      <c r="B110" s="79" t="s">
        <v>274</v>
      </c>
      <c r="C110" s="80"/>
      <c r="D110" s="81">
        <f>+D107+D100+D75-D57</f>
        <v>-27409000</v>
      </c>
      <c r="E110" s="81">
        <f>+E107+E100+E75-E57</f>
        <v>-2810000</v>
      </c>
      <c r="F110" s="81">
        <f t="shared" si="41"/>
        <v>-30219000</v>
      </c>
      <c r="G110" s="81">
        <f>+G107+G100+G75-G57</f>
        <v>-27559000</v>
      </c>
      <c r="H110" s="81">
        <f>+H107+H100+H75-H57</f>
        <v>-15308546</v>
      </c>
      <c r="I110" s="81">
        <f t="shared" si="42"/>
        <v>-42867546</v>
      </c>
    </row>
    <row r="111" spans="2:9" ht="15.75" hidden="1" customHeight="1" x14ac:dyDescent="0.25">
      <c r="B111" s="57" t="s">
        <v>611</v>
      </c>
      <c r="C111" s="56" t="s">
        <v>282</v>
      </c>
      <c r="D111" s="24"/>
      <c r="E111" s="24"/>
      <c r="F111" s="25">
        <f t="shared" si="41"/>
        <v>0</v>
      </c>
      <c r="G111" s="24"/>
      <c r="H111" s="24"/>
      <c r="I111" s="25">
        <f t="shared" si="42"/>
        <v>0</v>
      </c>
    </row>
    <row r="112" spans="2:9" ht="15.75" hidden="1" customHeight="1" x14ac:dyDescent="0.25">
      <c r="B112" s="73" t="s">
        <v>612</v>
      </c>
      <c r="C112" s="56" t="s">
        <v>292</v>
      </c>
      <c r="D112" s="24"/>
      <c r="E112" s="24"/>
      <c r="F112" s="25">
        <f t="shared" si="41"/>
        <v>0</v>
      </c>
      <c r="G112" s="24"/>
      <c r="H112" s="24"/>
      <c r="I112" s="25">
        <f t="shared" si="42"/>
        <v>0</v>
      </c>
    </row>
    <row r="113" spans="1:9" x14ac:dyDescent="0.25">
      <c r="B113" s="53" t="s">
        <v>293</v>
      </c>
      <c r="C113" s="53" t="s">
        <v>294</v>
      </c>
      <c r="D113" s="24">
        <v>32017000</v>
      </c>
      <c r="E113" s="24">
        <v>16248000</v>
      </c>
      <c r="F113" s="25">
        <f t="shared" si="41"/>
        <v>48265000</v>
      </c>
      <c r="G113" s="24">
        <v>48860436</v>
      </c>
      <c r="H113" s="24">
        <v>16248000</v>
      </c>
      <c r="I113" s="25">
        <f t="shared" si="42"/>
        <v>65108436</v>
      </c>
    </row>
    <row r="114" spans="1:9" x14ac:dyDescent="0.25">
      <c r="A114" s="13" t="s">
        <v>331</v>
      </c>
      <c r="B114" s="53" t="s">
        <v>295</v>
      </c>
      <c r="C114" s="53" t="s">
        <v>294</v>
      </c>
      <c r="D114" s="24">
        <v>20849000</v>
      </c>
      <c r="E114" s="24"/>
      <c r="F114" s="25">
        <f t="shared" si="41"/>
        <v>20849000</v>
      </c>
      <c r="G114" s="24">
        <v>20849000</v>
      </c>
      <c r="H114" s="24"/>
      <c r="I114" s="25">
        <f t="shared" si="42"/>
        <v>20849000</v>
      </c>
    </row>
    <row r="115" spans="1:9" ht="15.75" hidden="1" customHeight="1" x14ac:dyDescent="0.25">
      <c r="B115" s="53" t="s">
        <v>296</v>
      </c>
      <c r="C115" s="53" t="s">
        <v>297</v>
      </c>
      <c r="D115" s="24"/>
      <c r="E115" s="24"/>
      <c r="F115" s="25">
        <f t="shared" si="41"/>
        <v>0</v>
      </c>
      <c r="G115" s="24"/>
      <c r="H115" s="24"/>
      <c r="I115" s="25">
        <f t="shared" si="42"/>
        <v>0</v>
      </c>
    </row>
    <row r="116" spans="1:9" ht="15.75" hidden="1" customHeight="1" x14ac:dyDescent="0.25">
      <c r="A116"/>
      <c r="B116" s="53" t="s">
        <v>298</v>
      </c>
      <c r="C116" s="53" t="s">
        <v>297</v>
      </c>
      <c r="D116" s="24"/>
      <c r="E116" s="24"/>
      <c r="F116" s="25">
        <f t="shared" si="41"/>
        <v>0</v>
      </c>
      <c r="G116" s="24"/>
      <c r="H116" s="24"/>
      <c r="I116" s="25">
        <f t="shared" si="42"/>
        <v>0</v>
      </c>
    </row>
    <row r="117" spans="1:9" x14ac:dyDescent="0.25">
      <c r="A117" s="13" t="s">
        <v>623</v>
      </c>
      <c r="B117" s="56" t="s">
        <v>299</v>
      </c>
      <c r="C117" s="56" t="s">
        <v>300</v>
      </c>
      <c r="D117" s="25">
        <f t="shared" ref="D117:F117" si="43">SUM(D113:D116)</f>
        <v>52866000</v>
      </c>
      <c r="E117" s="25">
        <f t="shared" si="43"/>
        <v>16248000</v>
      </c>
      <c r="F117" s="25">
        <f t="shared" si="43"/>
        <v>69114000</v>
      </c>
      <c r="G117" s="25">
        <f>SUM(G113:G116)</f>
        <v>69709436</v>
      </c>
      <c r="H117" s="25">
        <f>SUM(H113:H116)</f>
        <v>16248000</v>
      </c>
      <c r="I117" s="25">
        <f t="shared" ref="I117" si="44">SUM(I113:I116)</f>
        <v>85957436</v>
      </c>
    </row>
    <row r="118" spans="1:9" ht="15.75" hidden="1" customHeight="1" x14ac:dyDescent="0.25">
      <c r="A118"/>
      <c r="B118" s="71" t="s">
        <v>301</v>
      </c>
      <c r="C118" s="53" t="s">
        <v>302</v>
      </c>
      <c r="D118" s="24"/>
      <c r="E118" s="24"/>
      <c r="F118" s="25">
        <f t="shared" ref="F118:F125" si="45">+E118+D118</f>
        <v>0</v>
      </c>
      <c r="G118" s="24"/>
      <c r="H118" s="24"/>
      <c r="I118" s="25">
        <f t="shared" ref="I118:I125" si="46">+H118+G118</f>
        <v>0</v>
      </c>
    </row>
    <row r="119" spans="1:9" ht="15.75" hidden="1" customHeight="1" x14ac:dyDescent="0.25">
      <c r="B119" s="71" t="s">
        <v>303</v>
      </c>
      <c r="C119" s="53" t="s">
        <v>304</v>
      </c>
      <c r="D119" s="24"/>
      <c r="E119" s="24"/>
      <c r="F119" s="25">
        <f t="shared" si="45"/>
        <v>0</v>
      </c>
      <c r="G119" s="24"/>
      <c r="H119" s="24"/>
      <c r="I119" s="25">
        <f t="shared" si="46"/>
        <v>0</v>
      </c>
    </row>
    <row r="120" spans="1:9" x14ac:dyDescent="0.25">
      <c r="A120" s="30" t="s">
        <v>628</v>
      </c>
      <c r="B120" s="71" t="s">
        <v>305</v>
      </c>
      <c r="C120" s="53" t="s">
        <v>306</v>
      </c>
      <c r="D120" s="24">
        <v>139530896</v>
      </c>
      <c r="E120" s="24">
        <v>3060716</v>
      </c>
      <c r="F120" s="25">
        <f t="shared" si="45"/>
        <v>142591612</v>
      </c>
      <c r="G120" s="24">
        <f>142836658-H120</f>
        <v>139775942</v>
      </c>
      <c r="H120" s="24">
        <v>3060716</v>
      </c>
      <c r="I120" s="25">
        <f t="shared" si="46"/>
        <v>142836658</v>
      </c>
    </row>
    <row r="121" spans="1:9" s="222" customFormat="1" x14ac:dyDescent="0.25">
      <c r="B121" s="223" t="s">
        <v>625</v>
      </c>
      <c r="C121" s="136"/>
      <c r="D121" s="97">
        <v>0</v>
      </c>
      <c r="E121" s="97">
        <v>0</v>
      </c>
      <c r="F121" s="125">
        <f t="shared" si="45"/>
        <v>0</v>
      </c>
      <c r="G121" s="97">
        <v>0</v>
      </c>
      <c r="H121" s="97">
        <v>0</v>
      </c>
      <c r="I121" s="125">
        <f t="shared" si="46"/>
        <v>0</v>
      </c>
    </row>
    <row r="122" spans="1:9" s="222" customFormat="1" x14ac:dyDescent="0.25">
      <c r="B122" s="224" t="s">
        <v>616</v>
      </c>
      <c r="C122" s="136"/>
      <c r="D122" s="97">
        <f>+D120-D121</f>
        <v>139530896</v>
      </c>
      <c r="E122" s="97">
        <f>+E120-E121</f>
        <v>3060716</v>
      </c>
      <c r="F122" s="125">
        <f t="shared" si="45"/>
        <v>142591612</v>
      </c>
      <c r="G122" s="97">
        <f>+G120-G121</f>
        <v>139775942</v>
      </c>
      <c r="H122" s="97">
        <f>+H120-H121</f>
        <v>3060716</v>
      </c>
      <c r="I122" s="125">
        <f t="shared" si="46"/>
        <v>142836658</v>
      </c>
    </row>
    <row r="123" spans="1:9" ht="15.75" hidden="1" customHeight="1" x14ac:dyDescent="0.25">
      <c r="B123" s="71" t="s">
        <v>307</v>
      </c>
      <c r="C123" s="53" t="s">
        <v>308</v>
      </c>
      <c r="D123" s="24"/>
      <c r="E123" s="24"/>
      <c r="F123" s="25">
        <f t="shared" si="45"/>
        <v>0</v>
      </c>
      <c r="G123" s="24"/>
      <c r="H123" s="24"/>
      <c r="I123" s="25">
        <f t="shared" si="46"/>
        <v>0</v>
      </c>
    </row>
    <row r="124" spans="1:9" ht="15.75" hidden="1" customHeight="1" x14ac:dyDescent="0.25">
      <c r="B124" s="66" t="s">
        <v>309</v>
      </c>
      <c r="C124" s="53" t="s">
        <v>310</v>
      </c>
      <c r="D124" s="24"/>
      <c r="E124" s="24"/>
      <c r="F124" s="25">
        <f t="shared" si="45"/>
        <v>0</v>
      </c>
      <c r="G124" s="24"/>
      <c r="H124" s="24"/>
      <c r="I124" s="25">
        <f t="shared" si="46"/>
        <v>0</v>
      </c>
    </row>
    <row r="125" spans="1:9" ht="15.75" hidden="1" customHeight="1" x14ac:dyDescent="0.25">
      <c r="B125" s="66" t="s">
        <v>311</v>
      </c>
      <c r="C125" s="53" t="s">
        <v>312</v>
      </c>
      <c r="D125" s="24"/>
      <c r="E125" s="24"/>
      <c r="F125" s="25">
        <f t="shared" si="45"/>
        <v>0</v>
      </c>
      <c r="G125" s="24"/>
      <c r="H125" s="24"/>
      <c r="I125" s="25">
        <f t="shared" si="46"/>
        <v>0</v>
      </c>
    </row>
    <row r="126" spans="1:9" x14ac:dyDescent="0.25">
      <c r="B126" s="57" t="s">
        <v>313</v>
      </c>
      <c r="C126" s="56" t="s">
        <v>314</v>
      </c>
      <c r="D126" s="25">
        <f>SUM(D118:D125)+D117+D112+D111-D121-D122</f>
        <v>192396896</v>
      </c>
      <c r="E126" s="25">
        <f>SUM(E118:E125)+E117+E112+E111-E121-E122</f>
        <v>19308716</v>
      </c>
      <c r="F126" s="25">
        <f>SUM(F118:F124)+F117+F112+F111-F121-F122</f>
        <v>211705612</v>
      </c>
      <c r="G126" s="25">
        <f>SUM(G118:G125)+G117+G112+G111-G121-G122</f>
        <v>209485378</v>
      </c>
      <c r="H126" s="25">
        <f>SUM(H118:H125)+H117+H112+H111-H121-H122</f>
        <v>19308716</v>
      </c>
      <c r="I126" s="25">
        <f>SUM(I118:I124)+I117+I112+I111-I121-I122</f>
        <v>228794094</v>
      </c>
    </row>
    <row r="127" spans="1:9" ht="15.75" hidden="1" customHeight="1" x14ac:dyDescent="0.25">
      <c r="B127" s="71" t="s">
        <v>315</v>
      </c>
      <c r="C127" s="53" t="s">
        <v>316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t="15.75" hidden="1" customHeight="1" x14ac:dyDescent="0.25">
      <c r="B128" s="66" t="s">
        <v>317</v>
      </c>
      <c r="C128" s="53" t="s">
        <v>318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t="15.75" hidden="1" customHeight="1" x14ac:dyDescent="0.25">
      <c r="B129" s="66" t="s">
        <v>319</v>
      </c>
      <c r="C129" s="53" t="s">
        <v>320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4" t="s">
        <v>321</v>
      </c>
      <c r="C130" s="75" t="s">
        <v>322</v>
      </c>
      <c r="D130" s="69">
        <f>+D128+D127+D126+D129</f>
        <v>192396896</v>
      </c>
      <c r="E130" s="69">
        <f>+E128+E127+E126+E129</f>
        <v>19308716</v>
      </c>
      <c r="F130" s="69">
        <f>+F129+F127+F126</f>
        <v>211705612</v>
      </c>
      <c r="G130" s="69">
        <f>+G128+G127+G126+G129</f>
        <v>209485378</v>
      </c>
      <c r="H130" s="69">
        <f>+H128+H127+H126+H129</f>
        <v>19308716</v>
      </c>
      <c r="I130" s="69">
        <f>+I129+I127+I126</f>
        <v>228794094</v>
      </c>
    </row>
    <row r="131" spans="2:9" x14ac:dyDescent="0.25">
      <c r="B131" s="28" t="s">
        <v>323</v>
      </c>
      <c r="C131" s="28" t="s">
        <v>324</v>
      </c>
      <c r="D131" s="29">
        <f t="shared" ref="D131:I131" si="47">+D108+D130</f>
        <v>286388301</v>
      </c>
      <c r="E131" s="29">
        <f t="shared" si="47"/>
        <v>304574568</v>
      </c>
      <c r="F131" s="29">
        <f t="shared" si="47"/>
        <v>590962869</v>
      </c>
      <c r="G131" s="29">
        <f t="shared" si="47"/>
        <v>303422442</v>
      </c>
      <c r="H131" s="29">
        <f t="shared" si="47"/>
        <v>304628909</v>
      </c>
      <c r="I131" s="29">
        <f t="shared" si="47"/>
        <v>608051351</v>
      </c>
    </row>
    <row r="132" spans="2:9" x14ac:dyDescent="0.25">
      <c r="B132" s="13"/>
      <c r="C132" s="13"/>
      <c r="D132" s="14"/>
      <c r="E132" s="14"/>
      <c r="F132" s="77"/>
      <c r="G132" s="14"/>
      <c r="H132" s="14"/>
      <c r="I132" s="77"/>
    </row>
    <row r="133" spans="2:9" x14ac:dyDescent="0.25">
      <c r="B133" s="26" t="s">
        <v>325</v>
      </c>
      <c r="C133" s="26"/>
      <c r="D133" s="25">
        <f t="shared" ref="D133:I133" si="48">+D108-D58</f>
        <v>-192396896</v>
      </c>
      <c r="E133" s="25">
        <f t="shared" si="48"/>
        <v>-19308716</v>
      </c>
      <c r="F133" s="25">
        <f t="shared" si="48"/>
        <v>-211705612</v>
      </c>
      <c r="G133" s="25">
        <f t="shared" si="48"/>
        <v>-209485378</v>
      </c>
      <c r="H133" s="25">
        <f t="shared" si="48"/>
        <v>-19308716</v>
      </c>
      <c r="I133" s="25">
        <f t="shared" si="48"/>
        <v>-228794094</v>
      </c>
    </row>
    <row r="134" spans="2:9" x14ac:dyDescent="0.25">
      <c r="B134" s="26" t="s">
        <v>326</v>
      </c>
      <c r="C134" s="26"/>
      <c r="D134" s="25">
        <f t="shared" ref="D134:I134" si="49">+D130-D63</f>
        <v>192396896</v>
      </c>
      <c r="E134" s="25">
        <f t="shared" si="49"/>
        <v>19308716</v>
      </c>
      <c r="F134" s="25">
        <f t="shared" si="49"/>
        <v>211705612</v>
      </c>
      <c r="G134" s="25">
        <f t="shared" si="49"/>
        <v>209485378</v>
      </c>
      <c r="H134" s="25">
        <f t="shared" si="49"/>
        <v>19308716</v>
      </c>
      <c r="I134" s="25">
        <f t="shared" si="49"/>
        <v>228794094</v>
      </c>
    </row>
    <row r="135" spans="2:9" x14ac:dyDescent="0.25">
      <c r="B135" s="13"/>
      <c r="C135" s="13"/>
      <c r="D135" s="14"/>
      <c r="E135" s="14"/>
      <c r="F135" s="77"/>
      <c r="G135" s="14"/>
      <c r="H135" s="14"/>
      <c r="I135" s="77"/>
    </row>
    <row r="136" spans="2:9" x14ac:dyDescent="0.25">
      <c r="B136" s="82" t="s">
        <v>329</v>
      </c>
      <c r="C136" s="13"/>
      <c r="D136" s="14">
        <f t="shared" ref="D136:I136" si="50">+D131-D64</f>
        <v>0</v>
      </c>
      <c r="E136" s="14">
        <f t="shared" si="50"/>
        <v>0</v>
      </c>
      <c r="F136" s="14">
        <f t="shared" si="50"/>
        <v>0</v>
      </c>
      <c r="G136" s="14">
        <f t="shared" si="50"/>
        <v>0</v>
      </c>
      <c r="H136" s="14">
        <f t="shared" si="50"/>
        <v>0</v>
      </c>
      <c r="I136" s="14">
        <f t="shared" si="50"/>
        <v>0</v>
      </c>
    </row>
    <row r="137" spans="2:9" x14ac:dyDescent="0.25">
      <c r="B137" s="13"/>
      <c r="C137" s="13"/>
      <c r="D137" s="14"/>
      <c r="E137" s="14"/>
      <c r="F137" s="77"/>
      <c r="G137" s="14"/>
      <c r="H137" s="14"/>
      <c r="I137" s="77"/>
    </row>
    <row r="138" spans="2:9" x14ac:dyDescent="0.25">
      <c r="B138" s="13"/>
      <c r="C138" s="13"/>
      <c r="D138" s="14"/>
      <c r="E138" s="14"/>
      <c r="F138" s="77"/>
      <c r="G138" s="14"/>
      <c r="H138" s="14"/>
      <c r="I138" s="77"/>
    </row>
    <row r="139" spans="2:9" x14ac:dyDescent="0.25">
      <c r="B139" s="13"/>
      <c r="C139" s="13"/>
      <c r="D139" s="14"/>
      <c r="E139" s="14"/>
      <c r="F139" s="77"/>
      <c r="G139" s="14"/>
      <c r="H139" s="14"/>
      <c r="I139" s="77"/>
    </row>
    <row r="140" spans="2:9" x14ac:dyDescent="0.25">
      <c r="B140" s="13"/>
      <c r="C140" s="13"/>
      <c r="D140" s="14"/>
      <c r="E140" s="14"/>
      <c r="F140" s="77"/>
      <c r="G140" s="14"/>
      <c r="H140" s="14"/>
      <c r="I140" s="77"/>
    </row>
    <row r="141" spans="2:9" x14ac:dyDescent="0.25">
      <c r="B141" s="13"/>
      <c r="C141" s="13"/>
      <c r="D141" s="14"/>
      <c r="E141" s="14"/>
      <c r="F141" s="77"/>
      <c r="G141" s="14"/>
      <c r="H141" s="14"/>
      <c r="I141" s="77"/>
    </row>
    <row r="142" spans="2:9" x14ac:dyDescent="0.25">
      <c r="B142" s="13"/>
      <c r="C142" s="13"/>
      <c r="D142" s="14"/>
      <c r="E142" s="14"/>
      <c r="F142" s="77"/>
      <c r="G142" s="14"/>
      <c r="H142" s="14"/>
      <c r="I142" s="77"/>
    </row>
    <row r="143" spans="2:9" x14ac:dyDescent="0.25">
      <c r="B143" s="13"/>
      <c r="C143" s="13"/>
      <c r="D143" s="14"/>
      <c r="E143" s="14"/>
      <c r="F143" s="77"/>
      <c r="G143" s="14"/>
      <c r="H143" s="14"/>
      <c r="I143" s="77"/>
    </row>
    <row r="144" spans="2:9" x14ac:dyDescent="0.25">
      <c r="B144" s="13"/>
      <c r="C144" s="13"/>
      <c r="D144" s="14"/>
      <c r="E144" s="14"/>
      <c r="F144" s="77"/>
      <c r="G144" s="14"/>
      <c r="H144" s="14"/>
      <c r="I144" s="77"/>
    </row>
    <row r="145" spans="2:9" x14ac:dyDescent="0.25">
      <c r="B145" s="13"/>
      <c r="C145" s="13"/>
      <c r="D145" s="14"/>
      <c r="E145" s="14"/>
      <c r="F145" s="77"/>
      <c r="G145" s="14"/>
      <c r="H145" s="14"/>
      <c r="I145" s="77"/>
    </row>
    <row r="146" spans="2:9" x14ac:dyDescent="0.25">
      <c r="B146" s="13"/>
      <c r="C146" s="13"/>
      <c r="D146" s="14"/>
      <c r="E146" s="14"/>
      <c r="F146" s="77"/>
      <c r="G146" s="14"/>
      <c r="H146" s="14"/>
      <c r="I146" s="77"/>
    </row>
    <row r="147" spans="2:9" x14ac:dyDescent="0.25">
      <c r="B147" s="13"/>
      <c r="C147" s="13"/>
      <c r="D147" s="14"/>
      <c r="E147" s="14"/>
      <c r="F147" s="77"/>
      <c r="G147" s="14"/>
      <c r="H147" s="14"/>
      <c r="I147" s="77"/>
    </row>
    <row r="148" spans="2:9" x14ac:dyDescent="0.25">
      <c r="B148" s="13"/>
      <c r="C148" s="13"/>
      <c r="D148" s="14"/>
      <c r="E148" s="14"/>
      <c r="F148" s="77"/>
      <c r="G148" s="14"/>
      <c r="H148" s="14"/>
      <c r="I148" s="77"/>
    </row>
    <row r="149" spans="2:9" x14ac:dyDescent="0.25">
      <c r="B149" s="13"/>
      <c r="C149" s="13"/>
      <c r="D149" s="14"/>
      <c r="E149" s="14"/>
      <c r="F149" s="77"/>
      <c r="G149" s="14"/>
      <c r="H149" s="14"/>
      <c r="I149" s="77"/>
    </row>
    <row r="150" spans="2:9" x14ac:dyDescent="0.25">
      <c r="B150" s="13"/>
      <c r="C150" s="13"/>
      <c r="D150" s="14"/>
      <c r="E150" s="14"/>
      <c r="F150" s="77"/>
      <c r="G150" s="14"/>
      <c r="H150" s="14"/>
      <c r="I150" s="77"/>
    </row>
    <row r="151" spans="2:9" x14ac:dyDescent="0.25">
      <c r="B151" s="13"/>
      <c r="C151" s="13"/>
      <c r="D151" s="14"/>
      <c r="E151" s="14"/>
      <c r="F151" s="77"/>
      <c r="G151" s="14"/>
      <c r="H151" s="14"/>
      <c r="I151" s="77"/>
    </row>
    <row r="152" spans="2:9" x14ac:dyDescent="0.25">
      <c r="B152" s="13"/>
      <c r="C152" s="13"/>
      <c r="D152" s="14"/>
      <c r="E152" s="14"/>
      <c r="F152" s="77"/>
      <c r="G152" s="14"/>
      <c r="H152" s="14"/>
      <c r="I152" s="77"/>
    </row>
    <row r="153" spans="2:9" x14ac:dyDescent="0.25">
      <c r="B153" s="13"/>
      <c r="C153" s="13"/>
      <c r="D153" s="14"/>
      <c r="E153" s="14"/>
      <c r="F153" s="77"/>
      <c r="G153" s="14"/>
      <c r="H153" s="14"/>
      <c r="I153" s="77"/>
    </row>
    <row r="154" spans="2:9" x14ac:dyDescent="0.25">
      <c r="B154" s="13"/>
      <c r="C154" s="13"/>
      <c r="D154" s="14"/>
      <c r="E154" s="14"/>
      <c r="F154" s="77"/>
      <c r="G154" s="14"/>
      <c r="H154" s="14"/>
      <c r="I154" s="77"/>
    </row>
    <row r="155" spans="2:9" x14ac:dyDescent="0.25">
      <c r="B155" s="13"/>
      <c r="C155" s="13"/>
      <c r="D155" s="14"/>
      <c r="E155" s="14"/>
      <c r="F155" s="77"/>
      <c r="G155" s="14"/>
      <c r="H155" s="14"/>
      <c r="I155" s="77"/>
    </row>
    <row r="156" spans="2:9" x14ac:dyDescent="0.25">
      <c r="B156" s="13"/>
      <c r="C156" s="13"/>
      <c r="D156" s="14"/>
      <c r="E156" s="14"/>
      <c r="F156" s="77"/>
      <c r="G156" s="14"/>
      <c r="H156" s="14"/>
      <c r="I156" s="77"/>
    </row>
    <row r="157" spans="2:9" x14ac:dyDescent="0.25">
      <c r="B157" s="13"/>
      <c r="C157" s="13"/>
      <c r="D157" s="14"/>
      <c r="E157" s="14"/>
      <c r="F157" s="77"/>
      <c r="G157" s="14"/>
      <c r="H157" s="14"/>
      <c r="I157" s="77"/>
    </row>
    <row r="158" spans="2:9" x14ac:dyDescent="0.25">
      <c r="B158" s="13"/>
      <c r="C158" s="13"/>
      <c r="D158" s="14"/>
      <c r="E158" s="14"/>
      <c r="F158" s="77"/>
      <c r="G158" s="14"/>
      <c r="H158" s="14"/>
      <c r="I158" s="77"/>
    </row>
    <row r="159" spans="2:9" x14ac:dyDescent="0.25">
      <c r="B159" s="13"/>
      <c r="C159" s="13"/>
      <c r="D159" s="14"/>
      <c r="E159" s="14"/>
      <c r="F159" s="77"/>
      <c r="G159" s="14"/>
      <c r="H159" s="14"/>
      <c r="I159" s="77"/>
    </row>
    <row r="160" spans="2:9" x14ac:dyDescent="0.25">
      <c r="B160" s="13"/>
      <c r="C160" s="13"/>
      <c r="D160" s="14"/>
      <c r="E160" s="14"/>
      <c r="F160" s="77"/>
      <c r="G160" s="14"/>
      <c r="H160" s="14"/>
      <c r="I160" s="77"/>
    </row>
    <row r="161" spans="2:9" x14ac:dyDescent="0.25">
      <c r="B161" s="13"/>
      <c r="C161" s="13"/>
      <c r="D161" s="14"/>
      <c r="E161" s="14"/>
      <c r="F161" s="77"/>
      <c r="G161" s="14"/>
      <c r="H161" s="14"/>
      <c r="I161" s="77"/>
    </row>
    <row r="162" spans="2:9" x14ac:dyDescent="0.25">
      <c r="B162" s="13"/>
      <c r="C162" s="13"/>
      <c r="D162" s="14"/>
      <c r="E162" s="14"/>
      <c r="F162" s="77"/>
      <c r="G162" s="14"/>
      <c r="H162" s="14"/>
      <c r="I162" s="77"/>
    </row>
    <row r="163" spans="2:9" x14ac:dyDescent="0.25">
      <c r="B163" s="13"/>
      <c r="C163" s="13"/>
      <c r="D163" s="14"/>
      <c r="E163" s="14"/>
      <c r="F163" s="77"/>
      <c r="G163" s="14"/>
      <c r="H163" s="14"/>
      <c r="I163" s="77"/>
    </row>
    <row r="164" spans="2:9" x14ac:dyDescent="0.25">
      <c r="B164" s="13"/>
      <c r="C164" s="13"/>
      <c r="D164" s="14"/>
      <c r="E164" s="14"/>
      <c r="F164" s="77"/>
      <c r="G164" s="14"/>
      <c r="H164" s="14"/>
      <c r="I164" s="77"/>
    </row>
    <row r="165" spans="2:9" x14ac:dyDescent="0.25">
      <c r="B165" s="13"/>
      <c r="C165" s="13"/>
      <c r="D165" s="14"/>
      <c r="E165" s="14"/>
      <c r="F165" s="77"/>
      <c r="G165" s="14"/>
      <c r="H165" s="14"/>
      <c r="I165" s="77"/>
    </row>
    <row r="166" spans="2:9" x14ac:dyDescent="0.25">
      <c r="B166" s="13"/>
      <c r="C166" s="13"/>
      <c r="D166" s="14"/>
      <c r="E166" s="14"/>
      <c r="F166" s="77"/>
      <c r="G166" s="14"/>
      <c r="H166" s="14"/>
      <c r="I166" s="77"/>
    </row>
    <row r="167" spans="2:9" x14ac:dyDescent="0.25">
      <c r="B167" s="13"/>
      <c r="C167" s="13"/>
      <c r="D167" s="14"/>
      <c r="E167" s="14"/>
      <c r="F167" s="77"/>
      <c r="G167" s="14"/>
      <c r="H167" s="14"/>
      <c r="I167" s="77"/>
    </row>
    <row r="168" spans="2:9" x14ac:dyDescent="0.25">
      <c r="B168" s="13"/>
      <c r="C168" s="13"/>
      <c r="D168" s="14"/>
      <c r="E168" s="14"/>
      <c r="F168" s="77"/>
      <c r="G168" s="14"/>
      <c r="H168" s="14"/>
      <c r="I168" s="77"/>
    </row>
    <row r="169" spans="2:9" x14ac:dyDescent="0.25">
      <c r="B169" s="13"/>
      <c r="C169" s="13"/>
      <c r="D169" s="14"/>
      <c r="E169" s="14"/>
      <c r="F169" s="77"/>
      <c r="G169" s="14"/>
      <c r="H169" s="14"/>
      <c r="I169" s="77"/>
    </row>
    <row r="170" spans="2:9" x14ac:dyDescent="0.25">
      <c r="B170" s="13"/>
      <c r="C170" s="13"/>
      <c r="D170" s="14"/>
      <c r="E170" s="14"/>
      <c r="F170" s="77"/>
      <c r="G170" s="14"/>
      <c r="H170" s="14"/>
      <c r="I170" s="77"/>
    </row>
    <row r="171" spans="2:9" x14ac:dyDescent="0.25">
      <c r="B171" s="13"/>
      <c r="C171" s="13"/>
      <c r="D171" s="14"/>
      <c r="E171" s="14"/>
      <c r="F171" s="77"/>
      <c r="G171" s="14"/>
      <c r="H171" s="14"/>
      <c r="I171" s="77"/>
    </row>
    <row r="172" spans="2:9" x14ac:dyDescent="0.25">
      <c r="B172" s="13"/>
      <c r="C172" s="13"/>
      <c r="D172" s="14"/>
      <c r="E172" s="14"/>
      <c r="F172" s="77"/>
      <c r="G172" s="14"/>
      <c r="H172" s="14"/>
      <c r="I172" s="77"/>
    </row>
    <row r="173" spans="2:9" x14ac:dyDescent="0.25">
      <c r="B173" s="13"/>
      <c r="C173" s="13"/>
      <c r="D173" s="14"/>
      <c r="E173" s="14"/>
      <c r="F173" s="77"/>
      <c r="G173" s="14"/>
      <c r="H173" s="14"/>
      <c r="I173" s="77"/>
    </row>
    <row r="174" spans="2:9" x14ac:dyDescent="0.25">
      <c r="B174" s="13"/>
      <c r="C174" s="13"/>
      <c r="D174" s="14"/>
      <c r="E174" s="14"/>
      <c r="F174" s="77"/>
      <c r="G174" s="14"/>
      <c r="H174" s="14"/>
      <c r="I174" s="77"/>
    </row>
    <row r="175" spans="2:9" x14ac:dyDescent="0.25">
      <c r="B175" s="13"/>
      <c r="C175" s="13"/>
      <c r="D175" s="14"/>
      <c r="E175" s="14"/>
      <c r="F175" s="77"/>
      <c r="G175" s="14"/>
      <c r="H175" s="14"/>
      <c r="I175" s="77"/>
    </row>
    <row r="176" spans="2:9" x14ac:dyDescent="0.25">
      <c r="B176" s="13"/>
      <c r="C176" s="13"/>
      <c r="D176" s="14"/>
      <c r="E176" s="14"/>
      <c r="F176" s="77"/>
      <c r="G176" s="14"/>
      <c r="H176" s="14"/>
      <c r="I176" s="77"/>
    </row>
    <row r="177" spans="2:9" x14ac:dyDescent="0.25">
      <c r="B177" s="13"/>
      <c r="C177" s="13"/>
      <c r="D177" s="14"/>
      <c r="E177" s="14"/>
      <c r="F177" s="77"/>
      <c r="G177" s="14"/>
      <c r="H177" s="14"/>
      <c r="I177" s="77"/>
    </row>
    <row r="178" spans="2:9" x14ac:dyDescent="0.25">
      <c r="B178" s="13"/>
      <c r="C178" s="13"/>
      <c r="D178" s="14"/>
      <c r="E178" s="14"/>
      <c r="F178" s="77"/>
      <c r="G178" s="14"/>
      <c r="H178" s="14"/>
      <c r="I178" s="77"/>
    </row>
    <row r="179" spans="2:9" x14ac:dyDescent="0.25">
      <c r="B179" s="13"/>
      <c r="C179" s="13"/>
      <c r="D179" s="14"/>
      <c r="E179" s="14"/>
      <c r="F179" s="77"/>
      <c r="G179" s="14"/>
      <c r="H179" s="14"/>
      <c r="I179" s="77"/>
    </row>
    <row r="180" spans="2:9" x14ac:dyDescent="0.25">
      <c r="B180" s="13"/>
      <c r="C180" s="13"/>
      <c r="D180" s="14"/>
      <c r="E180" s="14"/>
      <c r="F180" s="77"/>
      <c r="G180" s="14"/>
      <c r="H180" s="14"/>
      <c r="I180" s="77"/>
    </row>
    <row r="181" spans="2:9" x14ac:dyDescent="0.25">
      <c r="B181" s="13"/>
      <c r="C181" s="13"/>
      <c r="D181" s="14"/>
      <c r="E181" s="14"/>
      <c r="F181" s="77"/>
      <c r="G181" s="14"/>
      <c r="H181" s="14"/>
      <c r="I181" s="77"/>
    </row>
    <row r="182" spans="2:9" x14ac:dyDescent="0.25">
      <c r="B182" s="13"/>
      <c r="C182" s="13"/>
      <c r="D182" s="14"/>
      <c r="E182" s="14"/>
      <c r="F182" s="77"/>
      <c r="G182" s="14"/>
      <c r="H182" s="14"/>
      <c r="I182" s="77"/>
    </row>
    <row r="183" spans="2:9" x14ac:dyDescent="0.25">
      <c r="B183" s="13"/>
      <c r="C183" s="13"/>
      <c r="D183" s="14"/>
      <c r="E183" s="14"/>
      <c r="F183" s="77"/>
      <c r="G183" s="14"/>
      <c r="H183" s="14"/>
      <c r="I183" s="77"/>
    </row>
    <row r="184" spans="2:9" x14ac:dyDescent="0.25">
      <c r="B184" s="13"/>
      <c r="C184" s="13"/>
      <c r="D184" s="14"/>
      <c r="E184" s="14"/>
      <c r="F184" s="77"/>
      <c r="G184" s="14"/>
      <c r="H184" s="14"/>
      <c r="I184" s="77"/>
    </row>
    <row r="185" spans="2:9" x14ac:dyDescent="0.25">
      <c r="B185" s="13"/>
      <c r="C185" s="13"/>
      <c r="D185" s="14"/>
      <c r="E185" s="14"/>
      <c r="F185" s="77"/>
      <c r="G185" s="14"/>
      <c r="H185" s="14"/>
      <c r="I185" s="77"/>
    </row>
    <row r="186" spans="2:9" x14ac:dyDescent="0.25">
      <c r="B186" s="13"/>
      <c r="C186" s="13"/>
      <c r="D186" s="14"/>
      <c r="E186" s="14"/>
      <c r="F186" s="77"/>
      <c r="G186" s="14"/>
      <c r="H186" s="14"/>
      <c r="I186" s="77"/>
    </row>
    <row r="187" spans="2:9" x14ac:dyDescent="0.25">
      <c r="B187" s="13"/>
      <c r="C187" s="13"/>
      <c r="D187" s="14"/>
      <c r="E187" s="14"/>
      <c r="F187" s="77"/>
      <c r="G187" s="14"/>
      <c r="H187" s="14"/>
      <c r="I187" s="77"/>
    </row>
    <row r="188" spans="2:9" x14ac:dyDescent="0.25">
      <c r="B188" s="13"/>
      <c r="C188" s="13"/>
      <c r="D188" s="14"/>
      <c r="E188" s="14"/>
      <c r="F188" s="77"/>
      <c r="G188" s="14"/>
      <c r="H188" s="14"/>
      <c r="I188" s="77"/>
    </row>
    <row r="189" spans="2:9" x14ac:dyDescent="0.25">
      <c r="B189" s="13"/>
      <c r="C189" s="13"/>
      <c r="D189" s="14"/>
      <c r="E189" s="14"/>
      <c r="F189" s="77"/>
      <c r="G189" s="14"/>
      <c r="H189" s="14"/>
      <c r="I189" s="77"/>
    </row>
    <row r="190" spans="2:9" x14ac:dyDescent="0.25">
      <c r="B190" s="13"/>
      <c r="C190" s="13"/>
      <c r="D190" s="14"/>
      <c r="E190" s="14"/>
      <c r="F190" s="77"/>
      <c r="G190" s="14"/>
      <c r="H190" s="14"/>
      <c r="I190" s="77"/>
    </row>
    <row r="191" spans="2:9" x14ac:dyDescent="0.25">
      <c r="B191" s="13"/>
      <c r="C191" s="13"/>
      <c r="D191" s="14"/>
      <c r="E191" s="14"/>
      <c r="F191" s="77"/>
      <c r="G191" s="14"/>
      <c r="H191" s="14"/>
      <c r="I191" s="77"/>
    </row>
    <row r="192" spans="2:9" x14ac:dyDescent="0.25">
      <c r="B192" s="13"/>
      <c r="C192" s="13"/>
      <c r="D192" s="14"/>
      <c r="E192" s="14"/>
      <c r="F192" s="77"/>
      <c r="G192" s="14"/>
      <c r="H192" s="14"/>
      <c r="I192" s="77"/>
    </row>
    <row r="193" spans="2:9" x14ac:dyDescent="0.25">
      <c r="B193" s="13"/>
      <c r="C193" s="13"/>
      <c r="D193" s="14"/>
      <c r="E193" s="14"/>
      <c r="F193" s="77"/>
      <c r="G193" s="14"/>
      <c r="H193" s="14"/>
      <c r="I193" s="77"/>
    </row>
    <row r="194" spans="2:9" x14ac:dyDescent="0.25">
      <c r="B194" s="13"/>
      <c r="C194" s="13"/>
      <c r="D194" s="14"/>
      <c r="E194" s="14"/>
      <c r="F194" s="77"/>
      <c r="G194" s="14"/>
      <c r="H194" s="14"/>
      <c r="I194" s="77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60972222222222228" right="0.24513888888888888" top="0.59027777777777779" bottom="0.51180555555555551" header="0.51180555555555551" footer="0.31527777777777777"/>
  <pageSetup paperSize="9" scale="55" firstPageNumber="0" orientation="portrait" horizontalDpi="300" verticalDpi="300" r:id="rId1"/>
  <headerFooter alignWithMargins="0">
    <oddFooter>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I2" sqref="I2"/>
    </sheetView>
  </sheetViews>
  <sheetFormatPr defaultColWidth="11.5703125" defaultRowHeight="15.75" x14ac:dyDescent="0.25"/>
  <cols>
    <col min="1" max="1" width="10.7109375" style="30" customWidth="1"/>
    <col min="2" max="2" width="72.28515625" style="30" customWidth="1"/>
    <col min="3" max="3" width="9.85546875" style="30" customWidth="1"/>
    <col min="4" max="5" width="14.5703125" style="30" customWidth="1"/>
    <col min="6" max="6" width="14.5703125" style="31" customWidth="1"/>
    <col min="7" max="7" width="13.42578125" style="30" customWidth="1"/>
    <col min="8" max="8" width="13.7109375" style="30" customWidth="1"/>
    <col min="9" max="9" width="14.28515625" style="31" customWidth="1"/>
    <col min="10" max="11" width="9.140625" style="30" customWidth="1"/>
    <col min="12" max="12" width="15.140625" style="30" bestFit="1" customWidth="1"/>
    <col min="13" max="252" width="9.140625" style="30" customWidth="1"/>
  </cols>
  <sheetData>
    <row r="1" spans="2:12" s="13" customFormat="1" x14ac:dyDescent="0.25">
      <c r="I1" s="15" t="s">
        <v>629</v>
      </c>
    </row>
    <row r="2" spans="2:12" s="13" customFormat="1" ht="20.25" x14ac:dyDescent="0.3">
      <c r="B2" s="217" t="s">
        <v>4</v>
      </c>
      <c r="I2" s="16" t="s">
        <v>919</v>
      </c>
    </row>
    <row r="3" spans="2:12" s="13" customFormat="1" x14ac:dyDescent="0.25">
      <c r="B3" s="43" t="s">
        <v>858</v>
      </c>
      <c r="C3" s="36"/>
      <c r="D3" s="36"/>
      <c r="E3" s="36"/>
      <c r="F3" s="37"/>
      <c r="G3" s="36"/>
      <c r="H3" s="36"/>
      <c r="I3" s="37"/>
    </row>
    <row r="4" spans="2:12" s="13" customFormat="1" x14ac:dyDescent="0.25">
      <c r="B4" s="41" t="s">
        <v>822</v>
      </c>
      <c r="C4" s="42"/>
      <c r="D4" s="42"/>
      <c r="E4" s="42"/>
      <c r="F4" s="43"/>
      <c r="G4" s="42"/>
      <c r="H4" s="42"/>
      <c r="I4" s="43"/>
    </row>
    <row r="5" spans="2:12" ht="15.75" customHeight="1" x14ac:dyDescent="0.25">
      <c r="B5" s="46"/>
      <c r="D5" s="494" t="s">
        <v>10</v>
      </c>
      <c r="E5" s="494"/>
      <c r="F5" s="494"/>
      <c r="G5" s="494" t="s">
        <v>11</v>
      </c>
      <c r="H5" s="494"/>
      <c r="I5" s="494"/>
    </row>
    <row r="6" spans="2:12" ht="31.5" x14ac:dyDescent="0.25">
      <c r="B6" s="19" t="s">
        <v>12</v>
      </c>
      <c r="C6" s="47" t="s">
        <v>38</v>
      </c>
      <c r="D6" s="48" t="s">
        <v>13</v>
      </c>
      <c r="E6" s="48" t="s">
        <v>14</v>
      </c>
      <c r="F6" s="47" t="s">
        <v>543</v>
      </c>
      <c r="G6" s="48" t="s">
        <v>13</v>
      </c>
      <c r="H6" s="48" t="s">
        <v>14</v>
      </c>
      <c r="I6" s="473" t="s">
        <v>543</v>
      </c>
    </row>
    <row r="7" spans="2:12" x14ac:dyDescent="0.25">
      <c r="B7" s="51" t="s">
        <v>39</v>
      </c>
      <c r="C7" s="52" t="s">
        <v>40</v>
      </c>
      <c r="D7" s="24">
        <v>30503832</v>
      </c>
      <c r="E7" s="24">
        <v>173161985</v>
      </c>
      <c r="F7" s="25">
        <f>+D7+E7</f>
        <v>203665817</v>
      </c>
      <c r="G7" s="24">
        <v>30503832</v>
      </c>
      <c r="H7" s="24">
        <f>207226249-G7</f>
        <v>176722417</v>
      </c>
      <c r="I7" s="25">
        <f>+G7+H7</f>
        <v>207226249</v>
      </c>
    </row>
    <row r="8" spans="2:12" x14ac:dyDescent="0.25">
      <c r="B8" s="53" t="s">
        <v>41</v>
      </c>
      <c r="C8" s="52" t="s">
        <v>42</v>
      </c>
      <c r="D8" s="24"/>
      <c r="E8" s="24">
        <v>15000000</v>
      </c>
      <c r="F8" s="25">
        <f>+D8+E8</f>
        <v>15000000</v>
      </c>
      <c r="G8" s="24"/>
      <c r="H8" s="24">
        <v>15321829</v>
      </c>
      <c r="I8" s="25">
        <f>+G8+H8</f>
        <v>15321829</v>
      </c>
    </row>
    <row r="9" spans="2:12" x14ac:dyDescent="0.25">
      <c r="B9" s="54" t="s">
        <v>43</v>
      </c>
      <c r="C9" s="55" t="s">
        <v>44</v>
      </c>
      <c r="D9" s="25">
        <f t="shared" ref="D9:F9" si="0">SUM(D7:D8)</f>
        <v>30503832</v>
      </c>
      <c r="E9" s="25">
        <f t="shared" si="0"/>
        <v>188161985</v>
      </c>
      <c r="F9" s="25">
        <f t="shared" si="0"/>
        <v>218665817</v>
      </c>
      <c r="G9" s="25">
        <f>SUM(G7:G8)</f>
        <v>30503832</v>
      </c>
      <c r="H9" s="25">
        <f>SUM(H7:H8)</f>
        <v>192044246</v>
      </c>
      <c r="I9" s="25">
        <f t="shared" ref="I9" si="1">SUM(I7:I8)</f>
        <v>222548078</v>
      </c>
    </row>
    <row r="10" spans="2:12" x14ac:dyDescent="0.25">
      <c r="B10" s="56" t="s">
        <v>45</v>
      </c>
      <c r="C10" s="55" t="s">
        <v>46</v>
      </c>
      <c r="D10" s="24">
        <v>5507000</v>
      </c>
      <c r="E10" s="24">
        <v>36351600</v>
      </c>
      <c r="F10" s="25">
        <f t="shared" ref="F10:F15" si="2">+D10+E10</f>
        <v>41858600</v>
      </c>
      <c r="G10" s="24">
        <v>5507000</v>
      </c>
      <c r="H10" s="24">
        <f>42544552-G10</f>
        <v>37037552</v>
      </c>
      <c r="I10" s="25">
        <f t="shared" ref="I10:I15" si="3">+G10+H10</f>
        <v>42544552</v>
      </c>
    </row>
    <row r="11" spans="2:12" x14ac:dyDescent="0.25">
      <c r="B11" s="53" t="s">
        <v>47</v>
      </c>
      <c r="C11" s="52" t="s">
        <v>48</v>
      </c>
      <c r="D11" s="24">
        <v>600000</v>
      </c>
      <c r="E11" s="24">
        <v>44916000</v>
      </c>
      <c r="F11" s="25">
        <f t="shared" si="2"/>
        <v>45516000</v>
      </c>
      <c r="G11" s="24">
        <v>600000</v>
      </c>
      <c r="H11" s="24">
        <f>45621665-G11</f>
        <v>45021665</v>
      </c>
      <c r="I11" s="25">
        <f t="shared" si="3"/>
        <v>45621665</v>
      </c>
    </row>
    <row r="12" spans="2:12" x14ac:dyDescent="0.25">
      <c r="B12" s="53" t="s">
        <v>49</v>
      </c>
      <c r="C12" s="52" t="s">
        <v>50</v>
      </c>
      <c r="D12" s="24">
        <v>200000</v>
      </c>
      <c r="E12" s="24">
        <v>6920000</v>
      </c>
      <c r="F12" s="25">
        <f t="shared" si="2"/>
        <v>7120000</v>
      </c>
      <c r="G12" s="24">
        <v>1000000</v>
      </c>
      <c r="H12" s="24">
        <f>9538123-G12</f>
        <v>8538123</v>
      </c>
      <c r="I12" s="25">
        <f t="shared" si="3"/>
        <v>9538123</v>
      </c>
    </row>
    <row r="13" spans="2:12" x14ac:dyDescent="0.25">
      <c r="B13" s="53" t="s">
        <v>51</v>
      </c>
      <c r="C13" s="52" t="s">
        <v>52</v>
      </c>
      <c r="D13" s="24">
        <v>18258168</v>
      </c>
      <c r="E13" s="24">
        <v>147668415</v>
      </c>
      <c r="F13" s="25">
        <f t="shared" si="2"/>
        <v>165926583</v>
      </c>
      <c r="G13" s="24">
        <v>18258168</v>
      </c>
      <c r="H13" s="24">
        <f>197074141-G13</f>
        <v>178815973</v>
      </c>
      <c r="I13" s="25">
        <f t="shared" si="3"/>
        <v>197074141</v>
      </c>
    </row>
    <row r="14" spans="2:12" x14ac:dyDescent="0.25">
      <c r="B14" s="53" t="s">
        <v>53</v>
      </c>
      <c r="C14" s="52" t="s">
        <v>54</v>
      </c>
      <c r="D14" s="24">
        <v>100000</v>
      </c>
      <c r="E14" s="24">
        <v>300000</v>
      </c>
      <c r="F14" s="25">
        <f t="shared" si="2"/>
        <v>400000</v>
      </c>
      <c r="G14" s="24">
        <v>140000</v>
      </c>
      <c r="H14" s="24">
        <f>509355-G14</f>
        <v>369355</v>
      </c>
      <c r="I14" s="25">
        <f t="shared" si="3"/>
        <v>509355</v>
      </c>
    </row>
    <row r="15" spans="2:12" x14ac:dyDescent="0.25">
      <c r="B15" s="53" t="s">
        <v>55</v>
      </c>
      <c r="C15" s="52" t="s">
        <v>56</v>
      </c>
      <c r="D15" s="24">
        <v>0</v>
      </c>
      <c r="E15" s="24">
        <v>20906000</v>
      </c>
      <c r="F15" s="25">
        <f t="shared" si="2"/>
        <v>20906000</v>
      </c>
      <c r="G15" s="24">
        <v>400000</v>
      </c>
      <c r="H15" s="24">
        <f>20102512-G15</f>
        <v>19702512</v>
      </c>
      <c r="I15" s="25">
        <f t="shared" si="3"/>
        <v>20102512</v>
      </c>
    </row>
    <row r="16" spans="2:12" x14ac:dyDescent="0.25">
      <c r="B16" s="56" t="s">
        <v>57</v>
      </c>
      <c r="C16" s="55" t="s">
        <v>58</v>
      </c>
      <c r="D16" s="25">
        <f t="shared" ref="D16:F16" si="4">SUM(D11:D15)</f>
        <v>19158168</v>
      </c>
      <c r="E16" s="25">
        <f t="shared" si="4"/>
        <v>220710415</v>
      </c>
      <c r="F16" s="25">
        <f t="shared" si="4"/>
        <v>239868583</v>
      </c>
      <c r="G16" s="25">
        <f>SUM(G11:G15)</f>
        <v>20398168</v>
      </c>
      <c r="H16" s="25">
        <f>SUM(H11:H15)</f>
        <v>252447628</v>
      </c>
      <c r="I16" s="25">
        <f t="shared" ref="I16" si="5">SUM(I11:I15)</f>
        <v>272845796</v>
      </c>
      <c r="K16" s="32">
        <f>+E13+E12+E11</f>
        <v>199504415</v>
      </c>
      <c r="L16" s="383">
        <f>+K16*0.27</f>
        <v>53866192.050000004</v>
      </c>
    </row>
    <row r="17" spans="2:9" x14ac:dyDescent="0.25">
      <c r="B17" s="57" t="s">
        <v>59</v>
      </c>
      <c r="C17" s="55" t="s">
        <v>60</v>
      </c>
      <c r="D17" s="24"/>
      <c r="E17" s="24"/>
      <c r="F17" s="25">
        <f t="shared" ref="F17:F31" si="6">+D17+E17</f>
        <v>0</v>
      </c>
      <c r="G17" s="24"/>
      <c r="H17" s="24"/>
      <c r="I17" s="25">
        <f t="shared" ref="I17:I31" si="7">+G17+H17</f>
        <v>0</v>
      </c>
    </row>
    <row r="18" spans="2:9" x14ac:dyDescent="0.25">
      <c r="B18" s="58" t="s">
        <v>61</v>
      </c>
      <c r="C18" s="52" t="s">
        <v>62</v>
      </c>
      <c r="D18" s="24"/>
      <c r="E18" s="24"/>
      <c r="F18" s="25">
        <f t="shared" si="6"/>
        <v>0</v>
      </c>
      <c r="G18" s="24"/>
      <c r="H18" s="24"/>
      <c r="I18" s="25">
        <f t="shared" si="7"/>
        <v>0</v>
      </c>
    </row>
    <row r="19" spans="2:9" x14ac:dyDescent="0.25">
      <c r="B19" s="58" t="s">
        <v>63</v>
      </c>
      <c r="C19" s="52" t="s">
        <v>64</v>
      </c>
      <c r="D19" s="24"/>
      <c r="E19" s="24"/>
      <c r="F19" s="25">
        <f t="shared" si="6"/>
        <v>0</v>
      </c>
      <c r="G19" s="24"/>
      <c r="H19" s="24"/>
      <c r="I19" s="25">
        <f t="shared" si="7"/>
        <v>0</v>
      </c>
    </row>
    <row r="20" spans="2:9" ht="15.75" hidden="1" customHeight="1" x14ac:dyDescent="0.25">
      <c r="B20" s="58" t="s">
        <v>65</v>
      </c>
      <c r="C20" s="52" t="s">
        <v>66</v>
      </c>
      <c r="D20" s="24"/>
      <c r="E20" s="24"/>
      <c r="F20" s="25">
        <f t="shared" si="6"/>
        <v>0</v>
      </c>
      <c r="G20" s="24"/>
      <c r="H20" s="24"/>
      <c r="I20" s="25">
        <f t="shared" si="7"/>
        <v>0</v>
      </c>
    </row>
    <row r="21" spans="2:9" ht="15.75" hidden="1" customHeight="1" x14ac:dyDescent="0.25">
      <c r="B21" s="58" t="s">
        <v>67</v>
      </c>
      <c r="C21" s="52" t="s">
        <v>68</v>
      </c>
      <c r="D21" s="24"/>
      <c r="E21" s="24"/>
      <c r="F21" s="25">
        <f t="shared" si="6"/>
        <v>0</v>
      </c>
      <c r="G21" s="24"/>
      <c r="H21" s="24"/>
      <c r="I21" s="25">
        <f t="shared" si="7"/>
        <v>0</v>
      </c>
    </row>
    <row r="22" spans="2:9" ht="15.75" hidden="1" customHeight="1" x14ac:dyDescent="0.25">
      <c r="B22" s="58" t="s">
        <v>618</v>
      </c>
      <c r="C22" s="52" t="s">
        <v>70</v>
      </c>
      <c r="D22" s="24"/>
      <c r="E22" s="24"/>
      <c r="F22" s="25">
        <f t="shared" si="6"/>
        <v>0</v>
      </c>
      <c r="G22" s="24"/>
      <c r="H22" s="24"/>
      <c r="I22" s="25">
        <f t="shared" si="7"/>
        <v>0</v>
      </c>
    </row>
    <row r="23" spans="2:9" ht="15.75" hidden="1" customHeight="1" x14ac:dyDescent="0.25">
      <c r="B23" s="58" t="s">
        <v>71</v>
      </c>
      <c r="C23" s="52" t="s">
        <v>72</v>
      </c>
      <c r="D23" s="24"/>
      <c r="E23" s="24"/>
      <c r="F23" s="25">
        <f t="shared" si="6"/>
        <v>0</v>
      </c>
      <c r="G23" s="24"/>
      <c r="H23" s="24"/>
      <c r="I23" s="25">
        <f t="shared" si="7"/>
        <v>0</v>
      </c>
    </row>
    <row r="24" spans="2:9" ht="15.75" hidden="1" customHeight="1" x14ac:dyDescent="0.25">
      <c r="B24" s="58" t="s">
        <v>73</v>
      </c>
      <c r="C24" s="52" t="s">
        <v>74</v>
      </c>
      <c r="D24" s="24"/>
      <c r="E24" s="24"/>
      <c r="F24" s="25">
        <f t="shared" si="6"/>
        <v>0</v>
      </c>
      <c r="G24" s="24"/>
      <c r="H24" s="24"/>
      <c r="I24" s="25">
        <f t="shared" si="7"/>
        <v>0</v>
      </c>
    </row>
    <row r="25" spans="2:9" ht="15.75" hidden="1" customHeight="1" x14ac:dyDescent="0.25">
      <c r="B25" s="58" t="s">
        <v>75</v>
      </c>
      <c r="C25" s="52" t="s">
        <v>76</v>
      </c>
      <c r="D25" s="24"/>
      <c r="E25" s="24"/>
      <c r="F25" s="25">
        <f t="shared" si="6"/>
        <v>0</v>
      </c>
      <c r="G25" s="24"/>
      <c r="H25" s="24"/>
      <c r="I25" s="25">
        <f t="shared" si="7"/>
        <v>0</v>
      </c>
    </row>
    <row r="26" spans="2:9" ht="15.75" hidden="1" customHeight="1" x14ac:dyDescent="0.25">
      <c r="B26" s="58" t="s">
        <v>77</v>
      </c>
      <c r="C26" s="52" t="s">
        <v>78</v>
      </c>
      <c r="D26" s="24"/>
      <c r="E26" s="24"/>
      <c r="F26" s="25">
        <f t="shared" si="6"/>
        <v>0</v>
      </c>
      <c r="G26" s="24"/>
      <c r="H26" s="24"/>
      <c r="I26" s="25">
        <f t="shared" si="7"/>
        <v>0</v>
      </c>
    </row>
    <row r="27" spans="2:9" ht="15.75" hidden="1" customHeight="1" x14ac:dyDescent="0.25">
      <c r="B27" s="59" t="s">
        <v>79</v>
      </c>
      <c r="C27" s="52" t="s">
        <v>80</v>
      </c>
      <c r="D27" s="24"/>
      <c r="E27" s="24"/>
      <c r="F27" s="25">
        <f t="shared" si="6"/>
        <v>0</v>
      </c>
      <c r="G27" s="24"/>
      <c r="H27" s="24"/>
      <c r="I27" s="25">
        <f t="shared" si="7"/>
        <v>0</v>
      </c>
    </row>
    <row r="28" spans="2:9" ht="15.75" hidden="1" customHeight="1" x14ac:dyDescent="0.25">
      <c r="B28" s="59" t="s">
        <v>619</v>
      </c>
      <c r="C28" s="52" t="s">
        <v>82</v>
      </c>
      <c r="D28" s="24"/>
      <c r="E28" s="24"/>
      <c r="F28" s="25">
        <f t="shared" si="6"/>
        <v>0</v>
      </c>
      <c r="G28" s="24"/>
      <c r="H28" s="24"/>
      <c r="I28" s="25">
        <f t="shared" si="7"/>
        <v>0</v>
      </c>
    </row>
    <row r="29" spans="2:9" ht="15.75" hidden="1" customHeight="1" x14ac:dyDescent="0.25">
      <c r="B29" s="58" t="s">
        <v>83</v>
      </c>
      <c r="C29" s="52" t="s">
        <v>84</v>
      </c>
      <c r="D29" s="24"/>
      <c r="E29" s="24"/>
      <c r="F29" s="25">
        <f t="shared" si="6"/>
        <v>0</v>
      </c>
      <c r="G29" s="24"/>
      <c r="H29" s="24"/>
      <c r="I29" s="25">
        <f t="shared" si="7"/>
        <v>0</v>
      </c>
    </row>
    <row r="30" spans="2:9" ht="15.75" hidden="1" customHeight="1" x14ac:dyDescent="0.25">
      <c r="B30" s="59" t="s">
        <v>85</v>
      </c>
      <c r="C30" s="52" t="s">
        <v>86</v>
      </c>
      <c r="D30" s="24"/>
      <c r="E30" s="24"/>
      <c r="F30" s="25">
        <f t="shared" si="6"/>
        <v>0</v>
      </c>
      <c r="G30" s="24"/>
      <c r="H30" s="24"/>
      <c r="I30" s="25">
        <f t="shared" si="7"/>
        <v>0</v>
      </c>
    </row>
    <row r="31" spans="2:9" ht="15.75" hidden="1" customHeight="1" x14ac:dyDescent="0.25">
      <c r="B31" s="59" t="s">
        <v>87</v>
      </c>
      <c r="C31" s="52" t="s">
        <v>86</v>
      </c>
      <c r="D31" s="24"/>
      <c r="E31" s="24"/>
      <c r="F31" s="25">
        <f t="shared" si="6"/>
        <v>0</v>
      </c>
      <c r="G31" s="24"/>
      <c r="H31" s="24"/>
      <c r="I31" s="25">
        <f t="shared" si="7"/>
        <v>0</v>
      </c>
    </row>
    <row r="32" spans="2:9" s="31" customFormat="1" x14ac:dyDescent="0.25">
      <c r="B32" s="57" t="s">
        <v>88</v>
      </c>
      <c r="C32" s="55" t="s">
        <v>89</v>
      </c>
      <c r="D32" s="25">
        <f t="shared" ref="D32:F32" si="8">SUM(D18:D31)</f>
        <v>0</v>
      </c>
      <c r="E32" s="25">
        <f t="shared" si="8"/>
        <v>0</v>
      </c>
      <c r="F32" s="25">
        <f t="shared" si="8"/>
        <v>0</v>
      </c>
      <c r="G32" s="25">
        <f>SUM(G18:G31)</f>
        <v>0</v>
      </c>
      <c r="H32" s="25">
        <f>SUM(H18:H31)</f>
        <v>0</v>
      </c>
      <c r="I32" s="25">
        <f t="shared" ref="I32" si="9">SUM(I18:I31)</f>
        <v>0</v>
      </c>
    </row>
    <row r="33" spans="2:9" x14ac:dyDescent="0.25">
      <c r="B33" s="60" t="s">
        <v>90</v>
      </c>
      <c r="C33" s="61" t="s">
        <v>91</v>
      </c>
      <c r="D33" s="62">
        <f t="shared" ref="D33:F33" si="10">+D32+D17+D16+D10+D9</f>
        <v>55169000</v>
      </c>
      <c r="E33" s="62">
        <f t="shared" si="10"/>
        <v>445224000</v>
      </c>
      <c r="F33" s="62">
        <f t="shared" si="10"/>
        <v>500393000</v>
      </c>
      <c r="G33" s="62">
        <f>+G32+G17+G16+G10+G9</f>
        <v>56409000</v>
      </c>
      <c r="H33" s="62">
        <f>+H32+H17+H16+H10+H9</f>
        <v>481529426</v>
      </c>
      <c r="I33" s="62">
        <f t="shared" ref="I33" si="11">+I32+I17+I16+I10+I9</f>
        <v>537938426</v>
      </c>
    </row>
    <row r="34" spans="2:9" x14ac:dyDescent="0.25">
      <c r="B34" s="63" t="s">
        <v>92</v>
      </c>
      <c r="C34" s="52" t="s">
        <v>93</v>
      </c>
      <c r="D34" s="24"/>
      <c r="E34" s="24"/>
      <c r="F34" s="25">
        <f t="shared" ref="F34:F40" si="12">+D34+E34</f>
        <v>0</v>
      </c>
      <c r="G34" s="24"/>
      <c r="H34" s="24">
        <v>3500000</v>
      </c>
      <c r="I34" s="25">
        <f t="shared" ref="I34:I40" si="13">+G34+H34</f>
        <v>3500000</v>
      </c>
    </row>
    <row r="35" spans="2:9" x14ac:dyDescent="0.25">
      <c r="B35" s="63" t="s">
        <v>94</v>
      </c>
      <c r="C35" s="52" t="s">
        <v>95</v>
      </c>
      <c r="D35" s="24"/>
      <c r="E35" s="24"/>
      <c r="F35" s="25">
        <f t="shared" si="12"/>
        <v>0</v>
      </c>
      <c r="G35" s="24"/>
      <c r="H35" s="24"/>
      <c r="I35" s="25">
        <f t="shared" si="13"/>
        <v>0</v>
      </c>
    </row>
    <row r="36" spans="2:9" x14ac:dyDescent="0.25">
      <c r="B36" s="63" t="s">
        <v>96</v>
      </c>
      <c r="C36" s="52" t="s">
        <v>97</v>
      </c>
      <c r="D36" s="24"/>
      <c r="E36" s="24">
        <v>500000</v>
      </c>
      <c r="F36" s="25">
        <f t="shared" si="12"/>
        <v>500000</v>
      </c>
      <c r="G36" s="24">
        <v>500000</v>
      </c>
      <c r="H36" s="24">
        <v>1504890</v>
      </c>
      <c r="I36" s="25">
        <f t="shared" si="13"/>
        <v>2004890</v>
      </c>
    </row>
    <row r="37" spans="2:9" x14ac:dyDescent="0.25">
      <c r="B37" s="63" t="s">
        <v>98</v>
      </c>
      <c r="C37" s="52" t="s">
        <v>99</v>
      </c>
      <c r="D37" s="24">
        <v>410000</v>
      </c>
      <c r="E37" s="24">
        <v>1500000</v>
      </c>
      <c r="F37" s="25">
        <f t="shared" si="12"/>
        <v>1910000</v>
      </c>
      <c r="G37" s="24">
        <v>1000000</v>
      </c>
      <c r="H37" s="24">
        <v>7535908</v>
      </c>
      <c r="I37" s="25">
        <f t="shared" si="13"/>
        <v>8535908</v>
      </c>
    </row>
    <row r="38" spans="2:9" x14ac:dyDescent="0.25">
      <c r="B38" s="64" t="s">
        <v>100</v>
      </c>
      <c r="C38" s="52" t="s">
        <v>101</v>
      </c>
      <c r="D38" s="24"/>
      <c r="E38" s="24"/>
      <c r="F38" s="25">
        <f t="shared" si="12"/>
        <v>0</v>
      </c>
      <c r="G38" s="24"/>
      <c r="H38" s="24"/>
      <c r="I38" s="25">
        <f t="shared" si="13"/>
        <v>0</v>
      </c>
    </row>
    <row r="39" spans="2:9" x14ac:dyDescent="0.25">
      <c r="B39" s="64" t="s">
        <v>102</v>
      </c>
      <c r="C39" s="52" t="s">
        <v>103</v>
      </c>
      <c r="D39" s="24"/>
      <c r="E39" s="24"/>
      <c r="F39" s="25">
        <f t="shared" si="12"/>
        <v>0</v>
      </c>
      <c r="G39" s="24"/>
      <c r="H39" s="24"/>
      <c r="I39" s="25">
        <f t="shared" si="13"/>
        <v>0</v>
      </c>
    </row>
    <row r="40" spans="2:9" x14ac:dyDescent="0.25">
      <c r="B40" s="64" t="s">
        <v>104</v>
      </c>
      <c r="C40" s="52" t="s">
        <v>105</v>
      </c>
      <c r="D40" s="24"/>
      <c r="E40" s="24">
        <v>540000</v>
      </c>
      <c r="F40" s="25">
        <f t="shared" si="12"/>
        <v>540000</v>
      </c>
      <c r="G40" s="24">
        <v>500000</v>
      </c>
      <c r="H40" s="24">
        <v>3456015</v>
      </c>
      <c r="I40" s="25">
        <f t="shared" si="13"/>
        <v>3956015</v>
      </c>
    </row>
    <row r="41" spans="2:9" s="31" customFormat="1" x14ac:dyDescent="0.25">
      <c r="B41" s="65" t="s">
        <v>106</v>
      </c>
      <c r="C41" s="55" t="s">
        <v>107</v>
      </c>
      <c r="D41" s="25">
        <f t="shared" ref="D41:I41" si="14">SUM(D34:D40)</f>
        <v>410000</v>
      </c>
      <c r="E41" s="25">
        <f t="shared" si="14"/>
        <v>2540000</v>
      </c>
      <c r="F41" s="25">
        <f t="shared" si="14"/>
        <v>2950000</v>
      </c>
      <c r="G41" s="25">
        <f t="shared" si="14"/>
        <v>2000000</v>
      </c>
      <c r="H41" s="25">
        <f t="shared" si="14"/>
        <v>15996813</v>
      </c>
      <c r="I41" s="25">
        <f t="shared" si="14"/>
        <v>17996813</v>
      </c>
    </row>
    <row r="42" spans="2:9" x14ac:dyDescent="0.25">
      <c r="B42" s="66" t="s">
        <v>108</v>
      </c>
      <c r="C42" s="52" t="s">
        <v>109</v>
      </c>
      <c r="D42" s="24"/>
      <c r="E42" s="24"/>
      <c r="F42" s="25">
        <f>+D42+E42</f>
        <v>0</v>
      </c>
      <c r="G42" s="24"/>
      <c r="H42" s="24"/>
      <c r="I42" s="25">
        <f>+G42+H42</f>
        <v>0</v>
      </c>
    </row>
    <row r="43" spans="2:9" x14ac:dyDescent="0.25">
      <c r="B43" s="66" t="s">
        <v>110</v>
      </c>
      <c r="C43" s="52" t="s">
        <v>111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6" t="s">
        <v>112</v>
      </c>
      <c r="C44" s="52" t="s">
        <v>113</v>
      </c>
      <c r="D44" s="24"/>
      <c r="E44" s="24"/>
      <c r="F44" s="25">
        <f>+D44+E44</f>
        <v>0</v>
      </c>
      <c r="G44" s="24"/>
      <c r="H44" s="24">
        <v>937110</v>
      </c>
      <c r="I44" s="25">
        <f>+G44+H44</f>
        <v>937110</v>
      </c>
    </row>
    <row r="45" spans="2:9" x14ac:dyDescent="0.25">
      <c r="B45" s="66" t="s">
        <v>114</v>
      </c>
      <c r="C45" s="52" t="s">
        <v>115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6" t="s">
        <v>116</v>
      </c>
      <c r="C46" s="55" t="s">
        <v>117</v>
      </c>
      <c r="D46" s="25">
        <f t="shared" ref="D46:I46" si="15">SUM(D42:D45)</f>
        <v>0</v>
      </c>
      <c r="E46" s="25">
        <f t="shared" si="15"/>
        <v>0</v>
      </c>
      <c r="F46" s="25">
        <f t="shared" si="15"/>
        <v>0</v>
      </c>
      <c r="G46" s="25">
        <f t="shared" si="15"/>
        <v>0</v>
      </c>
      <c r="H46" s="25">
        <f t="shared" si="15"/>
        <v>937110</v>
      </c>
      <c r="I46" s="25">
        <f t="shared" si="15"/>
        <v>937110</v>
      </c>
    </row>
    <row r="47" spans="2:9" ht="15.75" hidden="1" customHeight="1" x14ac:dyDescent="0.25">
      <c r="B47" s="66" t="s">
        <v>620</v>
      </c>
      <c r="C47" s="52" t="s">
        <v>119</v>
      </c>
      <c r="D47" s="24"/>
      <c r="E47" s="24"/>
      <c r="F47" s="25">
        <f t="shared" ref="F47:F55" si="16">+D47+E47</f>
        <v>0</v>
      </c>
      <c r="G47" s="24"/>
      <c r="H47" s="24"/>
      <c r="I47" s="25">
        <f t="shared" ref="I47:I55" si="17">+G47+H47</f>
        <v>0</v>
      </c>
    </row>
    <row r="48" spans="2:9" ht="15.75" hidden="1" customHeight="1" x14ac:dyDescent="0.25">
      <c r="B48" s="66" t="s">
        <v>621</v>
      </c>
      <c r="C48" s="52" t="s">
        <v>121</v>
      </c>
      <c r="D48" s="24"/>
      <c r="E48" s="24"/>
      <c r="F48" s="25">
        <f t="shared" si="16"/>
        <v>0</v>
      </c>
      <c r="G48" s="24"/>
      <c r="H48" s="24"/>
      <c r="I48" s="25">
        <f t="shared" si="17"/>
        <v>0</v>
      </c>
    </row>
    <row r="49" spans="2:16" ht="15.75" hidden="1" customHeight="1" x14ac:dyDescent="0.25">
      <c r="B49" s="66" t="s">
        <v>122</v>
      </c>
      <c r="C49" s="52" t="s">
        <v>123</v>
      </c>
      <c r="D49" s="24"/>
      <c r="E49" s="24"/>
      <c r="F49" s="25">
        <f t="shared" si="16"/>
        <v>0</v>
      </c>
      <c r="G49" s="24"/>
      <c r="H49" s="24"/>
      <c r="I49" s="25">
        <f t="shared" si="17"/>
        <v>0</v>
      </c>
    </row>
    <row r="50" spans="2:16" ht="15.75" hidden="1" customHeight="1" x14ac:dyDescent="0.25">
      <c r="B50" s="66" t="s">
        <v>124</v>
      </c>
      <c r="C50" s="52" t="s">
        <v>125</v>
      </c>
      <c r="D50" s="24"/>
      <c r="E50" s="24"/>
      <c r="F50" s="25">
        <f t="shared" si="16"/>
        <v>0</v>
      </c>
      <c r="G50" s="24"/>
      <c r="H50" s="24"/>
      <c r="I50" s="25">
        <f t="shared" si="17"/>
        <v>0</v>
      </c>
    </row>
    <row r="51" spans="2:16" ht="15.75" hidden="1" customHeight="1" x14ac:dyDescent="0.25">
      <c r="B51" s="66" t="s">
        <v>126</v>
      </c>
      <c r="C51" s="52" t="s">
        <v>127</v>
      </c>
      <c r="D51" s="24"/>
      <c r="E51" s="24"/>
      <c r="F51" s="25">
        <f t="shared" si="16"/>
        <v>0</v>
      </c>
      <c r="G51" s="24"/>
      <c r="H51" s="24"/>
      <c r="I51" s="25">
        <f t="shared" si="17"/>
        <v>0</v>
      </c>
    </row>
    <row r="52" spans="2:16" ht="15.75" hidden="1" customHeight="1" x14ac:dyDescent="0.25">
      <c r="B52" s="66" t="s">
        <v>128</v>
      </c>
      <c r="C52" s="52" t="s">
        <v>129</v>
      </c>
      <c r="D52" s="24"/>
      <c r="E52" s="24"/>
      <c r="F52" s="25">
        <f t="shared" si="16"/>
        <v>0</v>
      </c>
      <c r="G52" s="24"/>
      <c r="H52" s="24"/>
      <c r="I52" s="25">
        <f t="shared" si="17"/>
        <v>0</v>
      </c>
    </row>
    <row r="53" spans="2:16" ht="15.75" hidden="1" customHeight="1" x14ac:dyDescent="0.25">
      <c r="B53" s="66" t="s">
        <v>130</v>
      </c>
      <c r="C53" s="52" t="s">
        <v>131</v>
      </c>
      <c r="D53" s="24"/>
      <c r="E53" s="24"/>
      <c r="F53" s="25">
        <f t="shared" si="16"/>
        <v>0</v>
      </c>
      <c r="G53" s="24"/>
      <c r="H53" s="24"/>
      <c r="I53" s="25">
        <f t="shared" si="17"/>
        <v>0</v>
      </c>
    </row>
    <row r="54" spans="2:16" ht="15.75" hidden="1" customHeight="1" x14ac:dyDescent="0.25">
      <c r="B54" s="59" t="s">
        <v>622</v>
      </c>
      <c r="C54" s="52" t="s">
        <v>133</v>
      </c>
      <c r="D54" s="24"/>
      <c r="E54" s="24"/>
      <c r="F54" s="25">
        <f t="shared" si="16"/>
        <v>0</v>
      </c>
      <c r="G54" s="24"/>
      <c r="H54" s="24"/>
      <c r="I54" s="25">
        <f t="shared" si="17"/>
        <v>0</v>
      </c>
    </row>
    <row r="55" spans="2:16" ht="15.75" hidden="1" customHeight="1" x14ac:dyDescent="0.25">
      <c r="B55" s="66" t="s">
        <v>134</v>
      </c>
      <c r="C55" s="52" t="s">
        <v>135</v>
      </c>
      <c r="D55" s="24"/>
      <c r="E55" s="24"/>
      <c r="F55" s="25">
        <f t="shared" si="16"/>
        <v>0</v>
      </c>
      <c r="G55" s="24"/>
      <c r="H55" s="24"/>
      <c r="I55" s="25">
        <f t="shared" si="17"/>
        <v>0</v>
      </c>
    </row>
    <row r="56" spans="2:16" s="31" customFormat="1" x14ac:dyDescent="0.25">
      <c r="B56" s="57" t="s">
        <v>136</v>
      </c>
      <c r="C56" s="55" t="s">
        <v>137</v>
      </c>
      <c r="D56" s="25">
        <f t="shared" ref="D56:I56" si="18">SUM(D47:D55)</f>
        <v>0</v>
      </c>
      <c r="E56" s="25">
        <f t="shared" si="18"/>
        <v>0</v>
      </c>
      <c r="F56" s="25">
        <f t="shared" si="18"/>
        <v>0</v>
      </c>
      <c r="G56" s="25">
        <f t="shared" si="18"/>
        <v>0</v>
      </c>
      <c r="H56" s="25">
        <f t="shared" si="18"/>
        <v>0</v>
      </c>
      <c r="I56" s="25">
        <f t="shared" si="18"/>
        <v>0</v>
      </c>
    </row>
    <row r="57" spans="2:16" x14ac:dyDescent="0.25">
      <c r="B57" s="60" t="s">
        <v>138</v>
      </c>
      <c r="C57" s="61" t="s">
        <v>139</v>
      </c>
      <c r="D57" s="62">
        <f t="shared" ref="D57:I57" si="19">+D56+D46+D41</f>
        <v>410000</v>
      </c>
      <c r="E57" s="62">
        <f t="shared" si="19"/>
        <v>2540000</v>
      </c>
      <c r="F57" s="62">
        <f t="shared" si="19"/>
        <v>2950000</v>
      </c>
      <c r="G57" s="62">
        <f t="shared" si="19"/>
        <v>2000000</v>
      </c>
      <c r="H57" s="62">
        <f t="shared" si="19"/>
        <v>16933923</v>
      </c>
      <c r="I57" s="62">
        <f t="shared" si="19"/>
        <v>18933923</v>
      </c>
    </row>
    <row r="58" spans="2:16" x14ac:dyDescent="0.25">
      <c r="B58" s="67" t="s">
        <v>140</v>
      </c>
      <c r="C58" s="68" t="s">
        <v>141</v>
      </c>
      <c r="D58" s="69">
        <f t="shared" ref="D58:I58" si="20">+D56+D46+D41+D32+D17+D16+D10+D9</f>
        <v>55579000</v>
      </c>
      <c r="E58" s="69">
        <f t="shared" si="20"/>
        <v>447764000</v>
      </c>
      <c r="F58" s="69">
        <f t="shared" si="20"/>
        <v>503343000</v>
      </c>
      <c r="G58" s="69">
        <f t="shared" si="20"/>
        <v>58409000</v>
      </c>
      <c r="H58" s="69">
        <f t="shared" si="20"/>
        <v>498463349</v>
      </c>
      <c r="I58" s="69">
        <f t="shared" si="20"/>
        <v>556872349</v>
      </c>
    </row>
    <row r="59" spans="2:16" ht="15.75" hidden="1" customHeight="1" x14ac:dyDescent="0.25">
      <c r="B59" s="71" t="s">
        <v>602</v>
      </c>
      <c r="C59" s="53" t="s">
        <v>167</v>
      </c>
      <c r="D59" s="218"/>
      <c r="E59" s="218"/>
      <c r="F59" s="24">
        <f>+D59+E59</f>
        <v>0</v>
      </c>
      <c r="G59" s="218"/>
      <c r="H59" s="218"/>
      <c r="I59" s="24">
        <f>+G59+H59</f>
        <v>0</v>
      </c>
      <c r="J59" s="219"/>
      <c r="K59" s="219"/>
      <c r="L59" s="219"/>
      <c r="M59" s="219"/>
      <c r="N59" s="219"/>
      <c r="O59" s="219"/>
      <c r="P59" s="219"/>
    </row>
    <row r="60" spans="2:16" ht="15.75" hidden="1" customHeight="1" x14ac:dyDescent="0.25">
      <c r="B60" s="71" t="s">
        <v>168</v>
      </c>
      <c r="C60" s="53" t="s">
        <v>169</v>
      </c>
      <c r="D60" s="218"/>
      <c r="E60" s="218"/>
      <c r="F60" s="24">
        <f>+D60+E60</f>
        <v>0</v>
      </c>
      <c r="G60" s="218"/>
      <c r="H60" s="218"/>
      <c r="I60" s="24">
        <f>+G60+H60</f>
        <v>0</v>
      </c>
      <c r="J60" s="219"/>
      <c r="K60" s="219"/>
      <c r="L60" s="219"/>
      <c r="M60" s="219"/>
      <c r="N60" s="219"/>
      <c r="O60" s="219"/>
      <c r="P60" s="219"/>
    </row>
    <row r="61" spans="2:16" ht="15.75" hidden="1" customHeight="1" x14ac:dyDescent="0.25">
      <c r="B61" s="66" t="s">
        <v>170</v>
      </c>
      <c r="C61" s="53" t="s">
        <v>171</v>
      </c>
      <c r="D61" s="218"/>
      <c r="E61" s="218"/>
      <c r="F61" s="24">
        <f>+D61+E61</f>
        <v>0</v>
      </c>
      <c r="G61" s="218"/>
      <c r="H61" s="218"/>
      <c r="I61" s="24">
        <f>+G61+H61</f>
        <v>0</v>
      </c>
      <c r="J61" s="220"/>
      <c r="K61" s="220"/>
      <c r="L61" s="220"/>
      <c r="M61" s="220"/>
      <c r="N61" s="220"/>
      <c r="O61" s="220"/>
      <c r="P61" s="220"/>
    </row>
    <row r="62" spans="2:16" ht="15.75" hidden="1" customHeight="1" x14ac:dyDescent="0.25">
      <c r="B62" s="66" t="s">
        <v>172</v>
      </c>
      <c r="C62" s="53" t="s">
        <v>173</v>
      </c>
      <c r="D62" s="218"/>
      <c r="E62" s="218"/>
      <c r="F62" s="24">
        <f>+D62+E62</f>
        <v>0</v>
      </c>
      <c r="G62" s="218"/>
      <c r="H62" s="218"/>
      <c r="I62" s="24">
        <f>+G62+H62</f>
        <v>0</v>
      </c>
      <c r="J62" s="220"/>
      <c r="K62" s="220"/>
      <c r="L62" s="220"/>
      <c r="M62" s="220"/>
      <c r="N62" s="220"/>
      <c r="O62" s="220"/>
      <c r="P62" s="220"/>
    </row>
    <row r="63" spans="2:16" x14ac:dyDescent="0.25">
      <c r="B63" s="74" t="s">
        <v>174</v>
      </c>
      <c r="C63" s="75" t="s">
        <v>175</v>
      </c>
      <c r="D63" s="76">
        <f t="shared" ref="D63:I63" si="21">+D61+D60+D59+D62</f>
        <v>0</v>
      </c>
      <c r="E63" s="76">
        <f t="shared" si="21"/>
        <v>0</v>
      </c>
      <c r="F63" s="76">
        <f t="shared" si="21"/>
        <v>0</v>
      </c>
      <c r="G63" s="76">
        <f t="shared" si="21"/>
        <v>0</v>
      </c>
      <c r="H63" s="76">
        <f t="shared" si="21"/>
        <v>0</v>
      </c>
      <c r="I63" s="76">
        <f t="shared" si="21"/>
        <v>0</v>
      </c>
      <c r="J63" s="221"/>
      <c r="K63" s="221"/>
      <c r="L63" s="221"/>
      <c r="M63" s="221"/>
      <c r="N63" s="221"/>
      <c r="O63" s="221"/>
      <c r="P63" s="221"/>
    </row>
    <row r="64" spans="2:16" x14ac:dyDescent="0.25">
      <c r="B64" s="28" t="s">
        <v>176</v>
      </c>
      <c r="C64" s="28" t="s">
        <v>177</v>
      </c>
      <c r="D64" s="29">
        <f t="shared" ref="D64:I64" si="22">+D58+D63</f>
        <v>55579000</v>
      </c>
      <c r="E64" s="29">
        <f t="shared" si="22"/>
        <v>447764000</v>
      </c>
      <c r="F64" s="29">
        <f t="shared" si="22"/>
        <v>503343000</v>
      </c>
      <c r="G64" s="29">
        <f t="shared" si="22"/>
        <v>58409000</v>
      </c>
      <c r="H64" s="29">
        <f t="shared" si="22"/>
        <v>498463349</v>
      </c>
      <c r="I64" s="29">
        <f t="shared" si="22"/>
        <v>556872349</v>
      </c>
    </row>
    <row r="65" spans="2:9" x14ac:dyDescent="0.25">
      <c r="B65" s="13"/>
      <c r="C65" s="13"/>
      <c r="D65" s="14"/>
      <c r="E65" s="14"/>
      <c r="F65" s="77"/>
      <c r="G65" s="14"/>
      <c r="H65" s="14"/>
      <c r="I65" s="77"/>
    </row>
    <row r="66" spans="2:9" ht="15.75" hidden="1" customHeight="1" x14ac:dyDescent="0.25">
      <c r="B66" s="13"/>
      <c r="C66" s="13"/>
      <c r="D66" s="494" t="s">
        <v>11</v>
      </c>
      <c r="E66" s="494"/>
      <c r="F66" s="494"/>
      <c r="G66" s="494" t="s">
        <v>11</v>
      </c>
      <c r="H66" s="494"/>
      <c r="I66" s="494"/>
    </row>
    <row r="67" spans="2:9" ht="31.5" x14ac:dyDescent="0.25">
      <c r="B67" s="19" t="s">
        <v>12</v>
      </c>
      <c r="C67" s="47" t="s">
        <v>178</v>
      </c>
      <c r="D67" s="48" t="s">
        <v>13</v>
      </c>
      <c r="E67" s="48" t="s">
        <v>14</v>
      </c>
      <c r="F67" s="47" t="s">
        <v>543</v>
      </c>
      <c r="G67" s="48" t="s">
        <v>13</v>
      </c>
      <c r="H67" s="48" t="s">
        <v>14</v>
      </c>
      <c r="I67" s="473" t="s">
        <v>543</v>
      </c>
    </row>
    <row r="68" spans="2:9" ht="15.75" hidden="1" customHeight="1" x14ac:dyDescent="0.25">
      <c r="B68" s="56" t="s">
        <v>603</v>
      </c>
      <c r="C68" s="65" t="s">
        <v>192</v>
      </c>
      <c r="D68" s="25"/>
      <c r="E68" s="25"/>
      <c r="F68" s="25">
        <f t="shared" ref="F68:F73" si="23">+E68+D68</f>
        <v>0</v>
      </c>
      <c r="G68" s="25"/>
      <c r="H68" s="25"/>
      <c r="I68" s="25">
        <f t="shared" ref="I68:I73" si="24">+H68+G68</f>
        <v>0</v>
      </c>
    </row>
    <row r="69" spans="2:9" ht="15.75" hidden="1" customHeight="1" x14ac:dyDescent="0.25">
      <c r="B69" s="53" t="s">
        <v>193</v>
      </c>
      <c r="C69" s="64" t="s">
        <v>194</v>
      </c>
      <c r="D69" s="25"/>
      <c r="E69" s="25"/>
      <c r="F69" s="25">
        <f t="shared" si="23"/>
        <v>0</v>
      </c>
      <c r="G69" s="25"/>
      <c r="H69" s="25"/>
      <c r="I69" s="25">
        <f t="shared" si="24"/>
        <v>0</v>
      </c>
    </row>
    <row r="70" spans="2:9" ht="31.5" hidden="1" customHeight="1" x14ac:dyDescent="0.25">
      <c r="B70" s="53" t="s">
        <v>604</v>
      </c>
      <c r="C70" s="64" t="s">
        <v>196</v>
      </c>
      <c r="D70" s="25"/>
      <c r="E70" s="25"/>
      <c r="F70" s="25">
        <f t="shared" si="23"/>
        <v>0</v>
      </c>
      <c r="G70" s="25"/>
      <c r="H70" s="25"/>
      <c r="I70" s="25">
        <f t="shared" si="24"/>
        <v>0</v>
      </c>
    </row>
    <row r="71" spans="2:9" ht="15.75" hidden="1" customHeight="1" x14ac:dyDescent="0.25">
      <c r="B71" s="53" t="s">
        <v>197</v>
      </c>
      <c r="C71" s="64" t="s">
        <v>198</v>
      </c>
      <c r="D71" s="25"/>
      <c r="E71" s="25"/>
      <c r="F71" s="25">
        <f t="shared" si="23"/>
        <v>0</v>
      </c>
      <c r="G71" s="25"/>
      <c r="H71" s="25"/>
      <c r="I71" s="25">
        <f t="shared" si="24"/>
        <v>0</v>
      </c>
    </row>
    <row r="72" spans="2:9" ht="15.75" hidden="1" customHeight="1" x14ac:dyDescent="0.25">
      <c r="B72" s="53" t="s">
        <v>199</v>
      </c>
      <c r="C72" s="64" t="s">
        <v>200</v>
      </c>
      <c r="D72" s="25"/>
      <c r="E72" s="25"/>
      <c r="F72" s="25">
        <f t="shared" si="23"/>
        <v>0</v>
      </c>
      <c r="G72" s="25"/>
      <c r="H72" s="25"/>
      <c r="I72" s="25">
        <f t="shared" si="24"/>
        <v>0</v>
      </c>
    </row>
    <row r="73" spans="2:9" x14ac:dyDescent="0.25">
      <c r="B73" s="53" t="s">
        <v>201</v>
      </c>
      <c r="C73" s="64" t="s">
        <v>202</v>
      </c>
      <c r="D73" s="24">
        <v>47721000</v>
      </c>
      <c r="E73" s="24">
        <v>410013000</v>
      </c>
      <c r="F73" s="25">
        <f t="shared" si="23"/>
        <v>457734000</v>
      </c>
      <c r="G73" s="24">
        <v>47721000</v>
      </c>
      <c r="H73" s="24">
        <f>484171111-G73</f>
        <v>436450111</v>
      </c>
      <c r="I73" s="25">
        <f t="shared" si="24"/>
        <v>484171111</v>
      </c>
    </row>
    <row r="74" spans="2:9" x14ac:dyDescent="0.25">
      <c r="B74" s="56" t="s">
        <v>203</v>
      </c>
      <c r="C74" s="65" t="s">
        <v>204</v>
      </c>
      <c r="D74" s="25">
        <f t="shared" ref="D74:F74" si="25">+D73+D72+D71+D70+D69+D68</f>
        <v>47721000</v>
      </c>
      <c r="E74" s="25">
        <f t="shared" si="25"/>
        <v>410013000</v>
      </c>
      <c r="F74" s="25">
        <f t="shared" si="25"/>
        <v>457734000</v>
      </c>
      <c r="G74" s="25">
        <f>+G73+G72+G71+G70+G69+G68</f>
        <v>47721000</v>
      </c>
      <c r="H74" s="25">
        <f>+H73+H72+H71+H70+H69+H68</f>
        <v>436450111</v>
      </c>
      <c r="I74" s="25">
        <f t="shared" ref="I74" si="26">+I73+I72+I71+I70+I69+I68</f>
        <v>484171111</v>
      </c>
    </row>
    <row r="75" spans="2:9" x14ac:dyDescent="0.25">
      <c r="B75" s="56" t="s">
        <v>205</v>
      </c>
      <c r="C75" s="65" t="s">
        <v>206</v>
      </c>
      <c r="D75" s="24"/>
      <c r="E75" s="24"/>
      <c r="F75" s="25">
        <f t="shared" ref="F75:F81" si="27">+E75+D75</f>
        <v>0</v>
      </c>
      <c r="G75" s="24"/>
      <c r="H75" s="24"/>
      <c r="I75" s="25">
        <f t="shared" ref="I75:I81" si="28">+H75+G75</f>
        <v>0</v>
      </c>
    </row>
    <row r="76" spans="2:9" ht="15.75" hidden="1" customHeight="1" x14ac:dyDescent="0.25">
      <c r="B76" s="53" t="s">
        <v>207</v>
      </c>
      <c r="C76" s="64" t="s">
        <v>208</v>
      </c>
      <c r="D76" s="24"/>
      <c r="E76" s="24"/>
      <c r="F76" s="25">
        <f t="shared" si="27"/>
        <v>0</v>
      </c>
      <c r="G76" s="24"/>
      <c r="H76" s="24"/>
      <c r="I76" s="25">
        <f t="shared" si="28"/>
        <v>0</v>
      </c>
    </row>
    <row r="77" spans="2:9" ht="15.75" hidden="1" customHeight="1" x14ac:dyDescent="0.25">
      <c r="B77" s="53" t="s">
        <v>209</v>
      </c>
      <c r="C77" s="64" t="s">
        <v>210</v>
      </c>
      <c r="D77" s="24"/>
      <c r="E77" s="24"/>
      <c r="F77" s="25">
        <f t="shared" si="27"/>
        <v>0</v>
      </c>
      <c r="G77" s="24"/>
      <c r="H77" s="24"/>
      <c r="I77" s="25">
        <f t="shared" si="28"/>
        <v>0</v>
      </c>
    </row>
    <row r="78" spans="2:9" ht="15.75" hidden="1" customHeight="1" x14ac:dyDescent="0.25">
      <c r="B78" s="53" t="s">
        <v>211</v>
      </c>
      <c r="C78" s="64" t="s">
        <v>212</v>
      </c>
      <c r="D78" s="24"/>
      <c r="E78" s="24"/>
      <c r="F78" s="25">
        <f t="shared" si="27"/>
        <v>0</v>
      </c>
      <c r="G78" s="24"/>
      <c r="H78" s="24"/>
      <c r="I78" s="25">
        <f t="shared" si="28"/>
        <v>0</v>
      </c>
    </row>
    <row r="79" spans="2:9" ht="15.75" hidden="1" customHeight="1" x14ac:dyDescent="0.25">
      <c r="B79" s="53" t="s">
        <v>213</v>
      </c>
      <c r="C79" s="64" t="s">
        <v>214</v>
      </c>
      <c r="D79" s="24"/>
      <c r="E79" s="24"/>
      <c r="F79" s="25">
        <f t="shared" si="27"/>
        <v>0</v>
      </c>
      <c r="G79" s="24"/>
      <c r="H79" s="24"/>
      <c r="I79" s="25">
        <f t="shared" si="28"/>
        <v>0</v>
      </c>
    </row>
    <row r="80" spans="2:9" ht="15.75" hidden="1" customHeight="1" x14ac:dyDescent="0.25">
      <c r="B80" s="53" t="s">
        <v>215</v>
      </c>
      <c r="C80" s="64" t="s">
        <v>216</v>
      </c>
      <c r="D80" s="24"/>
      <c r="E80" s="24"/>
      <c r="F80" s="25">
        <f t="shared" si="27"/>
        <v>0</v>
      </c>
      <c r="G80" s="24"/>
      <c r="H80" s="24"/>
      <c r="I80" s="25">
        <f t="shared" si="28"/>
        <v>0</v>
      </c>
    </row>
    <row r="81" spans="2:9" ht="15.75" hidden="1" customHeight="1" x14ac:dyDescent="0.25">
      <c r="B81" s="53" t="s">
        <v>217</v>
      </c>
      <c r="C81" s="64" t="s">
        <v>218</v>
      </c>
      <c r="D81" s="24"/>
      <c r="E81" s="24"/>
      <c r="F81" s="25">
        <f t="shared" si="27"/>
        <v>0</v>
      </c>
      <c r="G81" s="24"/>
      <c r="H81" s="24"/>
      <c r="I81" s="25">
        <f t="shared" si="28"/>
        <v>0</v>
      </c>
    </row>
    <row r="82" spans="2:9" x14ac:dyDescent="0.25">
      <c r="B82" s="56" t="s">
        <v>219</v>
      </c>
      <c r="C82" s="65" t="s">
        <v>220</v>
      </c>
      <c r="D82" s="25">
        <f t="shared" ref="D82:F82" si="29">SUM(D76:D81)</f>
        <v>0</v>
      </c>
      <c r="E82" s="25">
        <f t="shared" si="29"/>
        <v>0</v>
      </c>
      <c r="F82" s="25">
        <f t="shared" si="29"/>
        <v>0</v>
      </c>
      <c r="G82" s="25">
        <f>SUM(G76:G81)</f>
        <v>0</v>
      </c>
      <c r="H82" s="25">
        <f>SUM(H76:H81)</f>
        <v>0</v>
      </c>
      <c r="I82" s="25">
        <f t="shared" ref="I82" si="30">SUM(I76:I81)</f>
        <v>0</v>
      </c>
    </row>
    <row r="83" spans="2:9" x14ac:dyDescent="0.25">
      <c r="B83" s="66" t="s">
        <v>607</v>
      </c>
      <c r="C83" s="64" t="s">
        <v>222</v>
      </c>
      <c r="D83" s="24"/>
      <c r="E83" s="24">
        <v>160000</v>
      </c>
      <c r="F83" s="25">
        <f t="shared" ref="F83:F93" si="31">+E83+D83</f>
        <v>160000</v>
      </c>
      <c r="G83" s="24"/>
      <c r="H83" s="24">
        <v>160000</v>
      </c>
      <c r="I83" s="25">
        <f t="shared" ref="I83:I93" si="32">+H83+G83</f>
        <v>160000</v>
      </c>
    </row>
    <row r="84" spans="2:9" x14ac:dyDescent="0.25">
      <c r="B84" s="66" t="s">
        <v>223</v>
      </c>
      <c r="C84" s="64" t="s">
        <v>224</v>
      </c>
      <c r="D84" s="24"/>
      <c r="E84" s="24">
        <v>28395000</v>
      </c>
      <c r="F84" s="25">
        <f t="shared" si="31"/>
        <v>28395000</v>
      </c>
      <c r="G84" s="24"/>
      <c r="H84" s="24">
        <v>29489146</v>
      </c>
      <c r="I84" s="25">
        <f t="shared" si="32"/>
        <v>29489146</v>
      </c>
    </row>
    <row r="85" spans="2:9" x14ac:dyDescent="0.25">
      <c r="B85" s="66" t="s">
        <v>225</v>
      </c>
      <c r="C85" s="64" t="s">
        <v>226</v>
      </c>
      <c r="D85" s="24"/>
      <c r="E85" s="24">
        <v>5500000</v>
      </c>
      <c r="F85" s="25">
        <f t="shared" si="31"/>
        <v>5500000</v>
      </c>
      <c r="G85" s="24"/>
      <c r="H85" s="24">
        <v>5500000</v>
      </c>
      <c r="I85" s="25">
        <f t="shared" si="32"/>
        <v>5500000</v>
      </c>
    </row>
    <row r="86" spans="2:9" x14ac:dyDescent="0.25">
      <c r="B86" s="66" t="s">
        <v>227</v>
      </c>
      <c r="C86" s="64" t="s">
        <v>228</v>
      </c>
      <c r="D86" s="24"/>
      <c r="E86" s="24"/>
      <c r="F86" s="25">
        <f t="shared" si="31"/>
        <v>0</v>
      </c>
      <c r="G86" s="24"/>
      <c r="H86" s="24"/>
      <c r="I86" s="25">
        <f t="shared" si="32"/>
        <v>0</v>
      </c>
    </row>
    <row r="87" spans="2:9" x14ac:dyDescent="0.25">
      <c r="B87" s="66" t="s">
        <v>229</v>
      </c>
      <c r="C87" s="64" t="s">
        <v>230</v>
      </c>
      <c r="D87" s="24"/>
      <c r="E87" s="24"/>
      <c r="F87" s="25">
        <f t="shared" si="31"/>
        <v>0</v>
      </c>
      <c r="G87" s="24"/>
      <c r="H87" s="24"/>
      <c r="I87" s="25">
        <f t="shared" si="32"/>
        <v>0</v>
      </c>
    </row>
    <row r="88" spans="2:9" x14ac:dyDescent="0.25">
      <c r="B88" s="66" t="s">
        <v>231</v>
      </c>
      <c r="C88" s="64" t="s">
        <v>232</v>
      </c>
      <c r="D88" s="24"/>
      <c r="E88" s="24"/>
      <c r="F88" s="25">
        <f t="shared" si="31"/>
        <v>0</v>
      </c>
      <c r="G88" s="24"/>
      <c r="H88" s="24"/>
      <c r="I88" s="25">
        <f t="shared" si="32"/>
        <v>0</v>
      </c>
    </row>
    <row r="89" spans="2:9" x14ac:dyDescent="0.25">
      <c r="B89" s="66" t="s">
        <v>233</v>
      </c>
      <c r="C89" s="64" t="s">
        <v>234</v>
      </c>
      <c r="D89" s="24"/>
      <c r="E89" s="24"/>
      <c r="F89" s="25">
        <f t="shared" si="31"/>
        <v>0</v>
      </c>
      <c r="G89" s="24"/>
      <c r="H89" s="24"/>
      <c r="I89" s="25">
        <f t="shared" si="32"/>
        <v>0</v>
      </c>
    </row>
    <row r="90" spans="2:9" x14ac:dyDescent="0.25">
      <c r="B90" s="66" t="s">
        <v>235</v>
      </c>
      <c r="C90" s="64" t="s">
        <v>236</v>
      </c>
      <c r="D90" s="24"/>
      <c r="E90" s="24">
        <v>1000</v>
      </c>
      <c r="F90" s="25">
        <f t="shared" si="31"/>
        <v>1000</v>
      </c>
      <c r="G90" s="24"/>
      <c r="H90" s="24">
        <v>998</v>
      </c>
      <c r="I90" s="25">
        <f t="shared" si="32"/>
        <v>998</v>
      </c>
    </row>
    <row r="91" spans="2:9" x14ac:dyDescent="0.25">
      <c r="B91" s="66" t="s">
        <v>237</v>
      </c>
      <c r="C91" s="64" t="s">
        <v>238</v>
      </c>
      <c r="D91" s="24"/>
      <c r="E91" s="24"/>
      <c r="F91" s="25">
        <f t="shared" si="31"/>
        <v>0</v>
      </c>
      <c r="G91" s="24"/>
      <c r="H91" s="24"/>
      <c r="I91" s="25">
        <f t="shared" si="32"/>
        <v>0</v>
      </c>
    </row>
    <row r="92" spans="2:9" x14ac:dyDescent="0.25">
      <c r="B92" s="66" t="s">
        <v>239</v>
      </c>
      <c r="C92" s="64" t="s">
        <v>240</v>
      </c>
      <c r="D92" s="24"/>
      <c r="E92" s="24"/>
      <c r="F92" s="25">
        <f t="shared" si="31"/>
        <v>0</v>
      </c>
      <c r="G92" s="24"/>
      <c r="H92" s="24">
        <v>0</v>
      </c>
      <c r="I92" s="25">
        <f t="shared" si="32"/>
        <v>0</v>
      </c>
    </row>
    <row r="93" spans="2:9" x14ac:dyDescent="0.25">
      <c r="B93" s="66" t="s">
        <v>241</v>
      </c>
      <c r="C93" s="64" t="s">
        <v>242</v>
      </c>
      <c r="D93" s="24"/>
      <c r="E93" s="24"/>
      <c r="F93" s="25">
        <f t="shared" si="31"/>
        <v>0</v>
      </c>
      <c r="G93" s="24"/>
      <c r="H93" s="24">
        <v>752</v>
      </c>
      <c r="I93" s="25">
        <f t="shared" si="32"/>
        <v>752</v>
      </c>
    </row>
    <row r="94" spans="2:9" x14ac:dyDescent="0.25">
      <c r="B94" s="57" t="s">
        <v>243</v>
      </c>
      <c r="C94" s="65" t="s">
        <v>244</v>
      </c>
      <c r="D94" s="25">
        <f t="shared" ref="D94:I94" si="33">SUM(D83:D93)</f>
        <v>0</v>
      </c>
      <c r="E94" s="25">
        <f t="shared" si="33"/>
        <v>34056000</v>
      </c>
      <c r="F94" s="25">
        <f t="shared" si="33"/>
        <v>34056000</v>
      </c>
      <c r="G94" s="25">
        <f t="shared" si="33"/>
        <v>0</v>
      </c>
      <c r="H94" s="25">
        <f t="shared" si="33"/>
        <v>35150896</v>
      </c>
      <c r="I94" s="25">
        <f t="shared" si="33"/>
        <v>35150896</v>
      </c>
    </row>
    <row r="95" spans="2:9" x14ac:dyDescent="0.25">
      <c r="B95" s="66" t="s">
        <v>245</v>
      </c>
      <c r="C95" s="64" t="s">
        <v>246</v>
      </c>
      <c r="D95" s="24"/>
      <c r="E95" s="24"/>
      <c r="F95" s="25">
        <f>+E95+D95</f>
        <v>0</v>
      </c>
      <c r="G95" s="24"/>
      <c r="H95" s="24"/>
      <c r="I95" s="25">
        <f>+H95+G95</f>
        <v>0</v>
      </c>
    </row>
    <row r="96" spans="2:9" x14ac:dyDescent="0.25">
      <c r="B96" s="66" t="s">
        <v>247</v>
      </c>
      <c r="C96" s="64" t="s">
        <v>248</v>
      </c>
      <c r="D96" s="24"/>
      <c r="E96" s="24"/>
      <c r="F96" s="25">
        <f>+E96+D96</f>
        <v>0</v>
      </c>
      <c r="G96" s="24"/>
      <c r="H96" s="24"/>
      <c r="I96" s="25">
        <f>+H96+G96</f>
        <v>0</v>
      </c>
    </row>
    <row r="97" spans="2:9" x14ac:dyDescent="0.25">
      <c r="B97" s="66" t="s">
        <v>249</v>
      </c>
      <c r="C97" s="64" t="s">
        <v>250</v>
      </c>
      <c r="D97" s="24"/>
      <c r="E97" s="24"/>
      <c r="F97" s="25">
        <f>+E97+D97</f>
        <v>0</v>
      </c>
      <c r="G97" s="24"/>
      <c r="H97" s="24">
        <v>63500</v>
      </c>
      <c r="I97" s="25">
        <f>+H97+G97</f>
        <v>63500</v>
      </c>
    </row>
    <row r="98" spans="2:9" x14ac:dyDescent="0.25">
      <c r="B98" s="66" t="s">
        <v>251</v>
      </c>
      <c r="C98" s="64" t="s">
        <v>252</v>
      </c>
      <c r="D98" s="24"/>
      <c r="E98" s="24"/>
      <c r="F98" s="25">
        <f>+E98+D98</f>
        <v>0</v>
      </c>
      <c r="G98" s="24"/>
      <c r="H98" s="24"/>
      <c r="I98" s="25">
        <f>+H98+G98</f>
        <v>0</v>
      </c>
    </row>
    <row r="99" spans="2:9" x14ac:dyDescent="0.25">
      <c r="B99" s="66" t="s">
        <v>253</v>
      </c>
      <c r="C99" s="64" t="s">
        <v>254</v>
      </c>
      <c r="D99" s="24"/>
      <c r="E99" s="24"/>
      <c r="F99" s="25">
        <f>+E99+D99</f>
        <v>0</v>
      </c>
      <c r="G99" s="24"/>
      <c r="H99" s="24"/>
      <c r="I99" s="25">
        <f>+H99+G99</f>
        <v>0</v>
      </c>
    </row>
    <row r="100" spans="2:9" x14ac:dyDescent="0.25">
      <c r="B100" s="56" t="s">
        <v>255</v>
      </c>
      <c r="C100" s="65" t="s">
        <v>256</v>
      </c>
      <c r="D100" s="25">
        <f t="shared" ref="D100:I100" si="34">SUM(D95:D99)</f>
        <v>0</v>
      </c>
      <c r="E100" s="25">
        <f t="shared" si="34"/>
        <v>0</v>
      </c>
      <c r="F100" s="25">
        <f t="shared" si="34"/>
        <v>0</v>
      </c>
      <c r="G100" s="25">
        <f t="shared" si="34"/>
        <v>0</v>
      </c>
      <c r="H100" s="25">
        <f t="shared" si="34"/>
        <v>63500</v>
      </c>
      <c r="I100" s="25">
        <f t="shared" si="34"/>
        <v>63500</v>
      </c>
    </row>
    <row r="101" spans="2:9" x14ac:dyDescent="0.25">
      <c r="B101" s="56" t="s">
        <v>257</v>
      </c>
      <c r="C101" s="65" t="s">
        <v>258</v>
      </c>
      <c r="D101" s="24"/>
      <c r="E101" s="24"/>
      <c r="F101" s="25">
        <f>+E101+D101</f>
        <v>0</v>
      </c>
      <c r="G101" s="24"/>
      <c r="H101" s="24"/>
      <c r="I101" s="25">
        <f>+H101+G101</f>
        <v>0</v>
      </c>
    </row>
    <row r="102" spans="2:9" ht="15.75" hidden="1" customHeight="1" x14ac:dyDescent="0.25">
      <c r="B102" s="66" t="s">
        <v>259</v>
      </c>
      <c r="C102" s="64" t="s">
        <v>260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</row>
    <row r="103" spans="2:9" ht="15.75" hidden="1" customHeight="1" x14ac:dyDescent="0.25">
      <c r="B103" s="53" t="s">
        <v>261</v>
      </c>
      <c r="C103" s="64" t="s">
        <v>262</v>
      </c>
      <c r="D103" s="24"/>
      <c r="E103" s="24"/>
      <c r="F103" s="25"/>
      <c r="G103" s="24"/>
      <c r="H103" s="24"/>
      <c r="I103" s="25"/>
    </row>
    <row r="104" spans="2:9" ht="31.5" hidden="1" customHeight="1" x14ac:dyDescent="0.25">
      <c r="B104" s="66" t="s">
        <v>263</v>
      </c>
      <c r="C104" s="64" t="s">
        <v>264</v>
      </c>
      <c r="D104" s="24"/>
      <c r="E104" s="24"/>
      <c r="F104" s="25"/>
      <c r="G104" s="24"/>
      <c r="H104" s="24"/>
      <c r="I104" s="25"/>
    </row>
    <row r="105" spans="2:9" ht="15.75" hidden="1" customHeight="1" x14ac:dyDescent="0.25">
      <c r="B105" s="66" t="s">
        <v>265</v>
      </c>
      <c r="C105" s="64" t="s">
        <v>266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</row>
    <row r="106" spans="2:9" x14ac:dyDescent="0.25">
      <c r="B106" s="66" t="s">
        <v>267</v>
      </c>
      <c r="C106" s="64" t="s">
        <v>268</v>
      </c>
      <c r="D106" s="24"/>
      <c r="E106" s="24"/>
      <c r="F106" s="25">
        <f>+E106+D106</f>
        <v>0</v>
      </c>
      <c r="G106" s="24"/>
      <c r="H106" s="24"/>
      <c r="I106" s="25">
        <f>+H106+G106</f>
        <v>0</v>
      </c>
    </row>
    <row r="107" spans="2:9" x14ac:dyDescent="0.25">
      <c r="B107" s="56" t="s">
        <v>269</v>
      </c>
      <c r="C107" s="65" t="s">
        <v>270</v>
      </c>
      <c r="D107" s="25">
        <f t="shared" ref="D107:I107" si="35">SUM(D102:D106)</f>
        <v>0</v>
      </c>
      <c r="E107" s="25">
        <f t="shared" si="35"/>
        <v>0</v>
      </c>
      <c r="F107" s="25">
        <f t="shared" si="35"/>
        <v>0</v>
      </c>
      <c r="G107" s="25">
        <f t="shared" si="35"/>
        <v>0</v>
      </c>
      <c r="H107" s="25">
        <f t="shared" si="35"/>
        <v>0</v>
      </c>
      <c r="I107" s="25">
        <f t="shared" si="35"/>
        <v>0</v>
      </c>
    </row>
    <row r="108" spans="2:9" x14ac:dyDescent="0.25">
      <c r="B108" s="78" t="s">
        <v>271</v>
      </c>
      <c r="C108" s="67" t="s">
        <v>272</v>
      </c>
      <c r="D108" s="69">
        <f t="shared" ref="D108:I108" si="36">+D107+D101+D100+D94+D82+D75+D74</f>
        <v>47721000</v>
      </c>
      <c r="E108" s="69">
        <f t="shared" si="36"/>
        <v>444069000</v>
      </c>
      <c r="F108" s="69">
        <f t="shared" si="36"/>
        <v>491790000</v>
      </c>
      <c r="G108" s="69">
        <f t="shared" si="36"/>
        <v>47721000</v>
      </c>
      <c r="H108" s="69">
        <f t="shared" si="36"/>
        <v>471664507</v>
      </c>
      <c r="I108" s="69">
        <f t="shared" si="36"/>
        <v>519385507</v>
      </c>
    </row>
    <row r="109" spans="2:9" x14ac:dyDescent="0.25">
      <c r="B109" s="79" t="s">
        <v>273</v>
      </c>
      <c r="C109" s="80"/>
      <c r="D109" s="81">
        <f>+D101+D94+D82+D74-D33</f>
        <v>-7448000</v>
      </c>
      <c r="E109" s="81">
        <f>+E101+E94+E82+E74-E33</f>
        <v>-1155000</v>
      </c>
      <c r="F109" s="81">
        <f t="shared" ref="F109:F116" si="37">+E109+D109</f>
        <v>-8603000</v>
      </c>
      <c r="G109" s="81">
        <f>+G101+G94+G82+G74-G33</f>
        <v>-8688000</v>
      </c>
      <c r="H109" s="81">
        <f>+H101+H94+H82+H74-H33</f>
        <v>-9928419</v>
      </c>
      <c r="I109" s="81">
        <f t="shared" ref="I109:I116" si="38">+H109+G109</f>
        <v>-18616419</v>
      </c>
    </row>
    <row r="110" spans="2:9" x14ac:dyDescent="0.25">
      <c r="B110" s="79" t="s">
        <v>274</v>
      </c>
      <c r="C110" s="80"/>
      <c r="D110" s="81">
        <f>+D107+D100+D75-D57</f>
        <v>-410000</v>
      </c>
      <c r="E110" s="81">
        <f>+E107+E100+E75-E57</f>
        <v>-2540000</v>
      </c>
      <c r="F110" s="81">
        <f t="shared" si="37"/>
        <v>-2950000</v>
      </c>
      <c r="G110" s="81">
        <f>+G107+G100+G75-G57</f>
        <v>-2000000</v>
      </c>
      <c r="H110" s="81">
        <f>+H107+H100+H75-H57</f>
        <v>-16870423</v>
      </c>
      <c r="I110" s="81">
        <f t="shared" si="38"/>
        <v>-18870423</v>
      </c>
    </row>
    <row r="111" spans="2:9" ht="15.75" hidden="1" customHeight="1" x14ac:dyDescent="0.25">
      <c r="B111" s="57" t="s">
        <v>611</v>
      </c>
      <c r="C111" s="56" t="s">
        <v>282</v>
      </c>
      <c r="D111" s="24"/>
      <c r="E111" s="24"/>
      <c r="F111" s="25">
        <f t="shared" si="37"/>
        <v>0</v>
      </c>
      <c r="G111" s="24"/>
      <c r="H111" s="24"/>
      <c r="I111" s="25">
        <f t="shared" si="38"/>
        <v>0</v>
      </c>
    </row>
    <row r="112" spans="2:9" ht="15.75" hidden="1" customHeight="1" x14ac:dyDescent="0.25">
      <c r="B112" s="73" t="s">
        <v>612</v>
      </c>
      <c r="C112" s="56" t="s">
        <v>292</v>
      </c>
      <c r="D112" s="24"/>
      <c r="E112" s="24"/>
      <c r="F112" s="25">
        <f t="shared" si="37"/>
        <v>0</v>
      </c>
      <c r="G112" s="24"/>
      <c r="H112" s="24"/>
      <c r="I112" s="25">
        <f t="shared" si="38"/>
        <v>0</v>
      </c>
    </row>
    <row r="113" spans="1:9" x14ac:dyDescent="0.25">
      <c r="B113" s="53" t="s">
        <v>293</v>
      </c>
      <c r="C113" s="53" t="s">
        <v>294</v>
      </c>
      <c r="D113" s="24"/>
      <c r="E113" s="24"/>
      <c r="F113" s="25">
        <f t="shared" si="37"/>
        <v>0</v>
      </c>
      <c r="G113" s="24"/>
      <c r="H113" s="24">
        <v>10000000</v>
      </c>
      <c r="I113" s="25">
        <f t="shared" si="38"/>
        <v>10000000</v>
      </c>
    </row>
    <row r="114" spans="1:9" x14ac:dyDescent="0.25">
      <c r="A114" s="13" t="s">
        <v>331</v>
      </c>
      <c r="B114" s="53" t="s">
        <v>295</v>
      </c>
      <c r="C114" s="53" t="s">
        <v>294</v>
      </c>
      <c r="D114" s="24"/>
      <c r="E114" s="24"/>
      <c r="F114" s="25">
        <f t="shared" si="37"/>
        <v>0</v>
      </c>
      <c r="G114" s="24"/>
      <c r="H114" s="24">
        <v>15179743</v>
      </c>
      <c r="I114" s="25">
        <f t="shared" si="38"/>
        <v>15179743</v>
      </c>
    </row>
    <row r="115" spans="1:9" ht="15.75" hidden="1" customHeight="1" x14ac:dyDescent="0.25">
      <c r="B115" s="53" t="s">
        <v>296</v>
      </c>
      <c r="C115" s="53" t="s">
        <v>297</v>
      </c>
      <c r="D115" s="24"/>
      <c r="E115" s="24"/>
      <c r="F115" s="25">
        <f t="shared" si="37"/>
        <v>0</v>
      </c>
      <c r="G115" s="24"/>
      <c r="H115" s="24"/>
      <c r="I115" s="25">
        <f t="shared" si="38"/>
        <v>0</v>
      </c>
    </row>
    <row r="116" spans="1:9" ht="15.75" hidden="1" customHeight="1" x14ac:dyDescent="0.25">
      <c r="A116"/>
      <c r="B116" s="53" t="s">
        <v>298</v>
      </c>
      <c r="C116" s="53" t="s">
        <v>297</v>
      </c>
      <c r="D116" s="24"/>
      <c r="E116" s="24"/>
      <c r="F116" s="25">
        <f t="shared" si="37"/>
        <v>0</v>
      </c>
      <c r="G116" s="24"/>
      <c r="H116" s="24"/>
      <c r="I116" s="25">
        <f t="shared" si="38"/>
        <v>0</v>
      </c>
    </row>
    <row r="117" spans="1:9" x14ac:dyDescent="0.25">
      <c r="A117" s="13" t="s">
        <v>623</v>
      </c>
      <c r="B117" s="56" t="s">
        <v>299</v>
      </c>
      <c r="C117" s="56" t="s">
        <v>300</v>
      </c>
      <c r="D117" s="25">
        <f t="shared" ref="D117:I117" si="39">SUM(D113:D116)</f>
        <v>0</v>
      </c>
      <c r="E117" s="25">
        <f t="shared" si="39"/>
        <v>0</v>
      </c>
      <c r="F117" s="25">
        <f t="shared" si="39"/>
        <v>0</v>
      </c>
      <c r="G117" s="25">
        <f t="shared" si="39"/>
        <v>0</v>
      </c>
      <c r="H117" s="25">
        <f t="shared" si="39"/>
        <v>25179743</v>
      </c>
      <c r="I117" s="25">
        <f t="shared" si="39"/>
        <v>25179743</v>
      </c>
    </row>
    <row r="118" spans="1:9" ht="15.75" hidden="1" customHeight="1" x14ac:dyDescent="0.25">
      <c r="A118"/>
      <c r="B118" s="71" t="s">
        <v>301</v>
      </c>
      <c r="C118" s="53" t="s">
        <v>302</v>
      </c>
      <c r="D118" s="24"/>
      <c r="E118" s="24"/>
      <c r="F118" s="25">
        <f t="shared" ref="F118:F125" si="40">+E118+D118</f>
        <v>0</v>
      </c>
      <c r="G118" s="24"/>
      <c r="H118" s="24"/>
      <c r="I118" s="25">
        <f t="shared" ref="I118:I125" si="41">+H118+G118</f>
        <v>0</v>
      </c>
    </row>
    <row r="119" spans="1:9" ht="15.75" hidden="1" customHeight="1" x14ac:dyDescent="0.25">
      <c r="B119" s="71" t="s">
        <v>303</v>
      </c>
      <c r="C119" s="53" t="s">
        <v>304</v>
      </c>
      <c r="D119" s="24"/>
      <c r="E119" s="24"/>
      <c r="F119" s="25">
        <f t="shared" si="40"/>
        <v>0</v>
      </c>
      <c r="G119" s="24"/>
      <c r="H119" s="24"/>
      <c r="I119" s="25">
        <f t="shared" si="41"/>
        <v>0</v>
      </c>
    </row>
    <row r="120" spans="1:9" x14ac:dyDescent="0.25">
      <c r="A120" s="30" t="s">
        <v>630</v>
      </c>
      <c r="B120" s="71" t="s">
        <v>305</v>
      </c>
      <c r="C120" s="53" t="s">
        <v>306</v>
      </c>
      <c r="D120" s="24">
        <v>7858000</v>
      </c>
      <c r="E120" s="24">
        <v>3695000</v>
      </c>
      <c r="F120" s="25">
        <f t="shared" si="40"/>
        <v>11553000</v>
      </c>
      <c r="G120" s="24">
        <v>7858000</v>
      </c>
      <c r="H120" s="24">
        <f>12307099-G120</f>
        <v>4449099</v>
      </c>
      <c r="I120" s="25">
        <f t="shared" si="41"/>
        <v>12307099</v>
      </c>
    </row>
    <row r="121" spans="1:9" s="222" customFormat="1" x14ac:dyDescent="0.25">
      <c r="B121" s="223" t="s">
        <v>625</v>
      </c>
      <c r="C121" s="136"/>
      <c r="D121" s="97"/>
      <c r="E121" s="97"/>
      <c r="F121" s="125">
        <f t="shared" si="40"/>
        <v>0</v>
      </c>
      <c r="G121" s="97"/>
      <c r="H121" s="97"/>
      <c r="I121" s="125">
        <f>+H121+G121</f>
        <v>0</v>
      </c>
    </row>
    <row r="122" spans="1:9" s="222" customFormat="1" x14ac:dyDescent="0.25">
      <c r="B122" s="224" t="s">
        <v>616</v>
      </c>
      <c r="C122" s="136"/>
      <c r="D122" s="97">
        <f>+D120-D121</f>
        <v>7858000</v>
      </c>
      <c r="E122" s="97">
        <f>+E120-E121</f>
        <v>3695000</v>
      </c>
      <c r="F122" s="125">
        <f t="shared" si="40"/>
        <v>11553000</v>
      </c>
      <c r="G122" s="97">
        <f>+G120-G121</f>
        <v>7858000</v>
      </c>
      <c r="H122" s="97">
        <f>+H120-H121</f>
        <v>4449099</v>
      </c>
      <c r="I122" s="125">
        <f>+H122+G122</f>
        <v>12307099</v>
      </c>
    </row>
    <row r="123" spans="1:9" ht="15.75" hidden="1" customHeight="1" x14ac:dyDescent="0.25">
      <c r="B123" s="71" t="s">
        <v>307</v>
      </c>
      <c r="C123" s="53" t="s">
        <v>308</v>
      </c>
      <c r="D123" s="24"/>
      <c r="E123" s="24"/>
      <c r="F123" s="25">
        <f t="shared" si="40"/>
        <v>0</v>
      </c>
      <c r="G123" s="24"/>
      <c r="H123" s="24"/>
      <c r="I123" s="25">
        <f t="shared" si="41"/>
        <v>0</v>
      </c>
    </row>
    <row r="124" spans="1:9" ht="15.75" hidden="1" customHeight="1" x14ac:dyDescent="0.25">
      <c r="B124" s="66" t="s">
        <v>309</v>
      </c>
      <c r="C124" s="53" t="s">
        <v>310</v>
      </c>
      <c r="D124" s="24"/>
      <c r="E124" s="24"/>
      <c r="F124" s="25">
        <f t="shared" si="40"/>
        <v>0</v>
      </c>
      <c r="G124" s="24"/>
      <c r="H124" s="24"/>
      <c r="I124" s="25">
        <f t="shared" si="41"/>
        <v>0</v>
      </c>
    </row>
    <row r="125" spans="1:9" ht="15.75" hidden="1" customHeight="1" x14ac:dyDescent="0.25">
      <c r="B125" s="66" t="s">
        <v>311</v>
      </c>
      <c r="C125" s="53" t="s">
        <v>312</v>
      </c>
      <c r="D125" s="24"/>
      <c r="E125" s="24"/>
      <c r="F125" s="25">
        <f t="shared" si="40"/>
        <v>0</v>
      </c>
      <c r="G125" s="24"/>
      <c r="H125" s="24"/>
      <c r="I125" s="25">
        <f t="shared" si="41"/>
        <v>0</v>
      </c>
    </row>
    <row r="126" spans="1:9" x14ac:dyDescent="0.25">
      <c r="B126" s="57" t="s">
        <v>313</v>
      </c>
      <c r="C126" s="56" t="s">
        <v>314</v>
      </c>
      <c r="D126" s="25">
        <f>SUM(D118:D125)+D117+D112+D111-D121-D122</f>
        <v>7858000</v>
      </c>
      <c r="E126" s="25">
        <f>SUM(E118:E125)+E117+E112+E111-E121-E122</f>
        <v>3695000</v>
      </c>
      <c r="F126" s="25">
        <f>SUM(F118:F124)+F117+F112+F111-F121-F122</f>
        <v>11553000</v>
      </c>
      <c r="G126" s="25">
        <f>SUM(G118:G125)+G117+G112+G111-G121-G122</f>
        <v>7858000</v>
      </c>
      <c r="H126" s="25">
        <f>SUM(H118:H125)+H117+H112+H111-H121-H122</f>
        <v>29628842</v>
      </c>
      <c r="I126" s="25">
        <f>SUM(I118:I124)+I117+I112+I111-I121-I122</f>
        <v>37486842</v>
      </c>
    </row>
    <row r="127" spans="1:9" ht="15.75" hidden="1" customHeight="1" x14ac:dyDescent="0.25">
      <c r="B127" s="71" t="s">
        <v>315</v>
      </c>
      <c r="C127" s="53" t="s">
        <v>316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t="15.75" hidden="1" customHeight="1" x14ac:dyDescent="0.25">
      <c r="B128" s="66" t="s">
        <v>317</v>
      </c>
      <c r="C128" s="53" t="s">
        <v>318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t="15.75" hidden="1" customHeight="1" x14ac:dyDescent="0.25">
      <c r="B129" s="66" t="s">
        <v>319</v>
      </c>
      <c r="C129" s="53" t="s">
        <v>320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4" t="s">
        <v>321</v>
      </c>
      <c r="C130" s="75" t="s">
        <v>322</v>
      </c>
      <c r="D130" s="69">
        <f>+D128+D127+D126+D129</f>
        <v>7858000</v>
      </c>
      <c r="E130" s="69">
        <f>+E128+E127+E126+E129</f>
        <v>3695000</v>
      </c>
      <c r="F130" s="69">
        <f>+F129+F127+F126</f>
        <v>11553000</v>
      </c>
      <c r="G130" s="69">
        <f>+G128+G127+G126+G129</f>
        <v>7858000</v>
      </c>
      <c r="H130" s="69">
        <f>+H128+H127+H126+H129</f>
        <v>29628842</v>
      </c>
      <c r="I130" s="69">
        <f>+I129+I127+I126</f>
        <v>37486842</v>
      </c>
    </row>
    <row r="131" spans="2:9" x14ac:dyDescent="0.25">
      <c r="B131" s="28" t="s">
        <v>323</v>
      </c>
      <c r="C131" s="28" t="s">
        <v>324</v>
      </c>
      <c r="D131" s="29">
        <f t="shared" ref="D131:I131" si="42">+D108+D130</f>
        <v>55579000</v>
      </c>
      <c r="E131" s="29">
        <f t="shared" si="42"/>
        <v>447764000</v>
      </c>
      <c r="F131" s="29">
        <f t="shared" si="42"/>
        <v>503343000</v>
      </c>
      <c r="G131" s="29">
        <f t="shared" si="42"/>
        <v>55579000</v>
      </c>
      <c r="H131" s="29">
        <f t="shared" si="42"/>
        <v>501293349</v>
      </c>
      <c r="I131" s="29">
        <f t="shared" si="42"/>
        <v>556872349</v>
      </c>
    </row>
    <row r="132" spans="2:9" x14ac:dyDescent="0.25">
      <c r="B132" s="13"/>
      <c r="C132" s="13"/>
      <c r="D132" s="14"/>
      <c r="E132" s="14"/>
      <c r="F132" s="77"/>
      <c r="G132" s="14"/>
      <c r="H132" s="14"/>
      <c r="I132" s="77"/>
    </row>
    <row r="133" spans="2:9" x14ac:dyDescent="0.25">
      <c r="B133" s="26" t="s">
        <v>325</v>
      </c>
      <c r="C133" s="26"/>
      <c r="D133" s="25">
        <f t="shared" ref="D133:I133" si="43">+D108-D58</f>
        <v>-7858000</v>
      </c>
      <c r="E133" s="25">
        <f t="shared" si="43"/>
        <v>-3695000</v>
      </c>
      <c r="F133" s="25">
        <f t="shared" si="43"/>
        <v>-11553000</v>
      </c>
      <c r="G133" s="25">
        <f t="shared" si="43"/>
        <v>-10688000</v>
      </c>
      <c r="H133" s="25">
        <f t="shared" si="43"/>
        <v>-26798842</v>
      </c>
      <c r="I133" s="25">
        <f t="shared" si="43"/>
        <v>-37486842</v>
      </c>
    </row>
    <row r="134" spans="2:9" x14ac:dyDescent="0.25">
      <c r="B134" s="26" t="s">
        <v>326</v>
      </c>
      <c r="C134" s="26"/>
      <c r="D134" s="25">
        <f t="shared" ref="D134:I134" si="44">+D130-D63</f>
        <v>7858000</v>
      </c>
      <c r="E134" s="25">
        <f t="shared" si="44"/>
        <v>3695000</v>
      </c>
      <c r="F134" s="25">
        <f t="shared" si="44"/>
        <v>11553000</v>
      </c>
      <c r="G134" s="25">
        <f t="shared" si="44"/>
        <v>7858000</v>
      </c>
      <c r="H134" s="25">
        <f t="shared" si="44"/>
        <v>29628842</v>
      </c>
      <c r="I134" s="25">
        <f t="shared" si="44"/>
        <v>37486842</v>
      </c>
    </row>
    <row r="135" spans="2:9" x14ac:dyDescent="0.25">
      <c r="B135" s="13"/>
      <c r="C135" s="13"/>
      <c r="D135" s="14"/>
      <c r="E135" s="14"/>
      <c r="F135" s="77"/>
      <c r="G135" s="14"/>
      <c r="H135" s="14"/>
      <c r="I135" s="77"/>
    </row>
    <row r="136" spans="2:9" x14ac:dyDescent="0.25">
      <c r="B136" s="82" t="s">
        <v>329</v>
      </c>
      <c r="C136" s="13"/>
      <c r="D136" s="14">
        <f t="shared" ref="D136:I136" si="45">+D131-D64</f>
        <v>0</v>
      </c>
      <c r="E136" s="14">
        <f t="shared" si="45"/>
        <v>0</v>
      </c>
      <c r="F136" s="14">
        <f t="shared" si="45"/>
        <v>0</v>
      </c>
      <c r="G136" s="14">
        <f t="shared" si="45"/>
        <v>-2830000</v>
      </c>
      <c r="H136" s="14">
        <f t="shared" si="45"/>
        <v>2830000</v>
      </c>
      <c r="I136" s="14">
        <f t="shared" si="45"/>
        <v>0</v>
      </c>
    </row>
    <row r="137" spans="2:9" x14ac:dyDescent="0.25">
      <c r="B137" s="13"/>
      <c r="C137" s="13"/>
      <c r="D137" s="14"/>
      <c r="E137" s="14"/>
      <c r="F137" s="77"/>
      <c r="G137" s="14"/>
      <c r="H137" s="14"/>
      <c r="I137" s="77"/>
    </row>
    <row r="138" spans="2:9" x14ac:dyDescent="0.25">
      <c r="B138" s="13"/>
      <c r="C138" s="13"/>
      <c r="D138" s="14"/>
      <c r="E138" s="14"/>
      <c r="F138" s="77"/>
      <c r="G138" s="14"/>
      <c r="H138" s="14"/>
      <c r="I138" s="77"/>
    </row>
    <row r="139" spans="2:9" x14ac:dyDescent="0.25">
      <c r="B139" s="13"/>
      <c r="C139" s="13"/>
      <c r="D139" s="14"/>
      <c r="E139" s="14"/>
      <c r="F139" s="77"/>
      <c r="G139" s="14"/>
      <c r="H139" s="14"/>
      <c r="I139" s="77"/>
    </row>
    <row r="140" spans="2:9" x14ac:dyDescent="0.25">
      <c r="B140" s="13"/>
      <c r="C140" s="13"/>
      <c r="D140" s="14"/>
      <c r="E140" s="14"/>
      <c r="F140" s="77"/>
      <c r="G140" s="14"/>
      <c r="H140" s="14"/>
      <c r="I140" s="77"/>
    </row>
    <row r="141" spans="2:9" x14ac:dyDescent="0.25">
      <c r="B141" s="13"/>
      <c r="C141" s="13"/>
      <c r="D141" s="14"/>
      <c r="E141" s="14"/>
      <c r="F141" s="77"/>
      <c r="G141" s="14"/>
      <c r="H141" s="14"/>
      <c r="I141" s="77"/>
    </row>
    <row r="142" spans="2:9" x14ac:dyDescent="0.25">
      <c r="B142" s="13"/>
      <c r="C142" s="13"/>
      <c r="D142" s="14"/>
      <c r="E142" s="14"/>
      <c r="F142" s="77"/>
      <c r="G142" s="14"/>
      <c r="H142" s="14"/>
      <c r="I142" s="77"/>
    </row>
    <row r="143" spans="2:9" x14ac:dyDescent="0.25">
      <c r="B143" s="13"/>
      <c r="C143" s="13"/>
      <c r="D143" s="14"/>
      <c r="E143" s="14"/>
      <c r="F143" s="77"/>
      <c r="G143" s="14"/>
      <c r="H143" s="14"/>
      <c r="I143" s="77"/>
    </row>
    <row r="144" spans="2:9" x14ac:dyDescent="0.25">
      <c r="B144" s="13"/>
      <c r="C144" s="13"/>
      <c r="D144" s="14"/>
      <c r="E144" s="14"/>
      <c r="F144" s="77"/>
      <c r="G144" s="14"/>
      <c r="H144" s="14"/>
      <c r="I144" s="77"/>
    </row>
    <row r="145" spans="2:9" x14ac:dyDescent="0.25">
      <c r="B145" s="13"/>
      <c r="C145" s="13"/>
      <c r="D145" s="14"/>
      <c r="E145" s="14"/>
      <c r="F145" s="77"/>
      <c r="G145" s="14"/>
      <c r="H145" s="14"/>
      <c r="I145" s="77"/>
    </row>
    <row r="146" spans="2:9" x14ac:dyDescent="0.25">
      <c r="B146" s="13"/>
      <c r="C146" s="13"/>
      <c r="D146" s="14"/>
      <c r="E146" s="14"/>
      <c r="F146" s="77"/>
      <c r="G146" s="14"/>
      <c r="H146" s="14"/>
      <c r="I146" s="77"/>
    </row>
    <row r="147" spans="2:9" x14ac:dyDescent="0.25">
      <c r="B147" s="13"/>
      <c r="C147" s="13"/>
      <c r="D147" s="14"/>
      <c r="E147" s="14"/>
      <c r="F147" s="77"/>
      <c r="G147" s="14"/>
      <c r="H147" s="14"/>
      <c r="I147" s="77"/>
    </row>
    <row r="148" spans="2:9" x14ac:dyDescent="0.25">
      <c r="B148" s="13"/>
      <c r="C148" s="13"/>
      <c r="D148" s="14"/>
      <c r="E148" s="14"/>
      <c r="F148" s="77"/>
      <c r="G148" s="14"/>
      <c r="H148" s="14"/>
      <c r="I148" s="77"/>
    </row>
    <row r="149" spans="2:9" x14ac:dyDescent="0.25">
      <c r="B149" s="13"/>
      <c r="C149" s="13"/>
      <c r="D149" s="14"/>
      <c r="E149" s="14"/>
      <c r="F149" s="77"/>
      <c r="G149" s="14"/>
      <c r="H149" s="14"/>
      <c r="I149" s="77"/>
    </row>
    <row r="150" spans="2:9" x14ac:dyDescent="0.25">
      <c r="B150" s="13"/>
      <c r="C150" s="13"/>
      <c r="D150" s="14"/>
      <c r="E150" s="14"/>
      <c r="F150" s="77"/>
      <c r="G150" s="14"/>
      <c r="H150" s="14"/>
      <c r="I150" s="77"/>
    </row>
    <row r="151" spans="2:9" x14ac:dyDescent="0.25">
      <c r="B151" s="13"/>
      <c r="C151" s="13"/>
      <c r="D151" s="14"/>
      <c r="E151" s="14"/>
      <c r="F151" s="77"/>
      <c r="G151" s="14"/>
      <c r="H151" s="14"/>
      <c r="I151" s="77"/>
    </row>
    <row r="152" spans="2:9" x14ac:dyDescent="0.25">
      <c r="B152" s="13"/>
      <c r="C152" s="13"/>
      <c r="D152" s="14"/>
      <c r="E152" s="14"/>
      <c r="F152" s="77"/>
      <c r="G152" s="14"/>
      <c r="H152" s="14"/>
      <c r="I152" s="77"/>
    </row>
    <row r="153" spans="2:9" x14ac:dyDescent="0.25">
      <c r="B153" s="13"/>
      <c r="C153" s="13"/>
      <c r="D153" s="14"/>
      <c r="E153" s="14"/>
      <c r="F153" s="77"/>
      <c r="G153" s="14"/>
      <c r="H153" s="14"/>
      <c r="I153" s="77"/>
    </row>
    <row r="154" spans="2:9" x14ac:dyDescent="0.25">
      <c r="B154" s="13"/>
      <c r="C154" s="13"/>
      <c r="D154" s="14"/>
      <c r="E154" s="14"/>
      <c r="F154" s="77"/>
      <c r="G154" s="14"/>
      <c r="H154" s="14"/>
      <c r="I154" s="77"/>
    </row>
    <row r="155" spans="2:9" x14ac:dyDescent="0.25">
      <c r="B155" s="13"/>
      <c r="C155" s="13"/>
      <c r="D155" s="14"/>
      <c r="E155" s="14"/>
      <c r="F155" s="77"/>
      <c r="G155" s="14"/>
      <c r="H155" s="14"/>
      <c r="I155" s="77"/>
    </row>
    <row r="156" spans="2:9" x14ac:dyDescent="0.25">
      <c r="B156" s="13"/>
      <c r="C156" s="13"/>
      <c r="D156" s="14"/>
      <c r="E156" s="14"/>
      <c r="F156" s="77"/>
      <c r="G156" s="14"/>
      <c r="H156" s="14"/>
      <c r="I156" s="77"/>
    </row>
    <row r="157" spans="2:9" x14ac:dyDescent="0.25">
      <c r="B157" s="13"/>
      <c r="C157" s="13"/>
      <c r="D157" s="14"/>
      <c r="E157" s="14"/>
      <c r="F157" s="77"/>
      <c r="G157" s="14"/>
      <c r="H157" s="14"/>
      <c r="I157" s="77"/>
    </row>
    <row r="158" spans="2:9" x14ac:dyDescent="0.25">
      <c r="B158" s="13"/>
      <c r="C158" s="13"/>
      <c r="D158" s="14"/>
      <c r="E158" s="14"/>
      <c r="F158" s="77"/>
      <c r="G158" s="14"/>
      <c r="H158" s="14"/>
      <c r="I158" s="77"/>
    </row>
    <row r="159" spans="2:9" x14ac:dyDescent="0.25">
      <c r="B159" s="13"/>
      <c r="C159" s="13"/>
      <c r="D159" s="14"/>
      <c r="E159" s="14"/>
      <c r="F159" s="77"/>
      <c r="G159" s="14"/>
      <c r="H159" s="14"/>
      <c r="I159" s="77"/>
    </row>
    <row r="160" spans="2:9" x14ac:dyDescent="0.25">
      <c r="B160" s="13"/>
      <c r="C160" s="13"/>
      <c r="D160" s="14"/>
      <c r="E160" s="14"/>
      <c r="F160" s="77"/>
      <c r="G160" s="14"/>
      <c r="H160" s="14"/>
      <c r="I160" s="77"/>
    </row>
    <row r="161" spans="2:9" x14ac:dyDescent="0.25">
      <c r="B161" s="13"/>
      <c r="C161" s="13"/>
      <c r="D161" s="14"/>
      <c r="E161" s="14"/>
      <c r="F161" s="77"/>
      <c r="G161" s="14"/>
      <c r="H161" s="14"/>
      <c r="I161" s="77"/>
    </row>
    <row r="162" spans="2:9" x14ac:dyDescent="0.25">
      <c r="B162" s="13"/>
      <c r="C162" s="13"/>
      <c r="D162" s="14"/>
      <c r="E162" s="14"/>
      <c r="F162" s="77"/>
      <c r="G162" s="14"/>
      <c r="H162" s="14"/>
      <c r="I162" s="77"/>
    </row>
    <row r="163" spans="2:9" x14ac:dyDescent="0.25">
      <c r="B163" s="13"/>
      <c r="C163" s="13"/>
      <c r="D163" s="14"/>
      <c r="E163" s="14"/>
      <c r="F163" s="77"/>
      <c r="G163" s="14"/>
      <c r="H163" s="14"/>
      <c r="I163" s="77"/>
    </row>
    <row r="164" spans="2:9" x14ac:dyDescent="0.25">
      <c r="B164" s="13"/>
      <c r="C164" s="13"/>
      <c r="D164" s="14"/>
      <c r="E164" s="14"/>
      <c r="F164" s="77"/>
      <c r="G164" s="14"/>
      <c r="H164" s="14"/>
      <c r="I164" s="77"/>
    </row>
    <row r="165" spans="2:9" x14ac:dyDescent="0.25">
      <c r="B165" s="13"/>
      <c r="C165" s="13"/>
      <c r="D165" s="14"/>
      <c r="E165" s="14"/>
      <c r="F165" s="77"/>
      <c r="G165" s="14"/>
      <c r="H165" s="14"/>
      <c r="I165" s="77"/>
    </row>
    <row r="166" spans="2:9" x14ac:dyDescent="0.25">
      <c r="B166" s="13"/>
      <c r="C166" s="13"/>
      <c r="D166" s="14"/>
      <c r="E166" s="14"/>
      <c r="F166" s="77"/>
      <c r="G166" s="14"/>
      <c r="H166" s="14"/>
      <c r="I166" s="77"/>
    </row>
    <row r="167" spans="2:9" x14ac:dyDescent="0.25">
      <c r="B167" s="13"/>
      <c r="C167" s="13"/>
      <c r="D167" s="14"/>
      <c r="E167" s="14"/>
      <c r="F167" s="77"/>
      <c r="G167" s="14"/>
      <c r="H167" s="14"/>
      <c r="I167" s="77"/>
    </row>
    <row r="168" spans="2:9" x14ac:dyDescent="0.25">
      <c r="B168" s="13"/>
      <c r="C168" s="13"/>
      <c r="D168" s="14"/>
      <c r="E168" s="14"/>
      <c r="F168" s="77"/>
      <c r="G168" s="14"/>
      <c r="H168" s="14"/>
      <c r="I168" s="77"/>
    </row>
    <row r="169" spans="2:9" x14ac:dyDescent="0.25">
      <c r="B169" s="13"/>
      <c r="C169" s="13"/>
      <c r="D169" s="14"/>
      <c r="E169" s="14"/>
      <c r="F169" s="77"/>
      <c r="G169" s="14"/>
      <c r="H169" s="14"/>
      <c r="I169" s="77"/>
    </row>
    <row r="170" spans="2:9" x14ac:dyDescent="0.25">
      <c r="B170" s="13"/>
      <c r="C170" s="13"/>
      <c r="D170" s="14"/>
      <c r="E170" s="14"/>
      <c r="F170" s="77"/>
      <c r="G170" s="14"/>
      <c r="H170" s="14"/>
      <c r="I170" s="77"/>
    </row>
    <row r="171" spans="2:9" x14ac:dyDescent="0.25">
      <c r="B171" s="13"/>
      <c r="C171" s="13"/>
      <c r="D171" s="14"/>
      <c r="E171" s="14"/>
      <c r="F171" s="77"/>
      <c r="G171" s="14"/>
      <c r="H171" s="14"/>
      <c r="I171" s="77"/>
    </row>
    <row r="172" spans="2:9" x14ac:dyDescent="0.25">
      <c r="B172" s="13"/>
      <c r="C172" s="13"/>
      <c r="D172" s="14"/>
      <c r="E172" s="14"/>
      <c r="F172" s="77"/>
      <c r="G172" s="14"/>
      <c r="H172" s="14"/>
      <c r="I172" s="77"/>
    </row>
    <row r="173" spans="2:9" x14ac:dyDescent="0.25">
      <c r="B173" s="13"/>
      <c r="C173" s="13"/>
      <c r="D173" s="14"/>
      <c r="E173" s="14"/>
      <c r="F173" s="77"/>
      <c r="G173" s="14"/>
      <c r="H173" s="14"/>
      <c r="I173" s="77"/>
    </row>
    <row r="174" spans="2:9" x14ac:dyDescent="0.25">
      <c r="B174" s="13"/>
      <c r="C174" s="13"/>
      <c r="D174" s="14"/>
      <c r="E174" s="14"/>
      <c r="F174" s="77"/>
      <c r="G174" s="14"/>
      <c r="H174" s="14"/>
      <c r="I174" s="77"/>
    </row>
    <row r="175" spans="2:9" x14ac:dyDescent="0.25">
      <c r="B175" s="13"/>
      <c r="C175" s="13"/>
      <c r="D175" s="14"/>
      <c r="E175" s="14"/>
      <c r="F175" s="77"/>
      <c r="G175" s="14"/>
      <c r="H175" s="14"/>
      <c r="I175" s="77"/>
    </row>
    <row r="176" spans="2:9" x14ac:dyDescent="0.25">
      <c r="B176" s="13"/>
      <c r="C176" s="13"/>
      <c r="D176" s="14"/>
      <c r="E176" s="14"/>
      <c r="F176" s="77"/>
      <c r="G176" s="14"/>
      <c r="H176" s="14"/>
      <c r="I176" s="77"/>
    </row>
    <row r="177" spans="2:9" x14ac:dyDescent="0.25">
      <c r="B177" s="13"/>
      <c r="C177" s="13"/>
      <c r="D177" s="14"/>
      <c r="E177" s="14"/>
      <c r="F177" s="77"/>
      <c r="G177" s="14"/>
      <c r="H177" s="14"/>
      <c r="I177" s="77"/>
    </row>
    <row r="178" spans="2:9" x14ac:dyDescent="0.25">
      <c r="B178" s="13"/>
      <c r="C178" s="13"/>
      <c r="D178" s="14"/>
      <c r="E178" s="14"/>
      <c r="F178" s="77"/>
      <c r="G178" s="14"/>
      <c r="H178" s="14"/>
      <c r="I178" s="77"/>
    </row>
    <row r="179" spans="2:9" x14ac:dyDescent="0.25">
      <c r="B179" s="13"/>
      <c r="C179" s="13"/>
      <c r="D179" s="14"/>
      <c r="E179" s="14"/>
      <c r="F179" s="77"/>
      <c r="G179" s="14"/>
      <c r="H179" s="14"/>
      <c r="I179" s="77"/>
    </row>
    <row r="180" spans="2:9" x14ac:dyDescent="0.25">
      <c r="B180" s="13"/>
      <c r="C180" s="13"/>
      <c r="D180" s="14"/>
      <c r="E180" s="14"/>
      <c r="F180" s="77"/>
      <c r="G180" s="14"/>
      <c r="H180" s="14"/>
      <c r="I180" s="77"/>
    </row>
    <row r="181" spans="2:9" x14ac:dyDescent="0.25">
      <c r="B181" s="13"/>
      <c r="C181" s="13"/>
      <c r="D181" s="14"/>
      <c r="E181" s="14"/>
      <c r="F181" s="77"/>
      <c r="G181" s="14"/>
      <c r="H181" s="14"/>
      <c r="I181" s="77"/>
    </row>
    <row r="182" spans="2:9" x14ac:dyDescent="0.25">
      <c r="B182" s="13"/>
      <c r="C182" s="13"/>
      <c r="D182" s="14"/>
      <c r="E182" s="14"/>
      <c r="F182" s="77"/>
      <c r="G182" s="14"/>
      <c r="H182" s="14"/>
      <c r="I182" s="77"/>
    </row>
    <row r="183" spans="2:9" x14ac:dyDescent="0.25">
      <c r="B183" s="13"/>
      <c r="C183" s="13"/>
      <c r="D183" s="14"/>
      <c r="E183" s="14"/>
      <c r="F183" s="77"/>
      <c r="G183" s="14"/>
      <c r="H183" s="14"/>
      <c r="I183" s="77"/>
    </row>
    <row r="184" spans="2:9" x14ac:dyDescent="0.25">
      <c r="B184" s="13"/>
      <c r="C184" s="13"/>
      <c r="D184" s="14"/>
      <c r="E184" s="14"/>
      <c r="F184" s="77"/>
      <c r="G184" s="14"/>
      <c r="H184" s="14"/>
      <c r="I184" s="77"/>
    </row>
    <row r="185" spans="2:9" x14ac:dyDescent="0.25">
      <c r="B185" s="13"/>
      <c r="C185" s="13"/>
      <c r="D185" s="14"/>
      <c r="E185" s="14"/>
      <c r="F185" s="77"/>
      <c r="G185" s="14"/>
      <c r="H185" s="14"/>
      <c r="I185" s="77"/>
    </row>
    <row r="186" spans="2:9" x14ac:dyDescent="0.25">
      <c r="B186" s="13"/>
      <c r="C186" s="13"/>
      <c r="D186" s="14"/>
      <c r="E186" s="14"/>
      <c r="F186" s="77"/>
      <c r="G186" s="14"/>
      <c r="H186" s="14"/>
      <c r="I186" s="77"/>
    </row>
    <row r="187" spans="2:9" x14ac:dyDescent="0.25">
      <c r="B187" s="13"/>
      <c r="C187" s="13"/>
      <c r="D187" s="14"/>
      <c r="E187" s="14"/>
      <c r="F187" s="77"/>
      <c r="G187" s="14"/>
      <c r="H187" s="14"/>
      <c r="I187" s="77"/>
    </row>
    <row r="188" spans="2:9" x14ac:dyDescent="0.25">
      <c r="B188" s="13"/>
      <c r="C188" s="13"/>
      <c r="D188" s="14"/>
      <c r="E188" s="14"/>
      <c r="F188" s="77"/>
      <c r="G188" s="14"/>
      <c r="H188" s="14"/>
      <c r="I188" s="77"/>
    </row>
    <row r="189" spans="2:9" x14ac:dyDescent="0.25">
      <c r="B189" s="13"/>
      <c r="C189" s="13"/>
      <c r="D189" s="14"/>
      <c r="E189" s="14"/>
      <c r="F189" s="77"/>
      <c r="G189" s="14"/>
      <c r="H189" s="14"/>
      <c r="I189" s="77"/>
    </row>
    <row r="190" spans="2:9" x14ac:dyDescent="0.25">
      <c r="B190" s="13"/>
      <c r="C190" s="13"/>
      <c r="D190" s="14"/>
      <c r="E190" s="14"/>
      <c r="F190" s="77"/>
      <c r="G190" s="14"/>
      <c r="H190" s="14"/>
      <c r="I190" s="77"/>
    </row>
    <row r="191" spans="2:9" x14ac:dyDescent="0.25">
      <c r="B191" s="13"/>
      <c r="C191" s="13"/>
      <c r="D191" s="14"/>
      <c r="E191" s="14"/>
      <c r="F191" s="77"/>
      <c r="G191" s="14"/>
      <c r="H191" s="14"/>
      <c r="I191" s="77"/>
    </row>
    <row r="192" spans="2:9" x14ac:dyDescent="0.25">
      <c r="B192" s="13"/>
      <c r="C192" s="13"/>
      <c r="D192" s="14"/>
      <c r="E192" s="14"/>
      <c r="F192" s="77"/>
      <c r="G192" s="14"/>
      <c r="H192" s="14"/>
      <c r="I192" s="77"/>
    </row>
    <row r="193" spans="2:9" x14ac:dyDescent="0.25">
      <c r="B193" s="13"/>
      <c r="C193" s="13"/>
      <c r="D193" s="14"/>
      <c r="E193" s="14"/>
      <c r="F193" s="77"/>
      <c r="G193" s="14"/>
      <c r="H193" s="14"/>
      <c r="I193" s="77"/>
    </row>
    <row r="194" spans="2:9" x14ac:dyDescent="0.25">
      <c r="B194" s="13"/>
      <c r="C194" s="13"/>
      <c r="D194" s="14"/>
      <c r="E194" s="14"/>
      <c r="F194" s="77"/>
      <c r="G194" s="14"/>
      <c r="H194" s="14"/>
      <c r="I194" s="77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6736111111111109" right="0.24513888888888888" top="0.54027777777777775" bottom="0.51180555555555551" header="0.51180555555555551" footer="0.31527777777777777"/>
  <pageSetup paperSize="9" scale="56" firstPageNumber="0" orientation="portrait" horizontalDpi="300" verticalDpi="300" r:id="rId1"/>
  <headerFooter alignWithMargins="0">
    <oddFooter>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I2" sqref="I2"/>
    </sheetView>
  </sheetViews>
  <sheetFormatPr defaultColWidth="11.5703125" defaultRowHeight="15.75" x14ac:dyDescent="0.25"/>
  <cols>
    <col min="1" max="1" width="10.7109375" style="30" customWidth="1"/>
    <col min="2" max="2" width="72.42578125" style="30" customWidth="1"/>
    <col min="3" max="3" width="9.7109375" style="30" customWidth="1"/>
    <col min="4" max="4" width="14.28515625" style="30" customWidth="1"/>
    <col min="5" max="5" width="13.42578125" style="30" customWidth="1"/>
    <col min="6" max="6" width="14.85546875" style="31" customWidth="1"/>
    <col min="7" max="7" width="14.28515625" style="30" customWidth="1"/>
    <col min="8" max="8" width="12.7109375" style="30" customWidth="1"/>
    <col min="9" max="9" width="15.28515625" style="31" customWidth="1"/>
    <col min="10" max="252" width="9.140625" style="30" customWidth="1"/>
  </cols>
  <sheetData>
    <row r="1" spans="2:9" s="13" customFormat="1" x14ac:dyDescent="0.25">
      <c r="I1" s="15" t="s">
        <v>631</v>
      </c>
    </row>
    <row r="2" spans="2:9" s="13" customFormat="1" ht="20.25" x14ac:dyDescent="0.3">
      <c r="B2" s="217" t="s">
        <v>5</v>
      </c>
      <c r="I2" s="16" t="s">
        <v>919</v>
      </c>
    </row>
    <row r="3" spans="2:9" s="13" customFormat="1" x14ac:dyDescent="0.25">
      <c r="B3" s="43" t="s">
        <v>858</v>
      </c>
      <c r="C3" s="36"/>
      <c r="D3" s="36"/>
      <c r="E3" s="36"/>
      <c r="F3" s="37"/>
      <c r="G3" s="36"/>
      <c r="H3" s="36"/>
      <c r="I3" s="37"/>
    </row>
    <row r="4" spans="2:9" s="13" customFormat="1" x14ac:dyDescent="0.25">
      <c r="B4" s="41" t="s">
        <v>822</v>
      </c>
      <c r="C4" s="42"/>
      <c r="D4" s="42"/>
      <c r="E4" s="42"/>
      <c r="F4" s="43"/>
      <c r="G4" s="42"/>
      <c r="H4" s="42"/>
      <c r="I4" s="43"/>
    </row>
    <row r="5" spans="2:9" ht="15.75" customHeight="1" x14ac:dyDescent="0.25">
      <c r="B5" s="46"/>
      <c r="D5" s="494" t="s">
        <v>10</v>
      </c>
      <c r="E5" s="494"/>
      <c r="F5" s="494"/>
      <c r="G5" s="494" t="s">
        <v>11</v>
      </c>
      <c r="H5" s="494"/>
      <c r="I5" s="494"/>
    </row>
    <row r="6" spans="2:9" ht="47.25" x14ac:dyDescent="0.25">
      <c r="B6" s="19" t="s">
        <v>12</v>
      </c>
      <c r="C6" s="47" t="s">
        <v>38</v>
      </c>
      <c r="D6" s="48" t="s">
        <v>13</v>
      </c>
      <c r="E6" s="48" t="s">
        <v>14</v>
      </c>
      <c r="F6" s="47" t="s">
        <v>543</v>
      </c>
      <c r="G6" s="48" t="s">
        <v>13</v>
      </c>
      <c r="H6" s="48" t="s">
        <v>14</v>
      </c>
      <c r="I6" s="47" t="s">
        <v>543</v>
      </c>
    </row>
    <row r="7" spans="2:9" x14ac:dyDescent="0.25">
      <c r="B7" s="51" t="s">
        <v>39</v>
      </c>
      <c r="C7" s="52" t="s">
        <v>40</v>
      </c>
      <c r="D7" s="24">
        <v>290930720</v>
      </c>
      <c r="E7" s="24">
        <v>4433905</v>
      </c>
      <c r="F7" s="25">
        <f>+D7+E7</f>
        <v>295364625</v>
      </c>
      <c r="G7" s="24">
        <f>325878827-H7</f>
        <v>319936509</v>
      </c>
      <c r="H7" s="24">
        <v>5942318</v>
      </c>
      <c r="I7" s="25">
        <f>+G7+H7</f>
        <v>325878827</v>
      </c>
    </row>
    <row r="8" spans="2:9" x14ac:dyDescent="0.25">
      <c r="B8" s="53" t="s">
        <v>41</v>
      </c>
      <c r="C8" s="52" t="s">
        <v>42</v>
      </c>
      <c r="D8" s="24">
        <v>5944000</v>
      </c>
      <c r="E8" s="24">
        <v>1800000</v>
      </c>
      <c r="F8" s="25">
        <f>+D8+E8</f>
        <v>7744000</v>
      </c>
      <c r="G8" s="24">
        <f>13958813-H8</f>
        <v>10958813</v>
      </c>
      <c r="H8" s="24">
        <v>3000000</v>
      </c>
      <c r="I8" s="25">
        <f>+G8+H8</f>
        <v>13958813</v>
      </c>
    </row>
    <row r="9" spans="2:9" x14ac:dyDescent="0.25">
      <c r="B9" s="54" t="s">
        <v>43</v>
      </c>
      <c r="C9" s="55" t="s">
        <v>44</v>
      </c>
      <c r="D9" s="25">
        <f t="shared" ref="D9:I9" si="0">SUM(D7:D8)</f>
        <v>296874720</v>
      </c>
      <c r="E9" s="25">
        <f t="shared" si="0"/>
        <v>6233905</v>
      </c>
      <c r="F9" s="25">
        <f t="shared" si="0"/>
        <v>303108625</v>
      </c>
      <c r="G9" s="25">
        <f>SUM(G7:G8)</f>
        <v>330895322</v>
      </c>
      <c r="H9" s="25">
        <f>SUM(H7:H8)</f>
        <v>8942318</v>
      </c>
      <c r="I9" s="25">
        <f t="shared" si="0"/>
        <v>339837640</v>
      </c>
    </row>
    <row r="10" spans="2:9" x14ac:dyDescent="0.25">
      <c r="B10" s="56" t="s">
        <v>45</v>
      </c>
      <c r="C10" s="55" t="s">
        <v>46</v>
      </c>
      <c r="D10" s="24">
        <v>56674500</v>
      </c>
      <c r="E10" s="24">
        <v>1285611</v>
      </c>
      <c r="F10" s="25">
        <f t="shared" ref="F10:F15" si="1">+D10+E10</f>
        <v>57960111</v>
      </c>
      <c r="G10" s="24">
        <f>65853523-H10</f>
        <v>63963011</v>
      </c>
      <c r="H10" s="24">
        <v>1890512</v>
      </c>
      <c r="I10" s="25">
        <f t="shared" ref="I10:I15" si="2">+G10+H10</f>
        <v>65853523</v>
      </c>
    </row>
    <row r="11" spans="2:9" x14ac:dyDescent="0.25">
      <c r="B11" s="53" t="s">
        <v>47</v>
      </c>
      <c r="C11" s="52" t="s">
        <v>48</v>
      </c>
      <c r="D11" s="24">
        <v>54021980</v>
      </c>
      <c r="E11" s="24">
        <v>878005</v>
      </c>
      <c r="F11" s="25">
        <f t="shared" si="1"/>
        <v>54899985</v>
      </c>
      <c r="G11" s="24">
        <f>60495758-H11</f>
        <v>59617753</v>
      </c>
      <c r="H11" s="24">
        <v>878005</v>
      </c>
      <c r="I11" s="25">
        <f t="shared" si="2"/>
        <v>60495758</v>
      </c>
    </row>
    <row r="12" spans="2:9" x14ac:dyDescent="0.25">
      <c r="B12" s="53" t="s">
        <v>49</v>
      </c>
      <c r="C12" s="52" t="s">
        <v>50</v>
      </c>
      <c r="D12" s="24">
        <v>1353000</v>
      </c>
      <c r="E12" s="24">
        <v>0</v>
      </c>
      <c r="F12" s="25">
        <f t="shared" si="1"/>
        <v>1353000</v>
      </c>
      <c r="G12" s="24">
        <v>1367965</v>
      </c>
      <c r="H12" s="24">
        <v>0</v>
      </c>
      <c r="I12" s="25">
        <f t="shared" si="2"/>
        <v>1367965</v>
      </c>
    </row>
    <row r="13" spans="2:9" x14ac:dyDescent="0.25">
      <c r="B13" s="53" t="s">
        <v>51</v>
      </c>
      <c r="C13" s="52" t="s">
        <v>52</v>
      </c>
      <c r="D13" s="24">
        <v>45195835</v>
      </c>
      <c r="E13" s="24">
        <v>1175000</v>
      </c>
      <c r="F13" s="25">
        <f t="shared" si="1"/>
        <v>46370835</v>
      </c>
      <c r="G13" s="24">
        <f>57241917-H13</f>
        <v>55835583</v>
      </c>
      <c r="H13" s="24">
        <v>1406334</v>
      </c>
      <c r="I13" s="25">
        <f t="shared" si="2"/>
        <v>57241917</v>
      </c>
    </row>
    <row r="14" spans="2:9" x14ac:dyDescent="0.25">
      <c r="B14" s="53" t="s">
        <v>53</v>
      </c>
      <c r="C14" s="52" t="s">
        <v>54</v>
      </c>
      <c r="D14" s="24">
        <v>355000</v>
      </c>
      <c r="E14" s="24">
        <v>400008</v>
      </c>
      <c r="F14" s="25">
        <f t="shared" si="1"/>
        <v>755008</v>
      </c>
      <c r="G14" s="24">
        <f>847350-H14</f>
        <v>92054</v>
      </c>
      <c r="H14" s="24">
        <v>755296</v>
      </c>
      <c r="I14" s="25">
        <f t="shared" si="2"/>
        <v>847350</v>
      </c>
    </row>
    <row r="15" spans="2:9" x14ac:dyDescent="0.25">
      <c r="B15" s="53" t="s">
        <v>55</v>
      </c>
      <c r="C15" s="52" t="s">
        <v>56</v>
      </c>
      <c r="D15" s="24">
        <v>27116510</v>
      </c>
      <c r="E15" s="24">
        <v>653811</v>
      </c>
      <c r="F15" s="25">
        <f t="shared" si="1"/>
        <v>27770321</v>
      </c>
      <c r="G15" s="24">
        <f>25864929-H15</f>
        <v>25211118</v>
      </c>
      <c r="H15" s="24">
        <v>653811</v>
      </c>
      <c r="I15" s="25">
        <f t="shared" si="2"/>
        <v>25864929</v>
      </c>
    </row>
    <row r="16" spans="2:9" x14ac:dyDescent="0.25">
      <c r="B16" s="56" t="s">
        <v>57</v>
      </c>
      <c r="C16" s="55" t="s">
        <v>58</v>
      </c>
      <c r="D16" s="25">
        <f t="shared" ref="D16:I16" si="3">SUM(D11:D15)</f>
        <v>128042325</v>
      </c>
      <c r="E16" s="25">
        <f t="shared" si="3"/>
        <v>3106824</v>
      </c>
      <c r="F16" s="25">
        <f t="shared" si="3"/>
        <v>131149149</v>
      </c>
      <c r="G16" s="25">
        <f>SUM(G11:G15)</f>
        <v>142124473</v>
      </c>
      <c r="H16" s="25">
        <f>SUM(H11:H15)</f>
        <v>3693446</v>
      </c>
      <c r="I16" s="25">
        <f t="shared" si="3"/>
        <v>145817919</v>
      </c>
    </row>
    <row r="17" spans="2:9" x14ac:dyDescent="0.25">
      <c r="B17" s="57" t="s">
        <v>59</v>
      </c>
      <c r="C17" s="55" t="s">
        <v>60</v>
      </c>
      <c r="D17" s="24"/>
      <c r="E17" s="24"/>
      <c r="F17" s="25">
        <f t="shared" ref="F17:F31" si="4">+D17+E17</f>
        <v>0</v>
      </c>
      <c r="G17" s="24"/>
      <c r="H17" s="24"/>
      <c r="I17" s="25">
        <f t="shared" ref="I17:I31" si="5">+G17+H17</f>
        <v>0</v>
      </c>
    </row>
    <row r="18" spans="2:9" hidden="1" x14ac:dyDescent="0.25">
      <c r="B18" s="58" t="s">
        <v>61</v>
      </c>
      <c r="C18" s="52" t="s">
        <v>62</v>
      </c>
      <c r="D18" s="24"/>
      <c r="E18" s="24"/>
      <c r="F18" s="25">
        <f t="shared" si="4"/>
        <v>0</v>
      </c>
      <c r="G18" s="24"/>
      <c r="H18" s="24"/>
      <c r="I18" s="25">
        <f t="shared" si="5"/>
        <v>0</v>
      </c>
    </row>
    <row r="19" spans="2:9" hidden="1" x14ac:dyDescent="0.25">
      <c r="B19" s="58" t="s">
        <v>63</v>
      </c>
      <c r="C19" s="52" t="s">
        <v>64</v>
      </c>
      <c r="D19" s="24"/>
      <c r="E19" s="24"/>
      <c r="F19" s="25">
        <f t="shared" si="4"/>
        <v>0</v>
      </c>
      <c r="G19" s="24"/>
      <c r="H19" s="24"/>
      <c r="I19" s="25">
        <f t="shared" si="5"/>
        <v>0</v>
      </c>
    </row>
    <row r="20" spans="2:9" hidden="1" x14ac:dyDescent="0.25">
      <c r="B20" s="58" t="s">
        <v>65</v>
      </c>
      <c r="C20" s="52" t="s">
        <v>66</v>
      </c>
      <c r="D20" s="24"/>
      <c r="E20" s="24"/>
      <c r="F20" s="25">
        <f t="shared" si="4"/>
        <v>0</v>
      </c>
      <c r="G20" s="24"/>
      <c r="H20" s="24"/>
      <c r="I20" s="25">
        <f t="shared" si="5"/>
        <v>0</v>
      </c>
    </row>
    <row r="21" spans="2:9" hidden="1" x14ac:dyDescent="0.25">
      <c r="B21" s="58" t="s">
        <v>67</v>
      </c>
      <c r="C21" s="52" t="s">
        <v>68</v>
      </c>
      <c r="D21" s="24"/>
      <c r="E21" s="24"/>
      <c r="F21" s="25">
        <f t="shared" si="4"/>
        <v>0</v>
      </c>
      <c r="G21" s="24"/>
      <c r="H21" s="24"/>
      <c r="I21" s="25">
        <f t="shared" si="5"/>
        <v>0</v>
      </c>
    </row>
    <row r="22" spans="2:9" hidden="1" x14ac:dyDescent="0.25">
      <c r="B22" s="58" t="s">
        <v>618</v>
      </c>
      <c r="C22" s="52" t="s">
        <v>70</v>
      </c>
      <c r="D22" s="24"/>
      <c r="E22" s="24"/>
      <c r="F22" s="25">
        <f t="shared" si="4"/>
        <v>0</v>
      </c>
      <c r="G22" s="24"/>
      <c r="H22" s="24"/>
      <c r="I22" s="25">
        <f t="shared" si="5"/>
        <v>0</v>
      </c>
    </row>
    <row r="23" spans="2:9" hidden="1" x14ac:dyDescent="0.25">
      <c r="B23" s="58" t="s">
        <v>71</v>
      </c>
      <c r="C23" s="52" t="s">
        <v>72</v>
      </c>
      <c r="D23" s="24"/>
      <c r="E23" s="24"/>
      <c r="F23" s="25">
        <f t="shared" si="4"/>
        <v>0</v>
      </c>
      <c r="G23" s="24"/>
      <c r="H23" s="24"/>
      <c r="I23" s="25">
        <f t="shared" si="5"/>
        <v>0</v>
      </c>
    </row>
    <row r="24" spans="2:9" hidden="1" x14ac:dyDescent="0.25">
      <c r="B24" s="58" t="s">
        <v>73</v>
      </c>
      <c r="C24" s="52" t="s">
        <v>74</v>
      </c>
      <c r="D24" s="24"/>
      <c r="E24" s="24"/>
      <c r="F24" s="25">
        <f t="shared" si="4"/>
        <v>0</v>
      </c>
      <c r="G24" s="24"/>
      <c r="H24" s="24"/>
      <c r="I24" s="25">
        <f t="shared" si="5"/>
        <v>0</v>
      </c>
    </row>
    <row r="25" spans="2:9" hidden="1" x14ac:dyDescent="0.25">
      <c r="B25" s="58" t="s">
        <v>75</v>
      </c>
      <c r="C25" s="52" t="s">
        <v>76</v>
      </c>
      <c r="D25" s="24"/>
      <c r="E25" s="24"/>
      <c r="F25" s="25">
        <f t="shared" si="4"/>
        <v>0</v>
      </c>
      <c r="G25" s="24"/>
      <c r="H25" s="24"/>
      <c r="I25" s="25">
        <f t="shared" si="5"/>
        <v>0</v>
      </c>
    </row>
    <row r="26" spans="2:9" hidden="1" x14ac:dyDescent="0.25">
      <c r="B26" s="58" t="s">
        <v>77</v>
      </c>
      <c r="C26" s="52" t="s">
        <v>78</v>
      </c>
      <c r="D26" s="24"/>
      <c r="E26" s="24"/>
      <c r="F26" s="25">
        <f t="shared" si="4"/>
        <v>0</v>
      </c>
      <c r="G26" s="24"/>
      <c r="H26" s="24"/>
      <c r="I26" s="25">
        <f t="shared" si="5"/>
        <v>0</v>
      </c>
    </row>
    <row r="27" spans="2:9" hidden="1" x14ac:dyDescent="0.25">
      <c r="B27" s="59" t="s">
        <v>79</v>
      </c>
      <c r="C27" s="52" t="s">
        <v>80</v>
      </c>
      <c r="D27" s="24"/>
      <c r="E27" s="24"/>
      <c r="F27" s="25">
        <f t="shared" si="4"/>
        <v>0</v>
      </c>
      <c r="G27" s="24"/>
      <c r="H27" s="24"/>
      <c r="I27" s="25">
        <f t="shared" si="5"/>
        <v>0</v>
      </c>
    </row>
    <row r="28" spans="2:9" hidden="1" x14ac:dyDescent="0.25">
      <c r="B28" s="59" t="s">
        <v>619</v>
      </c>
      <c r="C28" s="52" t="s">
        <v>82</v>
      </c>
      <c r="D28" s="24"/>
      <c r="E28" s="24"/>
      <c r="F28" s="25">
        <f t="shared" si="4"/>
        <v>0</v>
      </c>
      <c r="G28" s="24"/>
      <c r="H28" s="24"/>
      <c r="I28" s="25">
        <f t="shared" si="5"/>
        <v>0</v>
      </c>
    </row>
    <row r="29" spans="2:9" hidden="1" x14ac:dyDescent="0.25">
      <c r="B29" s="58" t="s">
        <v>83</v>
      </c>
      <c r="C29" s="52" t="s">
        <v>84</v>
      </c>
      <c r="D29" s="24"/>
      <c r="E29" s="24"/>
      <c r="F29" s="25">
        <f t="shared" si="4"/>
        <v>0</v>
      </c>
      <c r="G29" s="24"/>
      <c r="H29" s="24"/>
      <c r="I29" s="25">
        <f t="shared" si="5"/>
        <v>0</v>
      </c>
    </row>
    <row r="30" spans="2:9" hidden="1" x14ac:dyDescent="0.25">
      <c r="B30" s="59" t="s">
        <v>85</v>
      </c>
      <c r="C30" s="52" t="s">
        <v>86</v>
      </c>
      <c r="D30" s="24"/>
      <c r="E30" s="24"/>
      <c r="F30" s="25">
        <f t="shared" si="4"/>
        <v>0</v>
      </c>
      <c r="G30" s="24"/>
      <c r="H30" s="24"/>
      <c r="I30" s="25">
        <f t="shared" si="5"/>
        <v>0</v>
      </c>
    </row>
    <row r="31" spans="2:9" hidden="1" x14ac:dyDescent="0.25">
      <c r="B31" s="59" t="s">
        <v>87</v>
      </c>
      <c r="C31" s="52" t="s">
        <v>86</v>
      </c>
      <c r="D31" s="24"/>
      <c r="E31" s="24"/>
      <c r="F31" s="25">
        <f t="shared" si="4"/>
        <v>0</v>
      </c>
      <c r="G31" s="24"/>
      <c r="H31" s="24"/>
      <c r="I31" s="25">
        <f t="shared" si="5"/>
        <v>0</v>
      </c>
    </row>
    <row r="32" spans="2:9" s="31" customFormat="1" x14ac:dyDescent="0.25">
      <c r="B32" s="57" t="s">
        <v>88</v>
      </c>
      <c r="C32" s="55" t="s">
        <v>89</v>
      </c>
      <c r="D32" s="25">
        <f t="shared" ref="D32:I32" si="6">SUM(D18:D31)</f>
        <v>0</v>
      </c>
      <c r="E32" s="25">
        <f t="shared" si="6"/>
        <v>0</v>
      </c>
      <c r="F32" s="25">
        <f t="shared" si="6"/>
        <v>0</v>
      </c>
      <c r="G32" s="25">
        <f>SUM(G18:G31)</f>
        <v>0</v>
      </c>
      <c r="H32" s="25">
        <f>SUM(H18:H31)</f>
        <v>0</v>
      </c>
      <c r="I32" s="25">
        <f t="shared" si="6"/>
        <v>0</v>
      </c>
    </row>
    <row r="33" spans="2:9" x14ac:dyDescent="0.25">
      <c r="B33" s="60" t="s">
        <v>90</v>
      </c>
      <c r="C33" s="61" t="s">
        <v>91</v>
      </c>
      <c r="D33" s="62">
        <f t="shared" ref="D33:I33" si="7">+D32+D17+D16+D10+D9</f>
        <v>481591545</v>
      </c>
      <c r="E33" s="62">
        <f t="shared" si="7"/>
        <v>10626340</v>
      </c>
      <c r="F33" s="62">
        <f t="shared" si="7"/>
        <v>492217885</v>
      </c>
      <c r="G33" s="62">
        <f>+G32+G17+G16+G10+G9</f>
        <v>536982806</v>
      </c>
      <c r="H33" s="62">
        <f>+H32+H17+H16+H10+H9</f>
        <v>14526276</v>
      </c>
      <c r="I33" s="62">
        <f t="shared" si="7"/>
        <v>551509082</v>
      </c>
    </row>
    <row r="34" spans="2:9" x14ac:dyDescent="0.25">
      <c r="B34" s="63" t="s">
        <v>92</v>
      </c>
      <c r="C34" s="52" t="s">
        <v>93</v>
      </c>
      <c r="D34" s="24"/>
      <c r="E34" s="24"/>
      <c r="F34" s="25">
        <f t="shared" ref="F34:F40" si="8">+D34+E34</f>
        <v>0</v>
      </c>
      <c r="G34" s="24">
        <v>270315</v>
      </c>
      <c r="H34" s="24"/>
      <c r="I34" s="25">
        <f t="shared" ref="I34:I40" si="9">+G34+H34</f>
        <v>270315</v>
      </c>
    </row>
    <row r="35" spans="2:9" x14ac:dyDescent="0.25">
      <c r="B35" s="63" t="s">
        <v>94</v>
      </c>
      <c r="C35" s="52" t="s">
        <v>95</v>
      </c>
      <c r="D35" s="24"/>
      <c r="E35" s="24"/>
      <c r="F35" s="25">
        <f t="shared" si="8"/>
        <v>0</v>
      </c>
      <c r="G35" s="24">
        <v>190000</v>
      </c>
      <c r="H35" s="24"/>
      <c r="I35" s="25">
        <f t="shared" si="9"/>
        <v>190000</v>
      </c>
    </row>
    <row r="36" spans="2:9" x14ac:dyDescent="0.25">
      <c r="B36" s="63" t="s">
        <v>96</v>
      </c>
      <c r="C36" s="52" t="s">
        <v>97</v>
      </c>
      <c r="D36" s="24">
        <v>100000</v>
      </c>
      <c r="E36" s="24"/>
      <c r="F36" s="25">
        <f t="shared" si="8"/>
        <v>100000</v>
      </c>
      <c r="G36" s="24">
        <v>997085</v>
      </c>
      <c r="H36" s="24"/>
      <c r="I36" s="25">
        <f t="shared" si="9"/>
        <v>997085</v>
      </c>
    </row>
    <row r="37" spans="2:9" x14ac:dyDescent="0.25">
      <c r="B37" s="63" t="s">
        <v>98</v>
      </c>
      <c r="C37" s="52" t="s">
        <v>99</v>
      </c>
      <c r="D37" s="24">
        <v>4270000</v>
      </c>
      <c r="E37" s="24"/>
      <c r="F37" s="25">
        <f t="shared" si="8"/>
        <v>4270000</v>
      </c>
      <c r="G37" s="24">
        <v>15123071</v>
      </c>
      <c r="H37" s="24"/>
      <c r="I37" s="25">
        <f t="shared" si="9"/>
        <v>15123071</v>
      </c>
    </row>
    <row r="38" spans="2:9" x14ac:dyDescent="0.25">
      <c r="B38" s="64" t="s">
        <v>100</v>
      </c>
      <c r="C38" s="52" t="s">
        <v>101</v>
      </c>
      <c r="D38" s="24"/>
      <c r="E38" s="24"/>
      <c r="F38" s="25">
        <f t="shared" si="8"/>
        <v>0</v>
      </c>
      <c r="G38" s="24"/>
      <c r="H38" s="24"/>
      <c r="I38" s="25">
        <f t="shared" si="9"/>
        <v>0</v>
      </c>
    </row>
    <row r="39" spans="2:9" x14ac:dyDescent="0.25">
      <c r="B39" s="64" t="s">
        <v>102</v>
      </c>
      <c r="C39" s="52" t="s">
        <v>103</v>
      </c>
      <c r="D39" s="24"/>
      <c r="E39" s="24"/>
      <c r="F39" s="25">
        <f t="shared" si="8"/>
        <v>0</v>
      </c>
      <c r="G39" s="24"/>
      <c r="H39" s="24"/>
      <c r="I39" s="25">
        <f t="shared" si="9"/>
        <v>0</v>
      </c>
    </row>
    <row r="40" spans="2:9" x14ac:dyDescent="0.25">
      <c r="B40" s="64" t="s">
        <v>104</v>
      </c>
      <c r="C40" s="52" t="s">
        <v>105</v>
      </c>
      <c r="D40" s="24">
        <v>1180000</v>
      </c>
      <c r="E40" s="24"/>
      <c r="F40" s="25">
        <f t="shared" si="8"/>
        <v>1180000</v>
      </c>
      <c r="G40" s="24">
        <v>4361074</v>
      </c>
      <c r="H40" s="24"/>
      <c r="I40" s="25">
        <f t="shared" si="9"/>
        <v>4361074</v>
      </c>
    </row>
    <row r="41" spans="2:9" s="31" customFormat="1" x14ac:dyDescent="0.25">
      <c r="B41" s="65" t="s">
        <v>106</v>
      </c>
      <c r="C41" s="55" t="s">
        <v>107</v>
      </c>
      <c r="D41" s="25">
        <f t="shared" ref="D41:I41" si="10">SUM(D34:D40)</f>
        <v>5550000</v>
      </c>
      <c r="E41" s="25">
        <f t="shared" si="10"/>
        <v>0</v>
      </c>
      <c r="F41" s="25">
        <f t="shared" si="10"/>
        <v>5550000</v>
      </c>
      <c r="G41" s="25">
        <f t="shared" si="10"/>
        <v>20941545</v>
      </c>
      <c r="H41" s="25">
        <f t="shared" si="10"/>
        <v>0</v>
      </c>
      <c r="I41" s="25">
        <f t="shared" si="10"/>
        <v>20941545</v>
      </c>
    </row>
    <row r="42" spans="2:9" x14ac:dyDescent="0.25">
      <c r="B42" s="66" t="s">
        <v>108</v>
      </c>
      <c r="C42" s="52" t="s">
        <v>109</v>
      </c>
      <c r="D42" s="24"/>
      <c r="E42" s="24"/>
      <c r="F42" s="25">
        <f>+D42+E42</f>
        <v>0</v>
      </c>
      <c r="G42" s="24"/>
      <c r="H42" s="24"/>
      <c r="I42" s="25">
        <f>+G42+H42</f>
        <v>0</v>
      </c>
    </row>
    <row r="43" spans="2:9" x14ac:dyDescent="0.25">
      <c r="B43" s="66" t="s">
        <v>110</v>
      </c>
      <c r="C43" s="52" t="s">
        <v>111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6" t="s">
        <v>112</v>
      </c>
      <c r="C44" s="52" t="s">
        <v>113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6" t="s">
        <v>114</v>
      </c>
      <c r="C45" s="52" t="s">
        <v>115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6" t="s">
        <v>116</v>
      </c>
      <c r="C46" s="55" t="s">
        <v>117</v>
      </c>
      <c r="D46" s="25">
        <f t="shared" ref="D46:I46" si="11">SUM(D42:D45)</f>
        <v>0</v>
      </c>
      <c r="E46" s="25">
        <f t="shared" si="11"/>
        <v>0</v>
      </c>
      <c r="F46" s="25">
        <f t="shared" si="11"/>
        <v>0</v>
      </c>
      <c r="G46" s="25">
        <f t="shared" si="11"/>
        <v>0</v>
      </c>
      <c r="H46" s="25">
        <f t="shared" si="11"/>
        <v>0</v>
      </c>
      <c r="I46" s="25">
        <f t="shared" si="11"/>
        <v>0</v>
      </c>
    </row>
    <row r="47" spans="2:9" hidden="1" x14ac:dyDescent="0.25">
      <c r="B47" s="66" t="s">
        <v>620</v>
      </c>
      <c r="C47" s="52" t="s">
        <v>119</v>
      </c>
      <c r="D47" s="24"/>
      <c r="E47" s="24"/>
      <c r="F47" s="25">
        <f t="shared" ref="F47:F55" si="12">+D47+E47</f>
        <v>0</v>
      </c>
      <c r="G47" s="24"/>
      <c r="H47" s="24"/>
      <c r="I47" s="25">
        <f t="shared" ref="I47:I55" si="13">+G47+H47</f>
        <v>0</v>
      </c>
    </row>
    <row r="48" spans="2:9" hidden="1" x14ac:dyDescent="0.25">
      <c r="B48" s="66" t="s">
        <v>621</v>
      </c>
      <c r="C48" s="52" t="s">
        <v>121</v>
      </c>
      <c r="D48" s="24"/>
      <c r="E48" s="24"/>
      <c r="F48" s="25">
        <f t="shared" si="12"/>
        <v>0</v>
      </c>
      <c r="G48" s="24"/>
      <c r="H48" s="24"/>
      <c r="I48" s="25">
        <f t="shared" si="13"/>
        <v>0</v>
      </c>
    </row>
    <row r="49" spans="2:16" hidden="1" x14ac:dyDescent="0.25">
      <c r="B49" s="66" t="s">
        <v>122</v>
      </c>
      <c r="C49" s="52" t="s">
        <v>123</v>
      </c>
      <c r="D49" s="24"/>
      <c r="E49" s="24"/>
      <c r="F49" s="25">
        <f t="shared" si="12"/>
        <v>0</v>
      </c>
      <c r="G49" s="24"/>
      <c r="H49" s="24"/>
      <c r="I49" s="25">
        <f t="shared" si="13"/>
        <v>0</v>
      </c>
    </row>
    <row r="50" spans="2:16" hidden="1" x14ac:dyDescent="0.25">
      <c r="B50" s="66" t="s">
        <v>124</v>
      </c>
      <c r="C50" s="52" t="s">
        <v>125</v>
      </c>
      <c r="D50" s="24"/>
      <c r="E50" s="24"/>
      <c r="F50" s="25">
        <f t="shared" si="12"/>
        <v>0</v>
      </c>
      <c r="G50" s="24"/>
      <c r="H50" s="24"/>
      <c r="I50" s="25">
        <f t="shared" si="13"/>
        <v>0</v>
      </c>
    </row>
    <row r="51" spans="2:16" hidden="1" x14ac:dyDescent="0.25">
      <c r="B51" s="66" t="s">
        <v>126</v>
      </c>
      <c r="C51" s="52" t="s">
        <v>127</v>
      </c>
      <c r="D51" s="24"/>
      <c r="E51" s="24"/>
      <c r="F51" s="25">
        <f t="shared" si="12"/>
        <v>0</v>
      </c>
      <c r="G51" s="24"/>
      <c r="H51" s="24"/>
      <c r="I51" s="25">
        <f t="shared" si="13"/>
        <v>0</v>
      </c>
    </row>
    <row r="52" spans="2:16" hidden="1" x14ac:dyDescent="0.25">
      <c r="B52" s="66" t="s">
        <v>128</v>
      </c>
      <c r="C52" s="52" t="s">
        <v>129</v>
      </c>
      <c r="D52" s="24"/>
      <c r="E52" s="24"/>
      <c r="F52" s="25">
        <f t="shared" si="12"/>
        <v>0</v>
      </c>
      <c r="G52" s="24"/>
      <c r="H52" s="24"/>
      <c r="I52" s="25">
        <f t="shared" si="13"/>
        <v>0</v>
      </c>
    </row>
    <row r="53" spans="2:16" hidden="1" x14ac:dyDescent="0.25">
      <c r="B53" s="66" t="s">
        <v>130</v>
      </c>
      <c r="C53" s="52" t="s">
        <v>131</v>
      </c>
      <c r="D53" s="24"/>
      <c r="E53" s="24"/>
      <c r="F53" s="25">
        <f t="shared" si="12"/>
        <v>0</v>
      </c>
      <c r="G53" s="24"/>
      <c r="H53" s="24"/>
      <c r="I53" s="25">
        <f t="shared" si="13"/>
        <v>0</v>
      </c>
    </row>
    <row r="54" spans="2:16" hidden="1" x14ac:dyDescent="0.25">
      <c r="B54" s="59" t="s">
        <v>622</v>
      </c>
      <c r="C54" s="52" t="s">
        <v>133</v>
      </c>
      <c r="D54" s="24"/>
      <c r="E54" s="24"/>
      <c r="F54" s="25">
        <f t="shared" si="12"/>
        <v>0</v>
      </c>
      <c r="G54" s="24"/>
      <c r="H54" s="24"/>
      <c r="I54" s="25">
        <f t="shared" si="13"/>
        <v>0</v>
      </c>
    </row>
    <row r="55" spans="2:16" hidden="1" x14ac:dyDescent="0.25">
      <c r="B55" s="66" t="s">
        <v>134</v>
      </c>
      <c r="C55" s="52" t="s">
        <v>135</v>
      </c>
      <c r="D55" s="24"/>
      <c r="E55" s="24"/>
      <c r="F55" s="25">
        <f t="shared" si="12"/>
        <v>0</v>
      </c>
      <c r="G55" s="24"/>
      <c r="H55" s="24"/>
      <c r="I55" s="25">
        <f t="shared" si="13"/>
        <v>0</v>
      </c>
    </row>
    <row r="56" spans="2:16" s="31" customFormat="1" x14ac:dyDescent="0.25">
      <c r="B56" s="57" t="s">
        <v>136</v>
      </c>
      <c r="C56" s="55" t="s">
        <v>137</v>
      </c>
      <c r="D56" s="25">
        <f t="shared" ref="D56:I56" si="14">SUM(D47:D55)</f>
        <v>0</v>
      </c>
      <c r="E56" s="25">
        <f t="shared" si="14"/>
        <v>0</v>
      </c>
      <c r="F56" s="25">
        <f t="shared" si="14"/>
        <v>0</v>
      </c>
      <c r="G56" s="25">
        <f t="shared" si="14"/>
        <v>0</v>
      </c>
      <c r="H56" s="25">
        <f t="shared" si="14"/>
        <v>0</v>
      </c>
      <c r="I56" s="25">
        <f t="shared" si="14"/>
        <v>0</v>
      </c>
    </row>
    <row r="57" spans="2:16" x14ac:dyDescent="0.25">
      <c r="B57" s="60" t="s">
        <v>138</v>
      </c>
      <c r="C57" s="61" t="s">
        <v>139</v>
      </c>
      <c r="D57" s="62">
        <f t="shared" ref="D57:I57" si="15">+D56+D46+D41</f>
        <v>5550000</v>
      </c>
      <c r="E57" s="62">
        <f t="shared" si="15"/>
        <v>0</v>
      </c>
      <c r="F57" s="62">
        <f t="shared" si="15"/>
        <v>5550000</v>
      </c>
      <c r="G57" s="62">
        <f t="shared" si="15"/>
        <v>20941545</v>
      </c>
      <c r="H57" s="62">
        <f t="shared" si="15"/>
        <v>0</v>
      </c>
      <c r="I57" s="62">
        <f t="shared" si="15"/>
        <v>20941545</v>
      </c>
    </row>
    <row r="58" spans="2:16" x14ac:dyDescent="0.25">
      <c r="B58" s="67" t="s">
        <v>140</v>
      </c>
      <c r="C58" s="68" t="s">
        <v>141</v>
      </c>
      <c r="D58" s="69">
        <f t="shared" ref="D58:I58" si="16">+D56+D46+D41+D32+D17+D16+D10+D9</f>
        <v>487141545</v>
      </c>
      <c r="E58" s="69">
        <f t="shared" si="16"/>
        <v>10626340</v>
      </c>
      <c r="F58" s="69">
        <f t="shared" si="16"/>
        <v>497767885</v>
      </c>
      <c r="G58" s="69">
        <f t="shared" si="16"/>
        <v>557924351</v>
      </c>
      <c r="H58" s="69">
        <f t="shared" si="16"/>
        <v>14526276</v>
      </c>
      <c r="I58" s="69">
        <f t="shared" si="16"/>
        <v>572450627</v>
      </c>
    </row>
    <row r="59" spans="2:16" hidden="1" x14ac:dyDescent="0.25">
      <c r="B59" s="71" t="s">
        <v>602</v>
      </c>
      <c r="C59" s="53" t="s">
        <v>167</v>
      </c>
      <c r="D59" s="218"/>
      <c r="E59" s="218"/>
      <c r="F59" s="24">
        <f>+D59+E59</f>
        <v>0</v>
      </c>
      <c r="G59" s="218"/>
      <c r="H59" s="218"/>
      <c r="I59" s="24">
        <f>+G59+H59</f>
        <v>0</v>
      </c>
      <c r="J59" s="219"/>
      <c r="K59" s="219"/>
      <c r="L59" s="219"/>
      <c r="M59" s="219"/>
      <c r="N59" s="219"/>
      <c r="O59" s="219"/>
      <c r="P59" s="219"/>
    </row>
    <row r="60" spans="2:16" hidden="1" x14ac:dyDescent="0.25">
      <c r="B60" s="71" t="s">
        <v>168</v>
      </c>
      <c r="C60" s="53" t="s">
        <v>169</v>
      </c>
      <c r="D60" s="218"/>
      <c r="E60" s="218"/>
      <c r="F60" s="24">
        <f>+D60+E60</f>
        <v>0</v>
      </c>
      <c r="G60" s="218"/>
      <c r="H60" s="218"/>
      <c r="I60" s="24">
        <f>+G60+H60</f>
        <v>0</v>
      </c>
      <c r="J60" s="219"/>
      <c r="K60" s="219"/>
      <c r="L60" s="219"/>
      <c r="M60" s="219"/>
      <c r="N60" s="219"/>
      <c r="O60" s="219"/>
      <c r="P60" s="219"/>
    </row>
    <row r="61" spans="2:16" hidden="1" x14ac:dyDescent="0.25">
      <c r="B61" s="66" t="s">
        <v>170</v>
      </c>
      <c r="C61" s="53" t="s">
        <v>171</v>
      </c>
      <c r="D61" s="218"/>
      <c r="E61" s="218"/>
      <c r="F61" s="24">
        <f>+D61+E61</f>
        <v>0</v>
      </c>
      <c r="G61" s="218"/>
      <c r="H61" s="218"/>
      <c r="I61" s="24">
        <f>+G61+H61</f>
        <v>0</v>
      </c>
      <c r="J61" s="220"/>
      <c r="K61" s="220"/>
      <c r="L61" s="220"/>
      <c r="M61" s="220"/>
      <c r="N61" s="220"/>
      <c r="O61" s="220"/>
      <c r="P61" s="220"/>
    </row>
    <row r="62" spans="2:16" hidden="1" x14ac:dyDescent="0.25">
      <c r="B62" s="66" t="s">
        <v>172</v>
      </c>
      <c r="C62" s="53" t="s">
        <v>173</v>
      </c>
      <c r="D62" s="218"/>
      <c r="E62" s="218"/>
      <c r="F62" s="24">
        <f>+D62+E62</f>
        <v>0</v>
      </c>
      <c r="G62" s="218"/>
      <c r="H62" s="218"/>
      <c r="I62" s="24">
        <f>+G62+H62</f>
        <v>0</v>
      </c>
      <c r="J62" s="220"/>
      <c r="K62" s="220"/>
      <c r="L62" s="220"/>
      <c r="M62" s="220"/>
      <c r="N62" s="220"/>
      <c r="O62" s="220"/>
      <c r="P62" s="220"/>
    </row>
    <row r="63" spans="2:16" x14ac:dyDescent="0.25">
      <c r="B63" s="74" t="s">
        <v>174</v>
      </c>
      <c r="C63" s="75" t="s">
        <v>175</v>
      </c>
      <c r="D63" s="76">
        <f t="shared" ref="D63:I63" si="17">+D61+D60+D59+D62</f>
        <v>0</v>
      </c>
      <c r="E63" s="76">
        <f t="shared" si="17"/>
        <v>0</v>
      </c>
      <c r="F63" s="76">
        <f t="shared" si="17"/>
        <v>0</v>
      </c>
      <c r="G63" s="76">
        <f t="shared" si="17"/>
        <v>0</v>
      </c>
      <c r="H63" s="76">
        <f t="shared" si="17"/>
        <v>0</v>
      </c>
      <c r="I63" s="76">
        <f t="shared" si="17"/>
        <v>0</v>
      </c>
      <c r="J63" s="221"/>
      <c r="K63" s="221"/>
      <c r="L63" s="221"/>
      <c r="M63" s="221"/>
      <c r="N63" s="221"/>
      <c r="O63" s="221"/>
      <c r="P63" s="221"/>
    </row>
    <row r="64" spans="2:16" x14ac:dyDescent="0.25">
      <c r="B64" s="28" t="s">
        <v>176</v>
      </c>
      <c r="C64" s="28" t="s">
        <v>177</v>
      </c>
      <c r="D64" s="29">
        <f t="shared" ref="D64:I64" si="18">+D58+D63</f>
        <v>487141545</v>
      </c>
      <c r="E64" s="29">
        <f t="shared" si="18"/>
        <v>10626340</v>
      </c>
      <c r="F64" s="29">
        <f t="shared" si="18"/>
        <v>497767885</v>
      </c>
      <c r="G64" s="29">
        <f t="shared" si="18"/>
        <v>557924351</v>
      </c>
      <c r="H64" s="29">
        <f t="shared" si="18"/>
        <v>14526276</v>
      </c>
      <c r="I64" s="29">
        <f t="shared" si="18"/>
        <v>572450627</v>
      </c>
    </row>
    <row r="65" spans="2:9" x14ac:dyDescent="0.25">
      <c r="B65" s="13"/>
      <c r="C65" s="13"/>
      <c r="D65" s="14"/>
      <c r="E65" s="14"/>
      <c r="F65" s="77"/>
      <c r="G65" s="14"/>
      <c r="H65" s="14"/>
      <c r="I65" s="77"/>
    </row>
    <row r="66" spans="2:9" ht="15.75" hidden="1" customHeight="1" x14ac:dyDescent="0.25">
      <c r="B66" s="13"/>
      <c r="C66" s="13"/>
      <c r="D66" s="494" t="s">
        <v>11</v>
      </c>
      <c r="E66" s="494"/>
      <c r="F66" s="494"/>
      <c r="G66" s="494" t="s">
        <v>11</v>
      </c>
      <c r="H66" s="494"/>
      <c r="I66" s="494"/>
    </row>
    <row r="67" spans="2:9" ht="47.25" x14ac:dyDescent="0.25">
      <c r="B67" s="19" t="s">
        <v>12</v>
      </c>
      <c r="C67" s="47" t="s">
        <v>178</v>
      </c>
      <c r="D67" s="48" t="s">
        <v>13</v>
      </c>
      <c r="E67" s="48" t="s">
        <v>14</v>
      </c>
      <c r="F67" s="47" t="s">
        <v>543</v>
      </c>
      <c r="G67" s="48" t="s">
        <v>13</v>
      </c>
      <c r="H67" s="48" t="s">
        <v>14</v>
      </c>
      <c r="I67" s="47" t="s">
        <v>543</v>
      </c>
    </row>
    <row r="68" spans="2:9" hidden="1" x14ac:dyDescent="0.25">
      <c r="B68" s="56" t="s">
        <v>603</v>
      </c>
      <c r="C68" s="65" t="s">
        <v>192</v>
      </c>
      <c r="D68" s="25"/>
      <c r="E68" s="25"/>
      <c r="F68" s="25">
        <f t="shared" ref="F68:F73" si="19">+E68+D68</f>
        <v>0</v>
      </c>
      <c r="G68" s="25"/>
      <c r="H68" s="25"/>
      <c r="I68" s="25">
        <f t="shared" ref="I68:I73" si="20">+H68+G68</f>
        <v>0</v>
      </c>
    </row>
    <row r="69" spans="2:9" hidden="1" x14ac:dyDescent="0.25">
      <c r="B69" s="53" t="s">
        <v>193</v>
      </c>
      <c r="C69" s="64" t="s">
        <v>194</v>
      </c>
      <c r="D69" s="25"/>
      <c r="E69" s="25"/>
      <c r="F69" s="25">
        <f t="shared" si="19"/>
        <v>0</v>
      </c>
      <c r="G69" s="25"/>
      <c r="H69" s="25"/>
      <c r="I69" s="25">
        <f t="shared" si="20"/>
        <v>0</v>
      </c>
    </row>
    <row r="70" spans="2:9" ht="31.5" hidden="1" x14ac:dyDescent="0.25">
      <c r="B70" s="53" t="s">
        <v>604</v>
      </c>
      <c r="C70" s="64" t="s">
        <v>196</v>
      </c>
      <c r="D70" s="25"/>
      <c r="E70" s="25"/>
      <c r="F70" s="25">
        <f t="shared" si="19"/>
        <v>0</v>
      </c>
      <c r="G70" s="25"/>
      <c r="H70" s="25"/>
      <c r="I70" s="25">
        <f t="shared" si="20"/>
        <v>0</v>
      </c>
    </row>
    <row r="71" spans="2:9" hidden="1" x14ac:dyDescent="0.25">
      <c r="B71" s="53" t="s">
        <v>197</v>
      </c>
      <c r="C71" s="64" t="s">
        <v>198</v>
      </c>
      <c r="D71" s="25"/>
      <c r="E71" s="25"/>
      <c r="F71" s="25">
        <f t="shared" si="19"/>
        <v>0</v>
      </c>
      <c r="G71" s="25"/>
      <c r="H71" s="25"/>
      <c r="I71" s="25">
        <f t="shared" si="20"/>
        <v>0</v>
      </c>
    </row>
    <row r="72" spans="2:9" hidden="1" x14ac:dyDescent="0.25">
      <c r="B72" s="53" t="s">
        <v>199</v>
      </c>
      <c r="C72" s="64" t="s">
        <v>200</v>
      </c>
      <c r="D72" s="25"/>
      <c r="E72" s="25"/>
      <c r="F72" s="25">
        <f t="shared" si="19"/>
        <v>0</v>
      </c>
      <c r="G72" s="25"/>
      <c r="H72" s="25"/>
      <c r="I72" s="25">
        <f t="shared" si="20"/>
        <v>0</v>
      </c>
    </row>
    <row r="73" spans="2:9" x14ac:dyDescent="0.25">
      <c r="B73" s="53" t="s">
        <v>201</v>
      </c>
      <c r="C73" s="64" t="s">
        <v>202</v>
      </c>
      <c r="D73" s="24"/>
      <c r="E73" s="24">
        <v>7726040</v>
      </c>
      <c r="F73" s="25">
        <f t="shared" si="19"/>
        <v>7726040</v>
      </c>
      <c r="G73" s="24">
        <f>18274922-H73</f>
        <v>10548882</v>
      </c>
      <c r="H73" s="24">
        <v>7726040</v>
      </c>
      <c r="I73" s="25">
        <f t="shared" si="20"/>
        <v>18274922</v>
      </c>
    </row>
    <row r="74" spans="2:9" x14ac:dyDescent="0.25">
      <c r="B74" s="56" t="s">
        <v>203</v>
      </c>
      <c r="C74" s="65" t="s">
        <v>204</v>
      </c>
      <c r="D74" s="25">
        <f t="shared" ref="D74:I74" si="21">+D73+D72+D71+D70+D69+D68</f>
        <v>0</v>
      </c>
      <c r="E74" s="25">
        <f t="shared" si="21"/>
        <v>7726040</v>
      </c>
      <c r="F74" s="25">
        <f t="shared" si="21"/>
        <v>7726040</v>
      </c>
      <c r="G74" s="25">
        <f>+G73+G72+G71+G70+G69+G68</f>
        <v>10548882</v>
      </c>
      <c r="H74" s="25">
        <f>+H73+H72+H71+H70+H69+H68</f>
        <v>7726040</v>
      </c>
      <c r="I74" s="25">
        <f t="shared" si="21"/>
        <v>18274922</v>
      </c>
    </row>
    <row r="75" spans="2:9" x14ac:dyDescent="0.25">
      <c r="B75" s="56" t="s">
        <v>205</v>
      </c>
      <c r="C75" s="65" t="s">
        <v>206</v>
      </c>
      <c r="D75" s="24"/>
      <c r="E75" s="24"/>
      <c r="F75" s="25">
        <f t="shared" ref="F75:F81" si="22">+E75+D75</f>
        <v>0</v>
      </c>
      <c r="G75" s="24"/>
      <c r="H75" s="24"/>
      <c r="I75" s="25">
        <f t="shared" ref="I75:I81" si="23">+H75+G75</f>
        <v>0</v>
      </c>
    </row>
    <row r="76" spans="2:9" hidden="1" x14ac:dyDescent="0.25">
      <c r="B76" s="53" t="s">
        <v>207</v>
      </c>
      <c r="C76" s="64" t="s">
        <v>208</v>
      </c>
      <c r="D76" s="24"/>
      <c r="E76" s="24"/>
      <c r="F76" s="25">
        <f t="shared" si="22"/>
        <v>0</v>
      </c>
      <c r="G76" s="24"/>
      <c r="H76" s="24"/>
      <c r="I76" s="25">
        <f t="shared" si="23"/>
        <v>0</v>
      </c>
    </row>
    <row r="77" spans="2:9" hidden="1" x14ac:dyDescent="0.25">
      <c r="B77" s="53" t="s">
        <v>209</v>
      </c>
      <c r="C77" s="64" t="s">
        <v>210</v>
      </c>
      <c r="D77" s="24"/>
      <c r="E77" s="24"/>
      <c r="F77" s="25">
        <f t="shared" si="22"/>
        <v>0</v>
      </c>
      <c r="G77" s="24"/>
      <c r="H77" s="24"/>
      <c r="I77" s="25">
        <f t="shared" si="23"/>
        <v>0</v>
      </c>
    </row>
    <row r="78" spans="2:9" hidden="1" x14ac:dyDescent="0.25">
      <c r="B78" s="53" t="s">
        <v>211</v>
      </c>
      <c r="C78" s="64" t="s">
        <v>212</v>
      </c>
      <c r="D78" s="24"/>
      <c r="E78" s="24"/>
      <c r="F78" s="25">
        <f t="shared" si="22"/>
        <v>0</v>
      </c>
      <c r="G78" s="24"/>
      <c r="H78" s="24"/>
      <c r="I78" s="25">
        <f t="shared" si="23"/>
        <v>0</v>
      </c>
    </row>
    <row r="79" spans="2:9" hidden="1" x14ac:dyDescent="0.25">
      <c r="B79" s="53" t="s">
        <v>213</v>
      </c>
      <c r="C79" s="64" t="s">
        <v>214</v>
      </c>
      <c r="D79" s="24"/>
      <c r="E79" s="24"/>
      <c r="F79" s="25">
        <f t="shared" si="22"/>
        <v>0</v>
      </c>
      <c r="G79" s="24"/>
      <c r="H79" s="24"/>
      <c r="I79" s="25">
        <f t="shared" si="23"/>
        <v>0</v>
      </c>
    </row>
    <row r="80" spans="2:9" hidden="1" x14ac:dyDescent="0.25">
      <c r="B80" s="53" t="s">
        <v>215</v>
      </c>
      <c r="C80" s="64" t="s">
        <v>216</v>
      </c>
      <c r="D80" s="24"/>
      <c r="E80" s="24"/>
      <c r="F80" s="25">
        <f t="shared" si="22"/>
        <v>0</v>
      </c>
      <c r="G80" s="24"/>
      <c r="H80" s="24"/>
      <c r="I80" s="25">
        <f t="shared" si="23"/>
        <v>0</v>
      </c>
    </row>
    <row r="81" spans="2:9" hidden="1" x14ac:dyDescent="0.25">
      <c r="B81" s="53" t="s">
        <v>217</v>
      </c>
      <c r="C81" s="64" t="s">
        <v>218</v>
      </c>
      <c r="D81" s="24"/>
      <c r="E81" s="24"/>
      <c r="F81" s="25">
        <f t="shared" si="22"/>
        <v>0</v>
      </c>
      <c r="G81" s="24"/>
      <c r="H81" s="24"/>
      <c r="I81" s="25">
        <f t="shared" si="23"/>
        <v>0</v>
      </c>
    </row>
    <row r="82" spans="2:9" x14ac:dyDescent="0.25">
      <c r="B82" s="56" t="s">
        <v>219</v>
      </c>
      <c r="C82" s="65" t="s">
        <v>220</v>
      </c>
      <c r="D82" s="25">
        <f t="shared" ref="D82:I82" si="24">SUM(D76:D81)</f>
        <v>0</v>
      </c>
      <c r="E82" s="25">
        <f t="shared" si="24"/>
        <v>0</v>
      </c>
      <c r="F82" s="25">
        <f t="shared" si="24"/>
        <v>0</v>
      </c>
      <c r="G82" s="25">
        <f>SUM(G76:G81)</f>
        <v>0</v>
      </c>
      <c r="H82" s="25">
        <f>SUM(H76:H81)</f>
        <v>0</v>
      </c>
      <c r="I82" s="25">
        <f t="shared" si="24"/>
        <v>0</v>
      </c>
    </row>
    <row r="83" spans="2:9" x14ac:dyDescent="0.25">
      <c r="B83" s="66" t="s">
        <v>607</v>
      </c>
      <c r="C83" s="64" t="s">
        <v>222</v>
      </c>
      <c r="D83" s="24"/>
      <c r="E83" s="24"/>
      <c r="F83" s="25">
        <f t="shared" ref="F83:F93" si="25">+E83+D83</f>
        <v>0</v>
      </c>
      <c r="G83" s="24"/>
      <c r="H83" s="24"/>
      <c r="I83" s="25">
        <f t="shared" ref="I83:I93" si="26">+H83+G83</f>
        <v>0</v>
      </c>
    </row>
    <row r="84" spans="2:9" x14ac:dyDescent="0.25">
      <c r="B84" s="66" t="s">
        <v>223</v>
      </c>
      <c r="C84" s="64" t="s">
        <v>224</v>
      </c>
      <c r="D84" s="24">
        <v>0</v>
      </c>
      <c r="E84" s="24">
        <v>2283700</v>
      </c>
      <c r="F84" s="25">
        <f t="shared" si="25"/>
        <v>2283700</v>
      </c>
      <c r="G84" s="24">
        <v>887500</v>
      </c>
      <c r="H84" s="24">
        <f>5634496-G84</f>
        <v>4746996</v>
      </c>
      <c r="I84" s="25">
        <f t="shared" si="26"/>
        <v>5634496</v>
      </c>
    </row>
    <row r="85" spans="2:9" x14ac:dyDescent="0.25">
      <c r="B85" s="66" t="s">
        <v>225</v>
      </c>
      <c r="C85" s="64" t="s">
        <v>226</v>
      </c>
      <c r="D85" s="24"/>
      <c r="E85" s="24"/>
      <c r="F85" s="25">
        <f t="shared" si="25"/>
        <v>0</v>
      </c>
      <c r="G85" s="24"/>
      <c r="H85" s="24"/>
      <c r="I85" s="25">
        <f t="shared" si="26"/>
        <v>0</v>
      </c>
    </row>
    <row r="86" spans="2:9" x14ac:dyDescent="0.25">
      <c r="B86" s="66" t="s">
        <v>227</v>
      </c>
      <c r="C86" s="64" t="s">
        <v>228</v>
      </c>
      <c r="D86" s="24"/>
      <c r="E86" s="24"/>
      <c r="F86" s="25">
        <f t="shared" si="25"/>
        <v>0</v>
      </c>
      <c r="G86" s="24"/>
      <c r="H86" s="24"/>
      <c r="I86" s="25">
        <f t="shared" si="26"/>
        <v>0</v>
      </c>
    </row>
    <row r="87" spans="2:9" x14ac:dyDescent="0.25">
      <c r="B87" s="66" t="s">
        <v>229</v>
      </c>
      <c r="C87" s="64" t="s">
        <v>230</v>
      </c>
      <c r="D87" s="24">
        <v>122690200</v>
      </c>
      <c r="E87" s="24"/>
      <c r="F87" s="25">
        <f t="shared" si="25"/>
        <v>122690200</v>
      </c>
      <c r="G87" s="24">
        <v>122690200</v>
      </c>
      <c r="H87" s="24"/>
      <c r="I87" s="25">
        <f t="shared" si="26"/>
        <v>122690200</v>
      </c>
    </row>
    <row r="88" spans="2:9" x14ac:dyDescent="0.25">
      <c r="B88" s="66" t="s">
        <v>231</v>
      </c>
      <c r="C88" s="64" t="s">
        <v>232</v>
      </c>
      <c r="D88" s="24">
        <v>3210000</v>
      </c>
      <c r="E88" s="24">
        <v>616600</v>
      </c>
      <c r="F88" s="25">
        <f t="shared" si="25"/>
        <v>3826600</v>
      </c>
      <c r="G88" s="24">
        <v>3210000</v>
      </c>
      <c r="H88" s="24">
        <v>616600</v>
      </c>
      <c r="I88" s="25">
        <f t="shared" si="26"/>
        <v>3826600</v>
      </c>
    </row>
    <row r="89" spans="2:9" x14ac:dyDescent="0.25">
      <c r="B89" s="66" t="s">
        <v>233</v>
      </c>
      <c r="C89" s="64" t="s">
        <v>234</v>
      </c>
      <c r="D89" s="24"/>
      <c r="E89" s="24"/>
      <c r="F89" s="25">
        <f t="shared" si="25"/>
        <v>0</v>
      </c>
      <c r="G89" s="24"/>
      <c r="H89" s="24"/>
      <c r="I89" s="25">
        <f t="shared" si="26"/>
        <v>0</v>
      </c>
    </row>
    <row r="90" spans="2:9" x14ac:dyDescent="0.25">
      <c r="B90" s="66" t="s">
        <v>235</v>
      </c>
      <c r="C90" s="64" t="s">
        <v>236</v>
      </c>
      <c r="D90" s="24"/>
      <c r="E90" s="24"/>
      <c r="F90" s="25">
        <f t="shared" si="25"/>
        <v>0</v>
      </c>
      <c r="G90" s="24"/>
      <c r="H90" s="24"/>
      <c r="I90" s="25">
        <f t="shared" si="26"/>
        <v>0</v>
      </c>
    </row>
    <row r="91" spans="2:9" x14ac:dyDescent="0.25">
      <c r="B91" s="66" t="s">
        <v>237</v>
      </c>
      <c r="C91" s="64" t="s">
        <v>238</v>
      </c>
      <c r="D91" s="24"/>
      <c r="E91" s="24"/>
      <c r="F91" s="25">
        <f t="shared" si="25"/>
        <v>0</v>
      </c>
      <c r="G91" s="24"/>
      <c r="H91" s="24"/>
      <c r="I91" s="25">
        <f t="shared" si="26"/>
        <v>0</v>
      </c>
    </row>
    <row r="92" spans="2:9" x14ac:dyDescent="0.25">
      <c r="B92" s="66" t="s">
        <v>239</v>
      </c>
      <c r="C92" s="64" t="s">
        <v>240</v>
      </c>
      <c r="D92" s="24"/>
      <c r="E92" s="24"/>
      <c r="F92" s="25">
        <f t="shared" si="25"/>
        <v>0</v>
      </c>
      <c r="G92" s="24"/>
      <c r="H92" s="24"/>
      <c r="I92" s="25">
        <f t="shared" si="26"/>
        <v>0</v>
      </c>
    </row>
    <row r="93" spans="2:9" x14ac:dyDescent="0.25">
      <c r="B93" s="66" t="s">
        <v>241</v>
      </c>
      <c r="C93" s="64" t="s">
        <v>242</v>
      </c>
      <c r="D93" s="24">
        <v>0</v>
      </c>
      <c r="E93" s="24"/>
      <c r="F93" s="25">
        <f t="shared" si="25"/>
        <v>0</v>
      </c>
      <c r="G93" s="24">
        <v>74400</v>
      </c>
      <c r="H93" s="24"/>
      <c r="I93" s="25">
        <f t="shared" si="26"/>
        <v>74400</v>
      </c>
    </row>
    <row r="94" spans="2:9" x14ac:dyDescent="0.25">
      <c r="B94" s="57" t="s">
        <v>243</v>
      </c>
      <c r="C94" s="65" t="s">
        <v>244</v>
      </c>
      <c r="D94" s="25">
        <f t="shared" ref="D94:I94" si="27">SUM(D83:D93)</f>
        <v>125900200</v>
      </c>
      <c r="E94" s="25">
        <f t="shared" si="27"/>
        <v>2900300</v>
      </c>
      <c r="F94" s="25">
        <f t="shared" si="27"/>
        <v>128800500</v>
      </c>
      <c r="G94" s="25">
        <f t="shared" si="27"/>
        <v>126862100</v>
      </c>
      <c r="H94" s="25">
        <f t="shared" si="27"/>
        <v>5363596</v>
      </c>
      <c r="I94" s="25">
        <f t="shared" si="27"/>
        <v>132225696</v>
      </c>
    </row>
    <row r="95" spans="2:9" x14ac:dyDescent="0.25">
      <c r="B95" s="66" t="s">
        <v>245</v>
      </c>
      <c r="C95" s="64" t="s">
        <v>246</v>
      </c>
      <c r="D95" s="24"/>
      <c r="E95" s="24"/>
      <c r="F95" s="25">
        <f>+E95+D95</f>
        <v>0</v>
      </c>
      <c r="G95" s="24"/>
      <c r="H95" s="24"/>
      <c r="I95" s="25">
        <f>+H95+G95</f>
        <v>0</v>
      </c>
    </row>
    <row r="96" spans="2:9" x14ac:dyDescent="0.25">
      <c r="B96" s="66" t="s">
        <v>247</v>
      </c>
      <c r="C96" s="64" t="s">
        <v>248</v>
      </c>
      <c r="D96" s="24"/>
      <c r="E96" s="24"/>
      <c r="F96" s="25">
        <f>+E96+D96</f>
        <v>0</v>
      </c>
      <c r="G96" s="24"/>
      <c r="H96" s="24"/>
      <c r="I96" s="25">
        <f>+H96+G96</f>
        <v>0</v>
      </c>
    </row>
    <row r="97" spans="2:9" x14ac:dyDescent="0.25">
      <c r="B97" s="66" t="s">
        <v>249</v>
      </c>
      <c r="C97" s="64" t="s">
        <v>250</v>
      </c>
      <c r="D97" s="24"/>
      <c r="E97" s="24"/>
      <c r="F97" s="25">
        <f>+E97+D97</f>
        <v>0</v>
      </c>
      <c r="G97" s="24"/>
      <c r="H97" s="24"/>
      <c r="I97" s="25">
        <f>+H97+G97</f>
        <v>0</v>
      </c>
    </row>
    <row r="98" spans="2:9" hidden="1" x14ac:dyDescent="0.25">
      <c r="B98" s="66" t="s">
        <v>251</v>
      </c>
      <c r="C98" s="64" t="s">
        <v>252</v>
      </c>
      <c r="D98" s="24"/>
      <c r="E98" s="24"/>
      <c r="F98" s="25">
        <f>+E98+D98</f>
        <v>0</v>
      </c>
      <c r="G98" s="24"/>
      <c r="H98" s="24"/>
      <c r="I98" s="25">
        <f>+H98+G98</f>
        <v>0</v>
      </c>
    </row>
    <row r="99" spans="2:9" hidden="1" x14ac:dyDescent="0.25">
      <c r="B99" s="66" t="s">
        <v>253</v>
      </c>
      <c r="C99" s="64" t="s">
        <v>254</v>
      </c>
      <c r="D99" s="24"/>
      <c r="E99" s="24"/>
      <c r="F99" s="25">
        <f>+E99+D99</f>
        <v>0</v>
      </c>
      <c r="G99" s="24"/>
      <c r="H99" s="24"/>
      <c r="I99" s="25">
        <f>+H99+G99</f>
        <v>0</v>
      </c>
    </row>
    <row r="100" spans="2:9" x14ac:dyDescent="0.25">
      <c r="B100" s="56" t="s">
        <v>255</v>
      </c>
      <c r="C100" s="65" t="s">
        <v>256</v>
      </c>
      <c r="D100" s="25">
        <f t="shared" ref="D100:I100" si="28">SUM(D95:D99)</f>
        <v>0</v>
      </c>
      <c r="E100" s="25">
        <f t="shared" si="28"/>
        <v>0</v>
      </c>
      <c r="F100" s="25">
        <f t="shared" si="28"/>
        <v>0</v>
      </c>
      <c r="G100" s="25">
        <f t="shared" si="28"/>
        <v>0</v>
      </c>
      <c r="H100" s="25">
        <f t="shared" si="28"/>
        <v>0</v>
      </c>
      <c r="I100" s="25">
        <f t="shared" si="28"/>
        <v>0</v>
      </c>
    </row>
    <row r="101" spans="2:9" x14ac:dyDescent="0.25">
      <c r="B101" s="56" t="s">
        <v>257</v>
      </c>
      <c r="C101" s="65" t="s">
        <v>258</v>
      </c>
      <c r="D101" s="24"/>
      <c r="E101" s="24"/>
      <c r="F101" s="25">
        <f>+E101+D101</f>
        <v>0</v>
      </c>
      <c r="G101" s="24">
        <v>8906357</v>
      </c>
      <c r="H101" s="24"/>
      <c r="I101" s="25">
        <f>+H101+G101</f>
        <v>8906357</v>
      </c>
    </row>
    <row r="102" spans="2:9" hidden="1" x14ac:dyDescent="0.25">
      <c r="B102" s="66" t="s">
        <v>259</v>
      </c>
      <c r="C102" s="64" t="s">
        <v>260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</row>
    <row r="103" spans="2:9" hidden="1" x14ac:dyDescent="0.25">
      <c r="B103" s="53" t="s">
        <v>261</v>
      </c>
      <c r="C103" s="64" t="s">
        <v>262</v>
      </c>
      <c r="D103" s="24"/>
      <c r="E103" s="24"/>
      <c r="F103" s="25"/>
      <c r="G103" s="24"/>
      <c r="H103" s="24"/>
      <c r="I103" s="25"/>
    </row>
    <row r="104" spans="2:9" ht="31.5" hidden="1" x14ac:dyDescent="0.25">
      <c r="B104" s="66" t="s">
        <v>263</v>
      </c>
      <c r="C104" s="64" t="s">
        <v>264</v>
      </c>
      <c r="D104" s="24"/>
      <c r="E104" s="24"/>
      <c r="F104" s="25"/>
      <c r="G104" s="24"/>
      <c r="H104" s="24"/>
      <c r="I104" s="25"/>
    </row>
    <row r="105" spans="2:9" hidden="1" x14ac:dyDescent="0.25">
      <c r="B105" s="66" t="s">
        <v>265</v>
      </c>
      <c r="C105" s="64" t="s">
        <v>266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</row>
    <row r="106" spans="2:9" x14ac:dyDescent="0.25">
      <c r="B106" s="66" t="s">
        <v>267</v>
      </c>
      <c r="C106" s="64" t="s">
        <v>268</v>
      </c>
      <c r="D106" s="24">
        <v>0</v>
      </c>
      <c r="E106" s="24"/>
      <c r="F106" s="25">
        <f>+E106+D106</f>
        <v>0</v>
      </c>
      <c r="G106" s="24">
        <v>60000</v>
      </c>
      <c r="H106" s="24"/>
      <c r="I106" s="25">
        <f>+H106+G106</f>
        <v>60000</v>
      </c>
    </row>
    <row r="107" spans="2:9" x14ac:dyDescent="0.25">
      <c r="B107" s="56" t="s">
        <v>269</v>
      </c>
      <c r="C107" s="65" t="s">
        <v>270</v>
      </c>
      <c r="D107" s="25">
        <f t="shared" ref="D107:I107" si="29">SUM(D102:D106)</f>
        <v>0</v>
      </c>
      <c r="E107" s="25">
        <f t="shared" si="29"/>
        <v>0</v>
      </c>
      <c r="F107" s="25">
        <f t="shared" si="29"/>
        <v>0</v>
      </c>
      <c r="G107" s="25">
        <f t="shared" si="29"/>
        <v>60000</v>
      </c>
      <c r="H107" s="25">
        <f t="shared" si="29"/>
        <v>0</v>
      </c>
      <c r="I107" s="25">
        <f t="shared" si="29"/>
        <v>60000</v>
      </c>
    </row>
    <row r="108" spans="2:9" x14ac:dyDescent="0.25">
      <c r="B108" s="78" t="s">
        <v>271</v>
      </c>
      <c r="C108" s="67" t="s">
        <v>272</v>
      </c>
      <c r="D108" s="69">
        <f t="shared" ref="D108:I108" si="30">+D107+D101+D100+D94+D82+D75+D74</f>
        <v>125900200</v>
      </c>
      <c r="E108" s="69">
        <f t="shared" si="30"/>
        <v>10626340</v>
      </c>
      <c r="F108" s="69">
        <f t="shared" si="30"/>
        <v>136526540</v>
      </c>
      <c r="G108" s="69">
        <f t="shared" si="30"/>
        <v>146377339</v>
      </c>
      <c r="H108" s="69">
        <f t="shared" si="30"/>
        <v>13089636</v>
      </c>
      <c r="I108" s="69">
        <f t="shared" si="30"/>
        <v>159466975</v>
      </c>
    </row>
    <row r="109" spans="2:9" x14ac:dyDescent="0.25">
      <c r="B109" s="79" t="s">
        <v>273</v>
      </c>
      <c r="C109" s="80"/>
      <c r="D109" s="81">
        <f>+D101+D94+D82+D74-D33</f>
        <v>-355691345</v>
      </c>
      <c r="E109" s="81">
        <f>+E101+E94+E82+E74-E33</f>
        <v>0</v>
      </c>
      <c r="F109" s="81">
        <f t="shared" ref="F109:F116" si="31">+E109+D109</f>
        <v>-355691345</v>
      </c>
      <c r="G109" s="81">
        <f>+G101+G94+G82+G74-G33</f>
        <v>-390665467</v>
      </c>
      <c r="H109" s="81">
        <f>+H101+H94+H82+H74-H33</f>
        <v>-1436640</v>
      </c>
      <c r="I109" s="81">
        <f t="shared" ref="I109:I116" si="32">+H109+G109</f>
        <v>-392102107</v>
      </c>
    </row>
    <row r="110" spans="2:9" x14ac:dyDescent="0.25">
      <c r="B110" s="79" t="s">
        <v>274</v>
      </c>
      <c r="C110" s="80"/>
      <c r="D110" s="81">
        <f>+D107+D100+D75-D57</f>
        <v>-5550000</v>
      </c>
      <c r="E110" s="81">
        <f>+E107+E100+E75-E57</f>
        <v>0</v>
      </c>
      <c r="F110" s="81">
        <f t="shared" si="31"/>
        <v>-5550000</v>
      </c>
      <c r="G110" s="81">
        <f>+G107+G100+G75-G57</f>
        <v>-20881545</v>
      </c>
      <c r="H110" s="81">
        <f>+H107+H100+H75-H57</f>
        <v>0</v>
      </c>
      <c r="I110" s="81">
        <f t="shared" si="32"/>
        <v>-20881545</v>
      </c>
    </row>
    <row r="111" spans="2:9" ht="15.95" hidden="1" customHeight="1" x14ac:dyDescent="0.25">
      <c r="B111" s="57" t="s">
        <v>611</v>
      </c>
      <c r="C111" s="56" t="s">
        <v>282</v>
      </c>
      <c r="D111" s="24"/>
      <c r="E111" s="24"/>
      <c r="F111" s="25">
        <f t="shared" si="31"/>
        <v>0</v>
      </c>
      <c r="G111" s="24"/>
      <c r="H111" s="24"/>
      <c r="I111" s="25">
        <f t="shared" si="32"/>
        <v>0</v>
      </c>
    </row>
    <row r="112" spans="2:9" hidden="1" x14ac:dyDescent="0.25">
      <c r="B112" s="73" t="s">
        <v>612</v>
      </c>
      <c r="C112" s="56" t="s">
        <v>292</v>
      </c>
      <c r="D112" s="24"/>
      <c r="E112" s="24"/>
      <c r="F112" s="25">
        <f t="shared" si="31"/>
        <v>0</v>
      </c>
      <c r="G112" s="24"/>
      <c r="H112" s="24"/>
      <c r="I112" s="25">
        <f t="shared" si="32"/>
        <v>0</v>
      </c>
    </row>
    <row r="113" spans="1:9" x14ac:dyDescent="0.25">
      <c r="B113" s="53" t="s">
        <v>293</v>
      </c>
      <c r="C113" s="53" t="s">
        <v>294</v>
      </c>
      <c r="D113" s="24"/>
      <c r="E113" s="24"/>
      <c r="F113" s="25">
        <f t="shared" si="31"/>
        <v>0</v>
      </c>
      <c r="G113" s="24">
        <f>6945452-H113</f>
        <v>3045516</v>
      </c>
      <c r="H113" s="24">
        <v>3899936</v>
      </c>
      <c r="I113" s="25">
        <f t="shared" si="32"/>
        <v>6945452</v>
      </c>
    </row>
    <row r="114" spans="1:9" x14ac:dyDescent="0.25">
      <c r="A114" s="13" t="s">
        <v>331</v>
      </c>
      <c r="B114" s="53" t="s">
        <v>295</v>
      </c>
      <c r="C114" s="53" t="s">
        <v>294</v>
      </c>
      <c r="D114" s="24"/>
      <c r="E114" s="24"/>
      <c r="F114" s="25">
        <f t="shared" si="31"/>
        <v>0</v>
      </c>
      <c r="G114" s="24">
        <v>0</v>
      </c>
      <c r="H114" s="24"/>
      <c r="I114" s="25">
        <f t="shared" si="32"/>
        <v>0</v>
      </c>
    </row>
    <row r="115" spans="1:9" hidden="1" x14ac:dyDescent="0.25">
      <c r="B115" s="53" t="s">
        <v>296</v>
      </c>
      <c r="C115" s="53" t="s">
        <v>297</v>
      </c>
      <c r="D115" s="24"/>
      <c r="E115" s="24"/>
      <c r="F115" s="25">
        <f t="shared" si="31"/>
        <v>0</v>
      </c>
      <c r="G115" s="24"/>
      <c r="H115" s="24"/>
      <c r="I115" s="25">
        <f t="shared" si="32"/>
        <v>0</v>
      </c>
    </row>
    <row r="116" spans="1:9" hidden="1" x14ac:dyDescent="0.25">
      <c r="A116" s="13" t="s">
        <v>331</v>
      </c>
      <c r="B116" s="53" t="s">
        <v>298</v>
      </c>
      <c r="C116" s="53" t="s">
        <v>297</v>
      </c>
      <c r="D116" s="24"/>
      <c r="E116" s="24"/>
      <c r="F116" s="25">
        <f t="shared" si="31"/>
        <v>0</v>
      </c>
      <c r="G116" s="24"/>
      <c r="H116" s="24"/>
      <c r="I116" s="25">
        <f t="shared" si="32"/>
        <v>0</v>
      </c>
    </row>
    <row r="117" spans="1:9" x14ac:dyDescent="0.25">
      <c r="A117" s="13" t="s">
        <v>623</v>
      </c>
      <c r="B117" s="56" t="s">
        <v>299</v>
      </c>
      <c r="C117" s="56" t="s">
        <v>300</v>
      </c>
      <c r="D117" s="25">
        <f t="shared" ref="D117:I117" si="33">SUM(D113:D116)</f>
        <v>0</v>
      </c>
      <c r="E117" s="25">
        <f t="shared" si="33"/>
        <v>0</v>
      </c>
      <c r="F117" s="25">
        <f t="shared" si="33"/>
        <v>0</v>
      </c>
      <c r="G117" s="25">
        <f t="shared" si="33"/>
        <v>3045516</v>
      </c>
      <c r="H117" s="25">
        <f t="shared" si="33"/>
        <v>3899936</v>
      </c>
      <c r="I117" s="25">
        <f t="shared" si="33"/>
        <v>6945452</v>
      </c>
    </row>
    <row r="118" spans="1:9" hidden="1" x14ac:dyDescent="0.25">
      <c r="A118"/>
      <c r="B118" s="71" t="s">
        <v>301</v>
      </c>
      <c r="C118" s="53" t="s">
        <v>302</v>
      </c>
      <c r="D118" s="24"/>
      <c r="E118" s="24"/>
      <c r="F118" s="25">
        <f t="shared" ref="F118:F125" si="34">+E118+D118</f>
        <v>0</v>
      </c>
      <c r="G118" s="24"/>
      <c r="H118" s="24"/>
      <c r="I118" s="25">
        <f t="shared" ref="I118:I125" si="35">+H118+G118</f>
        <v>0</v>
      </c>
    </row>
    <row r="119" spans="1:9" hidden="1" x14ac:dyDescent="0.25">
      <c r="B119" s="71" t="s">
        <v>303</v>
      </c>
      <c r="C119" s="53" t="s">
        <v>304</v>
      </c>
      <c r="D119" s="24"/>
      <c r="E119" s="24"/>
      <c r="F119" s="25">
        <f t="shared" si="34"/>
        <v>0</v>
      </c>
      <c r="G119" s="24"/>
      <c r="H119" s="24"/>
      <c r="I119" s="25">
        <f t="shared" si="35"/>
        <v>0</v>
      </c>
    </row>
    <row r="120" spans="1:9" x14ac:dyDescent="0.25">
      <c r="A120" s="30" t="s">
        <v>632</v>
      </c>
      <c r="B120" s="71" t="s">
        <v>305</v>
      </c>
      <c r="C120" s="53" t="s">
        <v>306</v>
      </c>
      <c r="D120" s="24">
        <v>361241345</v>
      </c>
      <c r="E120" s="24">
        <v>0</v>
      </c>
      <c r="F120" s="25">
        <f t="shared" si="34"/>
        <v>361241345</v>
      </c>
      <c r="G120" s="24">
        <v>406038200</v>
      </c>
      <c r="H120" s="24">
        <v>0</v>
      </c>
      <c r="I120" s="25">
        <f t="shared" si="35"/>
        <v>406038200</v>
      </c>
    </row>
    <row r="121" spans="1:9" s="222" customFormat="1" x14ac:dyDescent="0.25">
      <c r="B121" s="223" t="s">
        <v>625</v>
      </c>
      <c r="C121" s="136"/>
      <c r="D121" s="366">
        <v>271021345</v>
      </c>
      <c r="E121" s="97">
        <v>0</v>
      </c>
      <c r="F121" s="125">
        <f t="shared" si="34"/>
        <v>271021345</v>
      </c>
      <c r="G121" s="366">
        <f>+G120-G122</f>
        <v>315818200</v>
      </c>
      <c r="H121" s="97">
        <v>0</v>
      </c>
      <c r="I121" s="125">
        <f t="shared" si="35"/>
        <v>315818200</v>
      </c>
    </row>
    <row r="122" spans="1:9" s="222" customFormat="1" x14ac:dyDescent="0.25">
      <c r="B122" s="224" t="s">
        <v>616</v>
      </c>
      <c r="C122" s="136"/>
      <c r="D122" s="366">
        <f>+D120-D121</f>
        <v>90220000</v>
      </c>
      <c r="E122" s="97">
        <f>+E120-E121</f>
        <v>0</v>
      </c>
      <c r="F122" s="125">
        <f t="shared" si="34"/>
        <v>90220000</v>
      </c>
      <c r="G122" s="366">
        <v>90220000</v>
      </c>
      <c r="H122" s="97">
        <f>+H120-H121</f>
        <v>0</v>
      </c>
      <c r="I122" s="125">
        <f t="shared" si="35"/>
        <v>90220000</v>
      </c>
    </row>
    <row r="123" spans="1:9" hidden="1" x14ac:dyDescent="0.25">
      <c r="B123" s="71" t="s">
        <v>307</v>
      </c>
      <c r="C123" s="53" t="s">
        <v>308</v>
      </c>
      <c r="D123" s="24"/>
      <c r="E123" s="24"/>
      <c r="F123" s="25">
        <f t="shared" si="34"/>
        <v>0</v>
      </c>
      <c r="G123" s="24"/>
      <c r="H123" s="24"/>
      <c r="I123" s="25">
        <f t="shared" si="35"/>
        <v>0</v>
      </c>
    </row>
    <row r="124" spans="1:9" hidden="1" x14ac:dyDescent="0.25">
      <c r="B124" s="66" t="s">
        <v>309</v>
      </c>
      <c r="C124" s="53" t="s">
        <v>310</v>
      </c>
      <c r="D124" s="24"/>
      <c r="E124" s="24"/>
      <c r="F124" s="25">
        <f t="shared" si="34"/>
        <v>0</v>
      </c>
      <c r="G124" s="24"/>
      <c r="H124" s="24"/>
      <c r="I124" s="25">
        <f t="shared" si="35"/>
        <v>0</v>
      </c>
    </row>
    <row r="125" spans="1:9" hidden="1" x14ac:dyDescent="0.25">
      <c r="B125" s="66" t="s">
        <v>311</v>
      </c>
      <c r="C125" s="53" t="s">
        <v>312</v>
      </c>
      <c r="D125" s="24"/>
      <c r="E125" s="24"/>
      <c r="F125" s="25">
        <f t="shared" si="34"/>
        <v>0</v>
      </c>
      <c r="G125" s="24"/>
      <c r="H125" s="24"/>
      <c r="I125" s="25">
        <f t="shared" si="35"/>
        <v>0</v>
      </c>
    </row>
    <row r="126" spans="1:9" x14ac:dyDescent="0.25">
      <c r="B126" s="57" t="s">
        <v>313</v>
      </c>
      <c r="C126" s="56" t="s">
        <v>314</v>
      </c>
      <c r="D126" s="25">
        <f>SUM(D118:D125)+D117+D112+D111-D121-D122</f>
        <v>361241345</v>
      </c>
      <c r="E126" s="25">
        <f>SUM(E118:E125)+E117+E112+E111-E121-E122</f>
        <v>0</v>
      </c>
      <c r="F126" s="25">
        <f>SUM(F118:F124)+F117+F112+F111-F121-F122</f>
        <v>361241345</v>
      </c>
      <c r="G126" s="25">
        <f>SUM(G118:G125)+G117+G112+G111-G121-G122</f>
        <v>409083716</v>
      </c>
      <c r="H126" s="25">
        <f>SUM(H118:H125)+H117+H112+H111-H121-H122</f>
        <v>3899936</v>
      </c>
      <c r="I126" s="25">
        <f>SUM(I118:I124)+I117+I112+I111-I121-I122</f>
        <v>412983652</v>
      </c>
    </row>
    <row r="127" spans="1:9" hidden="1" x14ac:dyDescent="0.25">
      <c r="B127" s="71" t="s">
        <v>315</v>
      </c>
      <c r="C127" s="53" t="s">
        <v>316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6" t="s">
        <v>317</v>
      </c>
      <c r="C128" s="53" t="s">
        <v>318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6" t="s">
        <v>319</v>
      </c>
      <c r="C129" s="53" t="s">
        <v>320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4" t="s">
        <v>321</v>
      </c>
      <c r="C130" s="75" t="s">
        <v>322</v>
      </c>
      <c r="D130" s="69">
        <f>+D128+D127+D126+D129</f>
        <v>361241345</v>
      </c>
      <c r="E130" s="69">
        <f>+E128+E127+E126+E129</f>
        <v>0</v>
      </c>
      <c r="F130" s="69">
        <f>+F129+F127+F126</f>
        <v>361241345</v>
      </c>
      <c r="G130" s="69">
        <f>+G128+G127+G126+G129</f>
        <v>409083716</v>
      </c>
      <c r="H130" s="69">
        <f>+H128+H127+H126+H129</f>
        <v>3899936</v>
      </c>
      <c r="I130" s="69">
        <f>+I129+I127+I126</f>
        <v>412983652</v>
      </c>
    </row>
    <row r="131" spans="2:9" x14ac:dyDescent="0.25">
      <c r="B131" s="28" t="s">
        <v>323</v>
      </c>
      <c r="C131" s="28" t="s">
        <v>324</v>
      </c>
      <c r="D131" s="29">
        <f t="shared" ref="D131:I131" si="36">+D108+D130</f>
        <v>487141545</v>
      </c>
      <c r="E131" s="29">
        <f t="shared" si="36"/>
        <v>10626340</v>
      </c>
      <c r="F131" s="29">
        <f t="shared" si="36"/>
        <v>497767885</v>
      </c>
      <c r="G131" s="29">
        <f t="shared" si="36"/>
        <v>555461055</v>
      </c>
      <c r="H131" s="29">
        <f t="shared" si="36"/>
        <v>16989572</v>
      </c>
      <c r="I131" s="29">
        <f t="shared" si="36"/>
        <v>572450627</v>
      </c>
    </row>
    <row r="132" spans="2:9" x14ac:dyDescent="0.25">
      <c r="B132" s="13"/>
      <c r="C132" s="13"/>
      <c r="D132" s="14"/>
      <c r="E132" s="14"/>
      <c r="F132" s="77"/>
      <c r="G132" s="14"/>
      <c r="H132" s="14"/>
      <c r="I132" s="77"/>
    </row>
    <row r="133" spans="2:9" x14ac:dyDescent="0.25">
      <c r="B133" s="26" t="s">
        <v>325</v>
      </c>
      <c r="C133" s="26"/>
      <c r="D133" s="25">
        <f t="shared" ref="D133:I133" si="37">+D108-D58</f>
        <v>-361241345</v>
      </c>
      <c r="E133" s="25">
        <f t="shared" si="37"/>
        <v>0</v>
      </c>
      <c r="F133" s="25">
        <f t="shared" si="37"/>
        <v>-361241345</v>
      </c>
      <c r="G133" s="25">
        <f t="shared" si="37"/>
        <v>-411547012</v>
      </c>
      <c r="H133" s="25">
        <f t="shared" si="37"/>
        <v>-1436640</v>
      </c>
      <c r="I133" s="25">
        <f t="shared" si="37"/>
        <v>-412983652</v>
      </c>
    </row>
    <row r="134" spans="2:9" x14ac:dyDescent="0.25">
      <c r="B134" s="26" t="s">
        <v>326</v>
      </c>
      <c r="C134" s="26"/>
      <c r="D134" s="25">
        <f t="shared" ref="D134:I134" si="38">+D130-D63</f>
        <v>361241345</v>
      </c>
      <c r="E134" s="25">
        <f t="shared" si="38"/>
        <v>0</v>
      </c>
      <c r="F134" s="25">
        <f t="shared" si="38"/>
        <v>361241345</v>
      </c>
      <c r="G134" s="25">
        <f t="shared" si="38"/>
        <v>409083716</v>
      </c>
      <c r="H134" s="25">
        <f t="shared" si="38"/>
        <v>3899936</v>
      </c>
      <c r="I134" s="25">
        <f t="shared" si="38"/>
        <v>412983652</v>
      </c>
    </row>
    <row r="135" spans="2:9" x14ac:dyDescent="0.25">
      <c r="B135" s="13"/>
      <c r="C135" s="13"/>
      <c r="D135" s="14"/>
      <c r="E135" s="14"/>
      <c r="F135" s="77"/>
      <c r="G135" s="14"/>
      <c r="H135" s="14"/>
      <c r="I135" s="77"/>
    </row>
    <row r="136" spans="2:9" x14ac:dyDescent="0.25">
      <c r="B136" s="82" t="s">
        <v>329</v>
      </c>
      <c r="C136" s="13"/>
      <c r="D136" s="14">
        <f t="shared" ref="D136:I136" si="39">+D131-D64</f>
        <v>0</v>
      </c>
      <c r="E136" s="14">
        <f t="shared" si="39"/>
        <v>0</v>
      </c>
      <c r="F136" s="14">
        <f t="shared" si="39"/>
        <v>0</v>
      </c>
      <c r="G136" s="14">
        <f t="shared" si="39"/>
        <v>-2463296</v>
      </c>
      <c r="H136" s="14">
        <f t="shared" si="39"/>
        <v>2463296</v>
      </c>
      <c r="I136" s="14">
        <f t="shared" si="39"/>
        <v>0</v>
      </c>
    </row>
    <row r="137" spans="2:9" x14ac:dyDescent="0.25">
      <c r="B137" s="13"/>
      <c r="C137" s="13"/>
      <c r="D137" s="14"/>
      <c r="E137" s="14"/>
      <c r="F137" s="77"/>
      <c r="G137" s="14"/>
      <c r="H137" s="14"/>
      <c r="I137" s="77"/>
    </row>
    <row r="138" spans="2:9" x14ac:dyDescent="0.25">
      <c r="B138" s="13"/>
      <c r="C138" s="13"/>
      <c r="D138" s="14"/>
      <c r="E138" s="14"/>
      <c r="F138" s="77"/>
      <c r="G138" s="14"/>
      <c r="H138" s="14"/>
      <c r="I138" s="77"/>
    </row>
    <row r="139" spans="2:9" x14ac:dyDescent="0.25">
      <c r="B139" s="13"/>
      <c r="C139" s="13"/>
      <c r="D139" s="14"/>
      <c r="E139" s="14"/>
      <c r="F139" s="77"/>
      <c r="G139" s="14"/>
      <c r="H139" s="14"/>
      <c r="I139" s="77"/>
    </row>
    <row r="140" spans="2:9" x14ac:dyDescent="0.25">
      <c r="B140" s="13"/>
      <c r="C140" s="13"/>
      <c r="D140" s="14"/>
      <c r="E140" s="14"/>
      <c r="F140" s="77"/>
      <c r="G140" s="14"/>
      <c r="H140" s="14"/>
      <c r="I140" s="77"/>
    </row>
    <row r="141" spans="2:9" x14ac:dyDescent="0.25">
      <c r="B141" s="13"/>
      <c r="C141" s="13"/>
      <c r="D141" s="14"/>
      <c r="E141" s="14"/>
      <c r="F141" s="77"/>
      <c r="G141" s="14"/>
      <c r="H141" s="14"/>
      <c r="I141" s="77"/>
    </row>
    <row r="142" spans="2:9" x14ac:dyDescent="0.25">
      <c r="B142" s="13"/>
      <c r="C142" s="13"/>
      <c r="D142" s="14"/>
      <c r="E142" s="14"/>
      <c r="F142" s="77"/>
      <c r="G142" s="14"/>
      <c r="H142" s="14"/>
      <c r="I142" s="77"/>
    </row>
    <row r="143" spans="2:9" x14ac:dyDescent="0.25">
      <c r="B143" s="13"/>
      <c r="C143" s="13"/>
      <c r="D143" s="14"/>
      <c r="E143" s="14"/>
      <c r="F143" s="77"/>
      <c r="G143" s="14"/>
      <c r="H143" s="14"/>
      <c r="I143" s="77"/>
    </row>
    <row r="144" spans="2:9" x14ac:dyDescent="0.25">
      <c r="B144" s="13"/>
      <c r="C144" s="13"/>
      <c r="D144" s="14"/>
      <c r="E144" s="14"/>
      <c r="F144" s="77"/>
      <c r="G144" s="14"/>
      <c r="H144" s="14"/>
      <c r="I144" s="77"/>
    </row>
    <row r="145" spans="2:9" x14ac:dyDescent="0.25">
      <c r="B145" s="13"/>
      <c r="C145" s="13"/>
      <c r="D145" s="14"/>
      <c r="E145" s="14"/>
      <c r="F145" s="77"/>
      <c r="G145" s="14"/>
      <c r="H145" s="14"/>
      <c r="I145" s="77"/>
    </row>
    <row r="146" spans="2:9" x14ac:dyDescent="0.25">
      <c r="B146" s="13"/>
      <c r="C146" s="13"/>
      <c r="D146" s="14"/>
      <c r="E146" s="14"/>
      <c r="F146" s="77"/>
      <c r="G146" s="14"/>
      <c r="H146" s="14"/>
      <c r="I146" s="77"/>
    </row>
    <row r="147" spans="2:9" x14ac:dyDescent="0.25">
      <c r="B147" s="13"/>
      <c r="C147" s="13"/>
      <c r="D147" s="14"/>
      <c r="E147" s="14"/>
      <c r="F147" s="77"/>
      <c r="G147" s="14"/>
      <c r="H147" s="14"/>
      <c r="I147" s="77"/>
    </row>
    <row r="148" spans="2:9" x14ac:dyDescent="0.25">
      <c r="B148" s="13"/>
      <c r="C148" s="13"/>
      <c r="D148" s="14"/>
      <c r="E148" s="14"/>
      <c r="F148" s="77"/>
      <c r="G148" s="14"/>
      <c r="H148" s="14"/>
      <c r="I148" s="77"/>
    </row>
    <row r="149" spans="2:9" x14ac:dyDescent="0.25">
      <c r="B149" s="13"/>
      <c r="C149" s="13"/>
      <c r="D149" s="14"/>
      <c r="E149" s="14"/>
      <c r="F149" s="77"/>
      <c r="G149" s="14"/>
      <c r="H149" s="14"/>
      <c r="I149" s="77"/>
    </row>
    <row r="150" spans="2:9" x14ac:dyDescent="0.25">
      <c r="B150" s="13"/>
      <c r="C150" s="13"/>
      <c r="D150" s="14"/>
      <c r="E150" s="14"/>
      <c r="F150" s="77"/>
      <c r="G150" s="14"/>
      <c r="H150" s="14"/>
      <c r="I150" s="77"/>
    </row>
    <row r="151" spans="2:9" x14ac:dyDescent="0.25">
      <c r="B151" s="13"/>
      <c r="C151" s="13"/>
      <c r="D151" s="14"/>
      <c r="E151" s="14"/>
      <c r="F151" s="77"/>
      <c r="G151" s="14"/>
      <c r="H151" s="14"/>
      <c r="I151" s="77"/>
    </row>
    <row r="152" spans="2:9" x14ac:dyDescent="0.25">
      <c r="B152" s="13"/>
      <c r="C152" s="13"/>
      <c r="D152" s="14"/>
      <c r="E152" s="14"/>
      <c r="F152" s="77"/>
      <c r="G152" s="14"/>
      <c r="H152" s="14"/>
      <c r="I152" s="77"/>
    </row>
    <row r="153" spans="2:9" x14ac:dyDescent="0.25">
      <c r="B153" s="13"/>
      <c r="C153" s="13"/>
      <c r="D153" s="14"/>
      <c r="E153" s="14"/>
      <c r="F153" s="77"/>
      <c r="G153" s="14"/>
      <c r="H153" s="14"/>
      <c r="I153" s="77"/>
    </row>
    <row r="154" spans="2:9" x14ac:dyDescent="0.25">
      <c r="B154" s="13"/>
      <c r="C154" s="13"/>
      <c r="D154" s="14"/>
      <c r="E154" s="14"/>
      <c r="F154" s="77"/>
      <c r="G154" s="14"/>
      <c r="H154" s="14"/>
      <c r="I154" s="77"/>
    </row>
    <row r="155" spans="2:9" x14ac:dyDescent="0.25">
      <c r="B155" s="13"/>
      <c r="C155" s="13"/>
      <c r="D155" s="14"/>
      <c r="E155" s="14"/>
      <c r="F155" s="77"/>
      <c r="G155" s="14"/>
      <c r="H155" s="14"/>
      <c r="I155" s="77"/>
    </row>
    <row r="156" spans="2:9" x14ac:dyDescent="0.25">
      <c r="B156" s="13"/>
      <c r="C156" s="13"/>
      <c r="D156" s="14"/>
      <c r="E156" s="14"/>
      <c r="F156" s="77"/>
      <c r="G156" s="14"/>
      <c r="H156" s="14"/>
      <c r="I156" s="77"/>
    </row>
    <row r="157" spans="2:9" x14ac:dyDescent="0.25">
      <c r="B157" s="13"/>
      <c r="C157" s="13"/>
      <c r="D157" s="14"/>
      <c r="E157" s="14"/>
      <c r="F157" s="77"/>
      <c r="G157" s="14"/>
      <c r="H157" s="14"/>
      <c r="I157" s="77"/>
    </row>
    <row r="158" spans="2:9" x14ac:dyDescent="0.25">
      <c r="B158" s="13"/>
      <c r="C158" s="13"/>
      <c r="D158" s="14"/>
      <c r="E158" s="14"/>
      <c r="F158" s="77"/>
      <c r="G158" s="14"/>
      <c r="H158" s="14"/>
      <c r="I158" s="77"/>
    </row>
    <row r="159" spans="2:9" x14ac:dyDescent="0.25">
      <c r="B159" s="13"/>
      <c r="C159" s="13"/>
      <c r="D159" s="14"/>
      <c r="E159" s="14"/>
      <c r="F159" s="77"/>
      <c r="G159" s="14"/>
      <c r="H159" s="14"/>
      <c r="I159" s="77"/>
    </row>
    <row r="160" spans="2:9" x14ac:dyDescent="0.25">
      <c r="B160" s="13"/>
      <c r="C160" s="13"/>
      <c r="D160" s="14"/>
      <c r="E160" s="14"/>
      <c r="F160" s="77"/>
      <c r="G160" s="14"/>
      <c r="H160" s="14"/>
      <c r="I160" s="77"/>
    </row>
    <row r="161" spans="2:9" x14ac:dyDescent="0.25">
      <c r="B161" s="13"/>
      <c r="C161" s="13"/>
      <c r="D161" s="14"/>
      <c r="E161" s="14"/>
      <c r="F161" s="77"/>
      <c r="G161" s="14"/>
      <c r="H161" s="14"/>
      <c r="I161" s="77"/>
    </row>
    <row r="162" spans="2:9" x14ac:dyDescent="0.25">
      <c r="B162" s="13"/>
      <c r="C162" s="13"/>
      <c r="D162" s="14"/>
      <c r="E162" s="14"/>
      <c r="F162" s="77"/>
      <c r="G162" s="14"/>
      <c r="H162" s="14"/>
      <c r="I162" s="77"/>
    </row>
    <row r="163" spans="2:9" x14ac:dyDescent="0.25">
      <c r="B163" s="13"/>
      <c r="C163" s="13"/>
      <c r="D163" s="14"/>
      <c r="E163" s="14"/>
      <c r="F163" s="77"/>
      <c r="G163" s="14"/>
      <c r="H163" s="14"/>
      <c r="I163" s="77"/>
    </row>
    <row r="164" spans="2:9" x14ac:dyDescent="0.25">
      <c r="B164" s="13"/>
      <c r="C164" s="13"/>
      <c r="D164" s="14"/>
      <c r="E164" s="14"/>
      <c r="F164" s="77"/>
      <c r="G164" s="14"/>
      <c r="H164" s="14"/>
      <c r="I164" s="77"/>
    </row>
    <row r="165" spans="2:9" x14ac:dyDescent="0.25">
      <c r="B165" s="13"/>
      <c r="C165" s="13"/>
      <c r="D165" s="14"/>
      <c r="E165" s="14"/>
      <c r="F165" s="77"/>
      <c r="G165" s="14"/>
      <c r="H165" s="14"/>
      <c r="I165" s="77"/>
    </row>
    <row r="166" spans="2:9" x14ac:dyDescent="0.25">
      <c r="B166" s="13"/>
      <c r="C166" s="13"/>
      <c r="D166" s="14"/>
      <c r="E166" s="14"/>
      <c r="F166" s="77"/>
      <c r="G166" s="14"/>
      <c r="H166" s="14"/>
      <c r="I166" s="77"/>
    </row>
    <row r="167" spans="2:9" x14ac:dyDescent="0.25">
      <c r="B167" s="13"/>
      <c r="C167" s="13"/>
      <c r="D167" s="14"/>
      <c r="E167" s="14"/>
      <c r="F167" s="77"/>
      <c r="G167" s="14"/>
      <c r="H167" s="14"/>
      <c r="I167" s="77"/>
    </row>
    <row r="168" spans="2:9" x14ac:dyDescent="0.25">
      <c r="B168" s="13"/>
      <c r="C168" s="13"/>
      <c r="D168" s="14"/>
      <c r="E168" s="14"/>
      <c r="F168" s="77"/>
      <c r="G168" s="14"/>
      <c r="H168" s="14"/>
      <c r="I168" s="77"/>
    </row>
    <row r="169" spans="2:9" x14ac:dyDescent="0.25">
      <c r="B169" s="13"/>
      <c r="C169" s="13"/>
      <c r="D169" s="14"/>
      <c r="E169" s="14"/>
      <c r="F169" s="77"/>
      <c r="G169" s="14"/>
      <c r="H169" s="14"/>
      <c r="I169" s="77"/>
    </row>
    <row r="170" spans="2:9" x14ac:dyDescent="0.25">
      <c r="B170" s="13"/>
      <c r="C170" s="13"/>
      <c r="D170" s="14"/>
      <c r="E170" s="14"/>
      <c r="F170" s="77"/>
      <c r="G170" s="14"/>
      <c r="H170" s="14"/>
      <c r="I170" s="77"/>
    </row>
    <row r="171" spans="2:9" x14ac:dyDescent="0.25">
      <c r="B171" s="13"/>
      <c r="C171" s="13"/>
      <c r="D171" s="14"/>
      <c r="E171" s="14"/>
      <c r="F171" s="77"/>
      <c r="G171" s="14"/>
      <c r="H171" s="14"/>
      <c r="I171" s="77"/>
    </row>
    <row r="172" spans="2:9" x14ac:dyDescent="0.25">
      <c r="B172" s="13"/>
      <c r="C172" s="13"/>
      <c r="D172" s="14"/>
      <c r="E172" s="14"/>
      <c r="F172" s="77"/>
      <c r="G172" s="14"/>
      <c r="H172" s="14"/>
      <c r="I172" s="77"/>
    </row>
    <row r="173" spans="2:9" x14ac:dyDescent="0.25">
      <c r="B173" s="13"/>
      <c r="C173" s="13"/>
      <c r="D173" s="14"/>
      <c r="E173" s="14"/>
      <c r="F173" s="77"/>
      <c r="G173" s="14"/>
      <c r="H173" s="14"/>
      <c r="I173" s="77"/>
    </row>
    <row r="174" spans="2:9" x14ac:dyDescent="0.25">
      <c r="B174" s="13"/>
      <c r="C174" s="13"/>
      <c r="D174" s="14"/>
      <c r="E174" s="14"/>
      <c r="F174" s="77"/>
      <c r="G174" s="14"/>
      <c r="H174" s="14"/>
      <c r="I174" s="77"/>
    </row>
    <row r="175" spans="2:9" x14ac:dyDescent="0.25">
      <c r="B175" s="13"/>
      <c r="C175" s="13"/>
      <c r="D175" s="14"/>
      <c r="E175" s="14"/>
      <c r="F175" s="77"/>
      <c r="G175" s="14"/>
      <c r="H175" s="14"/>
      <c r="I175" s="77"/>
    </row>
    <row r="176" spans="2:9" x14ac:dyDescent="0.25">
      <c r="B176" s="13"/>
      <c r="C176" s="13"/>
      <c r="D176" s="14"/>
      <c r="E176" s="14"/>
      <c r="F176" s="77"/>
      <c r="G176" s="14"/>
      <c r="H176" s="14"/>
      <c r="I176" s="77"/>
    </row>
    <row r="177" spans="2:9" x14ac:dyDescent="0.25">
      <c r="B177" s="13"/>
      <c r="C177" s="13"/>
      <c r="D177" s="14"/>
      <c r="E177" s="14"/>
      <c r="F177" s="77"/>
      <c r="G177" s="14"/>
      <c r="H177" s="14"/>
      <c r="I177" s="77"/>
    </row>
    <row r="178" spans="2:9" x14ac:dyDescent="0.25">
      <c r="B178" s="13"/>
      <c r="C178" s="13"/>
      <c r="D178" s="14"/>
      <c r="E178" s="14"/>
      <c r="F178" s="77"/>
      <c r="G178" s="14"/>
      <c r="H178" s="14"/>
      <c r="I178" s="77"/>
    </row>
    <row r="179" spans="2:9" x14ac:dyDescent="0.25">
      <c r="B179" s="13"/>
      <c r="C179" s="13"/>
      <c r="D179" s="14"/>
      <c r="E179" s="14"/>
      <c r="F179" s="77"/>
      <c r="G179" s="14"/>
      <c r="H179" s="14"/>
      <c r="I179" s="77"/>
    </row>
    <row r="180" spans="2:9" x14ac:dyDescent="0.25">
      <c r="B180" s="13"/>
      <c r="C180" s="13"/>
      <c r="D180" s="14"/>
      <c r="E180" s="14"/>
      <c r="F180" s="77"/>
      <c r="G180" s="14"/>
      <c r="H180" s="14"/>
      <c r="I180" s="77"/>
    </row>
    <row r="181" spans="2:9" x14ac:dyDescent="0.25">
      <c r="B181" s="13"/>
      <c r="C181" s="13"/>
      <c r="D181" s="14"/>
      <c r="E181" s="14"/>
      <c r="F181" s="77"/>
      <c r="G181" s="14"/>
      <c r="H181" s="14"/>
      <c r="I181" s="77"/>
    </row>
    <row r="182" spans="2:9" x14ac:dyDescent="0.25">
      <c r="B182" s="13"/>
      <c r="C182" s="13"/>
      <c r="D182" s="14"/>
      <c r="E182" s="14"/>
      <c r="F182" s="77"/>
      <c r="G182" s="14"/>
      <c r="H182" s="14"/>
      <c r="I182" s="77"/>
    </row>
    <row r="183" spans="2:9" x14ac:dyDescent="0.25">
      <c r="B183" s="13"/>
      <c r="C183" s="13"/>
      <c r="D183" s="14"/>
      <c r="E183" s="14"/>
      <c r="F183" s="77"/>
      <c r="G183" s="14"/>
      <c r="H183" s="14"/>
      <c r="I183" s="77"/>
    </row>
    <row r="184" spans="2:9" x14ac:dyDescent="0.25">
      <c r="B184" s="13"/>
      <c r="C184" s="13"/>
      <c r="D184" s="14"/>
      <c r="E184" s="14"/>
      <c r="F184" s="77"/>
      <c r="G184" s="14"/>
      <c r="H184" s="14"/>
      <c r="I184" s="77"/>
    </row>
    <row r="185" spans="2:9" x14ac:dyDescent="0.25">
      <c r="B185" s="13"/>
      <c r="C185" s="13"/>
      <c r="D185" s="14"/>
      <c r="E185" s="14"/>
      <c r="F185" s="77"/>
      <c r="G185" s="14"/>
      <c r="H185" s="14"/>
      <c r="I185" s="77"/>
    </row>
    <row r="186" spans="2:9" x14ac:dyDescent="0.25">
      <c r="B186" s="13"/>
      <c r="C186" s="13"/>
      <c r="D186" s="14"/>
      <c r="E186" s="14"/>
      <c r="F186" s="77"/>
      <c r="G186" s="14"/>
      <c r="H186" s="14"/>
      <c r="I186" s="77"/>
    </row>
    <row r="187" spans="2:9" x14ac:dyDescent="0.25">
      <c r="B187" s="13"/>
      <c r="C187" s="13"/>
      <c r="D187" s="14"/>
      <c r="E187" s="14"/>
      <c r="F187" s="77"/>
      <c r="G187" s="14"/>
      <c r="H187" s="14"/>
      <c r="I187" s="77"/>
    </row>
    <row r="188" spans="2:9" x14ac:dyDescent="0.25">
      <c r="B188" s="13"/>
      <c r="C188" s="13"/>
      <c r="D188" s="14"/>
      <c r="E188" s="14"/>
      <c r="F188" s="77"/>
      <c r="G188" s="14"/>
      <c r="H188" s="14"/>
      <c r="I188" s="77"/>
    </row>
    <row r="189" spans="2:9" x14ac:dyDescent="0.25">
      <c r="B189" s="13"/>
      <c r="C189" s="13"/>
      <c r="D189" s="14"/>
      <c r="E189" s="14"/>
      <c r="F189" s="77"/>
      <c r="G189" s="14"/>
      <c r="H189" s="14"/>
      <c r="I189" s="77"/>
    </row>
    <row r="190" spans="2:9" x14ac:dyDescent="0.25">
      <c r="B190" s="13"/>
      <c r="C190" s="13"/>
      <c r="D190" s="14"/>
      <c r="E190" s="14"/>
      <c r="F190" s="77"/>
      <c r="G190" s="14"/>
      <c r="H190" s="14"/>
      <c r="I190" s="77"/>
    </row>
    <row r="191" spans="2:9" x14ac:dyDescent="0.25">
      <c r="B191" s="13"/>
      <c r="C191" s="13"/>
      <c r="D191" s="14"/>
      <c r="E191" s="14"/>
      <c r="F191" s="77"/>
      <c r="G191" s="14"/>
      <c r="H191" s="14"/>
      <c r="I191" s="77"/>
    </row>
    <row r="192" spans="2:9" x14ac:dyDescent="0.25">
      <c r="B192" s="13"/>
      <c r="C192" s="13"/>
      <c r="D192" s="14"/>
      <c r="E192" s="14"/>
      <c r="F192" s="77"/>
      <c r="G192" s="14"/>
      <c r="H192" s="14"/>
      <c r="I192" s="77"/>
    </row>
    <row r="193" spans="2:9" x14ac:dyDescent="0.25">
      <c r="B193" s="13"/>
      <c r="C193" s="13"/>
      <c r="D193" s="14"/>
      <c r="E193" s="14"/>
      <c r="F193" s="77"/>
      <c r="G193" s="14"/>
      <c r="H193" s="14"/>
      <c r="I193" s="77"/>
    </row>
    <row r="194" spans="2:9" x14ac:dyDescent="0.25">
      <c r="B194" s="13"/>
      <c r="C194" s="13"/>
      <c r="D194" s="14"/>
      <c r="E194" s="14"/>
      <c r="F194" s="77"/>
      <c r="G194" s="14"/>
      <c r="H194" s="14"/>
      <c r="I194" s="77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8402777777777781" right="0.31319444444444444" top="0.59027777777777779" bottom="0.51180555555555551" header="0.51180555555555551" footer="0.31527777777777777"/>
  <pageSetup paperSize="9" scale="56" firstPageNumber="0" orientation="portrait" horizontalDpi="300" verticalDpi="300" r:id="rId1"/>
  <headerFooter alignWithMargins="0">
    <oddFooter>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I2" sqref="I2"/>
    </sheetView>
  </sheetViews>
  <sheetFormatPr defaultColWidth="11.5703125" defaultRowHeight="15.75" x14ac:dyDescent="0.25"/>
  <cols>
    <col min="1" max="1" width="11" style="30" customWidth="1"/>
    <col min="2" max="2" width="72.5703125" style="30" customWidth="1"/>
    <col min="3" max="3" width="10.28515625" style="30" customWidth="1"/>
    <col min="4" max="5" width="14.7109375" style="30" customWidth="1"/>
    <col min="6" max="6" width="14.7109375" style="31" customWidth="1"/>
    <col min="7" max="7" width="14.42578125" style="30" customWidth="1"/>
    <col min="8" max="8" width="12.42578125" style="30" customWidth="1"/>
    <col min="9" max="9" width="14.5703125" style="31" customWidth="1"/>
    <col min="10" max="252" width="9.140625" style="30" customWidth="1"/>
  </cols>
  <sheetData>
    <row r="1" spans="2:9" s="13" customFormat="1" x14ac:dyDescent="0.25">
      <c r="I1" s="15" t="s">
        <v>633</v>
      </c>
    </row>
    <row r="2" spans="2:9" s="13" customFormat="1" ht="20.25" x14ac:dyDescent="0.3">
      <c r="B2" s="217" t="s">
        <v>6</v>
      </c>
      <c r="I2" s="16" t="s">
        <v>919</v>
      </c>
    </row>
    <row r="3" spans="2:9" s="13" customFormat="1" x14ac:dyDescent="0.25">
      <c r="B3" s="43" t="s">
        <v>858</v>
      </c>
      <c r="C3" s="36"/>
      <c r="D3" s="36"/>
      <c r="E3" s="36"/>
      <c r="F3" s="37"/>
      <c r="G3" s="36"/>
      <c r="H3" s="36"/>
      <c r="I3" s="37"/>
    </row>
    <row r="4" spans="2:9" s="13" customFormat="1" x14ac:dyDescent="0.25">
      <c r="B4" s="41" t="s">
        <v>822</v>
      </c>
      <c r="C4" s="42"/>
      <c r="D4" s="42"/>
      <c r="E4" s="42"/>
      <c r="F4" s="43"/>
      <c r="G4" s="42"/>
      <c r="H4" s="42"/>
      <c r="I4" s="43"/>
    </row>
    <row r="5" spans="2:9" ht="15.75" customHeight="1" x14ac:dyDescent="0.25">
      <c r="B5" s="46"/>
      <c r="D5" s="494" t="s">
        <v>10</v>
      </c>
      <c r="E5" s="494"/>
      <c r="F5" s="494"/>
      <c r="G5" s="494" t="s">
        <v>11</v>
      </c>
      <c r="H5" s="494"/>
      <c r="I5" s="494"/>
    </row>
    <row r="6" spans="2:9" ht="47.25" x14ac:dyDescent="0.25">
      <c r="B6" s="19" t="s">
        <v>12</v>
      </c>
      <c r="C6" s="47" t="s">
        <v>38</v>
      </c>
      <c r="D6" s="48" t="s">
        <v>13</v>
      </c>
      <c r="E6" s="48" t="s">
        <v>14</v>
      </c>
      <c r="F6" s="47" t="s">
        <v>543</v>
      </c>
      <c r="G6" s="48" t="s">
        <v>13</v>
      </c>
      <c r="H6" s="48" t="s">
        <v>14</v>
      </c>
      <c r="I6" s="47" t="s">
        <v>543</v>
      </c>
    </row>
    <row r="7" spans="2:9" x14ac:dyDescent="0.25">
      <c r="B7" s="51" t="s">
        <v>39</v>
      </c>
      <c r="C7" s="52" t="s">
        <v>40</v>
      </c>
      <c r="D7" s="24">
        <v>316285256</v>
      </c>
      <c r="E7" s="24">
        <v>597200</v>
      </c>
      <c r="F7" s="25">
        <f>+D7+E7</f>
        <v>316882456</v>
      </c>
      <c r="G7" s="24">
        <f>308740235-H7</f>
        <v>308143035</v>
      </c>
      <c r="H7" s="24">
        <v>597200</v>
      </c>
      <c r="I7" s="25">
        <f>+G7+H7</f>
        <v>308740235</v>
      </c>
    </row>
    <row r="8" spans="2:9" x14ac:dyDescent="0.25">
      <c r="B8" s="53" t="s">
        <v>41</v>
      </c>
      <c r="C8" s="52" t="s">
        <v>42</v>
      </c>
      <c r="D8" s="24">
        <v>1605000</v>
      </c>
      <c r="E8" s="24"/>
      <c r="F8" s="25">
        <f>+D8+E8</f>
        <v>1605000</v>
      </c>
      <c r="G8" s="24">
        <v>2668750</v>
      </c>
      <c r="H8" s="24"/>
      <c r="I8" s="25">
        <f>+G8+H8</f>
        <v>2668750</v>
      </c>
    </row>
    <row r="9" spans="2:9" x14ac:dyDescent="0.25">
      <c r="B9" s="54" t="s">
        <v>43</v>
      </c>
      <c r="C9" s="55" t="s">
        <v>44</v>
      </c>
      <c r="D9" s="25">
        <f t="shared" ref="D9:I9" si="0">SUM(D7:D8)</f>
        <v>317890256</v>
      </c>
      <c r="E9" s="25">
        <f t="shared" si="0"/>
        <v>597200</v>
      </c>
      <c r="F9" s="25">
        <f t="shared" si="0"/>
        <v>318487456</v>
      </c>
      <c r="G9" s="25">
        <f>SUM(G7:G8)</f>
        <v>310811785</v>
      </c>
      <c r="H9" s="25">
        <f>SUM(H7:H8)</f>
        <v>597200</v>
      </c>
      <c r="I9" s="25">
        <f t="shared" si="0"/>
        <v>311408985</v>
      </c>
    </row>
    <row r="10" spans="2:9" x14ac:dyDescent="0.25">
      <c r="B10" s="56" t="s">
        <v>45</v>
      </c>
      <c r="C10" s="55" t="s">
        <v>46</v>
      </c>
      <c r="D10" s="24">
        <v>59355683</v>
      </c>
      <c r="E10" s="24">
        <v>102800</v>
      </c>
      <c r="F10" s="25">
        <f t="shared" ref="F10:F15" si="1">+D10+E10</f>
        <v>59458483</v>
      </c>
      <c r="G10" s="24">
        <f>58188177-H10</f>
        <v>58085377</v>
      </c>
      <c r="H10" s="24">
        <v>102800</v>
      </c>
      <c r="I10" s="25">
        <f t="shared" ref="I10:I15" si="2">+G10+H10</f>
        <v>58188177</v>
      </c>
    </row>
    <row r="11" spans="2:9" x14ac:dyDescent="0.25">
      <c r="B11" s="53" t="s">
        <v>47</v>
      </c>
      <c r="C11" s="52" t="s">
        <v>48</v>
      </c>
      <c r="D11" s="24">
        <v>92245433</v>
      </c>
      <c r="E11" s="24"/>
      <c r="F11" s="25">
        <f t="shared" si="1"/>
        <v>92245433</v>
      </c>
      <c r="G11" s="24">
        <v>103987433</v>
      </c>
      <c r="H11" s="24"/>
      <c r="I11" s="25">
        <f t="shared" si="2"/>
        <v>103987433</v>
      </c>
    </row>
    <row r="12" spans="2:9" x14ac:dyDescent="0.25">
      <c r="B12" s="53" t="s">
        <v>49</v>
      </c>
      <c r="C12" s="52" t="s">
        <v>50</v>
      </c>
      <c r="D12" s="24">
        <v>1168760</v>
      </c>
      <c r="E12" s="24"/>
      <c r="F12" s="25">
        <f t="shared" si="1"/>
        <v>1168760</v>
      </c>
      <c r="G12" s="24">
        <v>1168760</v>
      </c>
      <c r="H12" s="24"/>
      <c r="I12" s="25">
        <f t="shared" si="2"/>
        <v>1168760</v>
      </c>
    </row>
    <row r="13" spans="2:9" x14ac:dyDescent="0.25">
      <c r="B13" s="53" t="s">
        <v>51</v>
      </c>
      <c r="C13" s="52" t="s">
        <v>52</v>
      </c>
      <c r="D13" s="24">
        <v>29329524</v>
      </c>
      <c r="E13" s="24"/>
      <c r="F13" s="25">
        <f t="shared" si="1"/>
        <v>29329524</v>
      </c>
      <c r="G13" s="24">
        <v>29267230</v>
      </c>
      <c r="H13" s="24"/>
      <c r="I13" s="25">
        <f t="shared" si="2"/>
        <v>29267230</v>
      </c>
    </row>
    <row r="14" spans="2:9" x14ac:dyDescent="0.25">
      <c r="B14" s="53" t="s">
        <v>53</v>
      </c>
      <c r="C14" s="52" t="s">
        <v>54</v>
      </c>
      <c r="D14" s="24">
        <v>190000</v>
      </c>
      <c r="E14" s="24"/>
      <c r="F14" s="25">
        <f t="shared" si="1"/>
        <v>190000</v>
      </c>
      <c r="G14" s="24">
        <v>190000</v>
      </c>
      <c r="H14" s="24"/>
      <c r="I14" s="25">
        <f t="shared" si="2"/>
        <v>190000</v>
      </c>
    </row>
    <row r="15" spans="2:9" x14ac:dyDescent="0.25">
      <c r="B15" s="53" t="s">
        <v>55</v>
      </c>
      <c r="C15" s="52" t="s">
        <v>56</v>
      </c>
      <c r="D15" s="24">
        <v>32565573</v>
      </c>
      <c r="E15" s="24"/>
      <c r="F15" s="25">
        <f t="shared" si="1"/>
        <v>32565573</v>
      </c>
      <c r="G15" s="24">
        <v>34115075</v>
      </c>
      <c r="H15" s="24"/>
      <c r="I15" s="25">
        <f t="shared" si="2"/>
        <v>34115075</v>
      </c>
    </row>
    <row r="16" spans="2:9" x14ac:dyDescent="0.25">
      <c r="B16" s="56" t="s">
        <v>57</v>
      </c>
      <c r="C16" s="55" t="s">
        <v>58</v>
      </c>
      <c r="D16" s="25">
        <f t="shared" ref="D16:I16" si="3">SUM(D11:D15)</f>
        <v>155499290</v>
      </c>
      <c r="E16" s="25">
        <f t="shared" si="3"/>
        <v>0</v>
      </c>
      <c r="F16" s="25">
        <f t="shared" si="3"/>
        <v>155499290</v>
      </c>
      <c r="G16" s="25">
        <f>SUM(G11:G15)</f>
        <v>168728498</v>
      </c>
      <c r="H16" s="25">
        <f>SUM(H11:H15)</f>
        <v>0</v>
      </c>
      <c r="I16" s="25">
        <f t="shared" si="3"/>
        <v>168728498</v>
      </c>
    </row>
    <row r="17" spans="2:9" x14ac:dyDescent="0.25">
      <c r="B17" s="57" t="s">
        <v>59</v>
      </c>
      <c r="C17" s="55" t="s">
        <v>60</v>
      </c>
      <c r="D17" s="24"/>
      <c r="E17" s="24"/>
      <c r="F17" s="25">
        <f t="shared" ref="F17:F31" si="4">+D17+E17</f>
        <v>0</v>
      </c>
      <c r="G17" s="24"/>
      <c r="H17" s="24"/>
      <c r="I17" s="25">
        <f t="shared" ref="I17:I31" si="5">+G17+H17</f>
        <v>0</v>
      </c>
    </row>
    <row r="18" spans="2:9" hidden="1" x14ac:dyDescent="0.25">
      <c r="B18" s="58" t="s">
        <v>61</v>
      </c>
      <c r="C18" s="52" t="s">
        <v>62</v>
      </c>
      <c r="D18" s="24"/>
      <c r="E18" s="24"/>
      <c r="F18" s="25">
        <f t="shared" si="4"/>
        <v>0</v>
      </c>
      <c r="G18" s="24"/>
      <c r="H18" s="24"/>
      <c r="I18" s="25">
        <f t="shared" si="5"/>
        <v>0</v>
      </c>
    </row>
    <row r="19" spans="2:9" hidden="1" x14ac:dyDescent="0.25">
      <c r="B19" s="58" t="s">
        <v>63</v>
      </c>
      <c r="C19" s="52" t="s">
        <v>64</v>
      </c>
      <c r="D19" s="24"/>
      <c r="E19" s="24"/>
      <c r="F19" s="25">
        <f t="shared" si="4"/>
        <v>0</v>
      </c>
      <c r="G19" s="24"/>
      <c r="H19" s="24"/>
      <c r="I19" s="25">
        <f t="shared" si="5"/>
        <v>0</v>
      </c>
    </row>
    <row r="20" spans="2:9" hidden="1" x14ac:dyDescent="0.25">
      <c r="B20" s="58" t="s">
        <v>65</v>
      </c>
      <c r="C20" s="52" t="s">
        <v>66</v>
      </c>
      <c r="D20" s="24"/>
      <c r="E20" s="24"/>
      <c r="F20" s="25">
        <f t="shared" si="4"/>
        <v>0</v>
      </c>
      <c r="G20" s="24"/>
      <c r="H20" s="24"/>
      <c r="I20" s="25">
        <f t="shared" si="5"/>
        <v>0</v>
      </c>
    </row>
    <row r="21" spans="2:9" hidden="1" x14ac:dyDescent="0.25">
      <c r="B21" s="58" t="s">
        <v>67</v>
      </c>
      <c r="C21" s="52" t="s">
        <v>68</v>
      </c>
      <c r="D21" s="24"/>
      <c r="E21" s="24"/>
      <c r="F21" s="25">
        <f t="shared" si="4"/>
        <v>0</v>
      </c>
      <c r="G21" s="24"/>
      <c r="H21" s="24"/>
      <c r="I21" s="25">
        <f t="shared" si="5"/>
        <v>0</v>
      </c>
    </row>
    <row r="22" spans="2:9" hidden="1" x14ac:dyDescent="0.25">
      <c r="B22" s="58" t="s">
        <v>618</v>
      </c>
      <c r="C22" s="52" t="s">
        <v>70</v>
      </c>
      <c r="D22" s="24"/>
      <c r="E22" s="24"/>
      <c r="F22" s="25">
        <f t="shared" si="4"/>
        <v>0</v>
      </c>
      <c r="G22" s="24"/>
      <c r="H22" s="24"/>
      <c r="I22" s="25">
        <f t="shared" si="5"/>
        <v>0</v>
      </c>
    </row>
    <row r="23" spans="2:9" hidden="1" x14ac:dyDescent="0.25">
      <c r="B23" s="58" t="s">
        <v>71</v>
      </c>
      <c r="C23" s="52" t="s">
        <v>72</v>
      </c>
      <c r="D23" s="24"/>
      <c r="E23" s="24"/>
      <c r="F23" s="25">
        <f t="shared" si="4"/>
        <v>0</v>
      </c>
      <c r="G23" s="24"/>
      <c r="H23" s="24"/>
      <c r="I23" s="25">
        <f t="shared" si="5"/>
        <v>0</v>
      </c>
    </row>
    <row r="24" spans="2:9" hidden="1" x14ac:dyDescent="0.25">
      <c r="B24" s="58" t="s">
        <v>73</v>
      </c>
      <c r="C24" s="52" t="s">
        <v>74</v>
      </c>
      <c r="D24" s="24"/>
      <c r="E24" s="24"/>
      <c r="F24" s="25">
        <f t="shared" si="4"/>
        <v>0</v>
      </c>
      <c r="G24" s="24"/>
      <c r="H24" s="24"/>
      <c r="I24" s="25">
        <f t="shared" si="5"/>
        <v>0</v>
      </c>
    </row>
    <row r="25" spans="2:9" hidden="1" x14ac:dyDescent="0.25">
      <c r="B25" s="58" t="s">
        <v>75</v>
      </c>
      <c r="C25" s="52" t="s">
        <v>76</v>
      </c>
      <c r="D25" s="24"/>
      <c r="E25" s="24"/>
      <c r="F25" s="25">
        <f t="shared" si="4"/>
        <v>0</v>
      </c>
      <c r="G25" s="24"/>
      <c r="H25" s="24"/>
      <c r="I25" s="25">
        <f t="shared" si="5"/>
        <v>0</v>
      </c>
    </row>
    <row r="26" spans="2:9" hidden="1" x14ac:dyDescent="0.25">
      <c r="B26" s="58" t="s">
        <v>77</v>
      </c>
      <c r="C26" s="52" t="s">
        <v>78</v>
      </c>
      <c r="D26" s="24"/>
      <c r="E26" s="24"/>
      <c r="F26" s="25">
        <f t="shared" si="4"/>
        <v>0</v>
      </c>
      <c r="G26" s="24"/>
      <c r="H26" s="24"/>
      <c r="I26" s="25">
        <f t="shared" si="5"/>
        <v>0</v>
      </c>
    </row>
    <row r="27" spans="2:9" hidden="1" x14ac:dyDescent="0.25">
      <c r="B27" s="59" t="s">
        <v>79</v>
      </c>
      <c r="C27" s="52" t="s">
        <v>80</v>
      </c>
      <c r="D27" s="24"/>
      <c r="E27" s="24"/>
      <c r="F27" s="25">
        <f t="shared" si="4"/>
        <v>0</v>
      </c>
      <c r="G27" s="24"/>
      <c r="H27" s="24"/>
      <c r="I27" s="25">
        <f t="shared" si="5"/>
        <v>0</v>
      </c>
    </row>
    <row r="28" spans="2:9" hidden="1" x14ac:dyDescent="0.25">
      <c r="B28" s="59" t="s">
        <v>619</v>
      </c>
      <c r="C28" s="52" t="s">
        <v>82</v>
      </c>
      <c r="D28" s="24"/>
      <c r="E28" s="24"/>
      <c r="F28" s="25">
        <f t="shared" si="4"/>
        <v>0</v>
      </c>
      <c r="G28" s="24"/>
      <c r="H28" s="24"/>
      <c r="I28" s="25">
        <f t="shared" si="5"/>
        <v>0</v>
      </c>
    </row>
    <row r="29" spans="2:9" hidden="1" x14ac:dyDescent="0.25">
      <c r="B29" s="58" t="s">
        <v>83</v>
      </c>
      <c r="C29" s="52" t="s">
        <v>84</v>
      </c>
      <c r="D29" s="24"/>
      <c r="E29" s="24"/>
      <c r="F29" s="25">
        <f t="shared" si="4"/>
        <v>0</v>
      </c>
      <c r="G29" s="24"/>
      <c r="H29" s="24"/>
      <c r="I29" s="25">
        <f t="shared" si="5"/>
        <v>0</v>
      </c>
    </row>
    <row r="30" spans="2:9" hidden="1" x14ac:dyDescent="0.25">
      <c r="B30" s="59" t="s">
        <v>85</v>
      </c>
      <c r="C30" s="52" t="s">
        <v>86</v>
      </c>
      <c r="D30" s="24"/>
      <c r="E30" s="24"/>
      <c r="F30" s="25">
        <f t="shared" si="4"/>
        <v>0</v>
      </c>
      <c r="G30" s="24"/>
      <c r="H30" s="24"/>
      <c r="I30" s="25">
        <f t="shared" si="5"/>
        <v>0</v>
      </c>
    </row>
    <row r="31" spans="2:9" hidden="1" x14ac:dyDescent="0.25">
      <c r="B31" s="59" t="s">
        <v>87</v>
      </c>
      <c r="C31" s="52" t="s">
        <v>86</v>
      </c>
      <c r="D31" s="24"/>
      <c r="E31" s="24"/>
      <c r="F31" s="25">
        <f t="shared" si="4"/>
        <v>0</v>
      </c>
      <c r="G31" s="24"/>
      <c r="H31" s="24"/>
      <c r="I31" s="25">
        <f t="shared" si="5"/>
        <v>0</v>
      </c>
    </row>
    <row r="32" spans="2:9" s="31" customFormat="1" x14ac:dyDescent="0.25">
      <c r="B32" s="57" t="s">
        <v>88</v>
      </c>
      <c r="C32" s="55" t="s">
        <v>89</v>
      </c>
      <c r="D32" s="25">
        <f t="shared" ref="D32:I32" si="6">SUM(D18:D31)</f>
        <v>0</v>
      </c>
      <c r="E32" s="25">
        <f t="shared" si="6"/>
        <v>0</v>
      </c>
      <c r="F32" s="25">
        <f t="shared" si="6"/>
        <v>0</v>
      </c>
      <c r="G32" s="25">
        <f>SUM(G18:G31)</f>
        <v>0</v>
      </c>
      <c r="H32" s="25">
        <f>SUM(H18:H31)</f>
        <v>0</v>
      </c>
      <c r="I32" s="25">
        <f t="shared" si="6"/>
        <v>0</v>
      </c>
    </row>
    <row r="33" spans="2:9" x14ac:dyDescent="0.25">
      <c r="B33" s="60" t="s">
        <v>90</v>
      </c>
      <c r="C33" s="61" t="s">
        <v>91</v>
      </c>
      <c r="D33" s="62">
        <f t="shared" ref="D33:I33" si="7">+D32+D17+D16+D10+D9</f>
        <v>532745229</v>
      </c>
      <c r="E33" s="62">
        <f t="shared" si="7"/>
        <v>700000</v>
      </c>
      <c r="F33" s="62">
        <f t="shared" si="7"/>
        <v>533445229</v>
      </c>
      <c r="G33" s="62">
        <f>+G32+G17+G16+G10+G9</f>
        <v>537625660</v>
      </c>
      <c r="H33" s="62">
        <f>+H32+H17+H16+H10+H9</f>
        <v>700000</v>
      </c>
      <c r="I33" s="62">
        <f t="shared" si="7"/>
        <v>538325660</v>
      </c>
    </row>
    <row r="34" spans="2:9" x14ac:dyDescent="0.25">
      <c r="B34" s="63" t="s">
        <v>92</v>
      </c>
      <c r="C34" s="52" t="s">
        <v>93</v>
      </c>
      <c r="D34" s="24">
        <v>0</v>
      </c>
      <c r="E34" s="24"/>
      <c r="F34" s="25">
        <f t="shared" ref="F34:F40" si="8">+D34+E34</f>
        <v>0</v>
      </c>
      <c r="G34" s="24">
        <v>0</v>
      </c>
      <c r="H34" s="24"/>
      <c r="I34" s="25">
        <f t="shared" ref="I34:I40" si="9">+G34+H34</f>
        <v>0</v>
      </c>
    </row>
    <row r="35" spans="2:9" x14ac:dyDescent="0.25">
      <c r="B35" s="63" t="s">
        <v>94</v>
      </c>
      <c r="C35" s="52" t="s">
        <v>95</v>
      </c>
      <c r="D35" s="24"/>
      <c r="E35" s="24"/>
      <c r="F35" s="25">
        <f t="shared" si="8"/>
        <v>0</v>
      </c>
      <c r="G35" s="24"/>
      <c r="H35" s="24"/>
      <c r="I35" s="25">
        <f t="shared" si="9"/>
        <v>0</v>
      </c>
    </row>
    <row r="36" spans="2:9" x14ac:dyDescent="0.25">
      <c r="B36" s="63" t="s">
        <v>96</v>
      </c>
      <c r="C36" s="52" t="s">
        <v>97</v>
      </c>
      <c r="D36" s="24">
        <v>826771</v>
      </c>
      <c r="E36" s="24"/>
      <c r="F36" s="25">
        <f t="shared" si="8"/>
        <v>826771</v>
      </c>
      <c r="G36" s="24">
        <v>243771</v>
      </c>
      <c r="H36" s="24"/>
      <c r="I36" s="25">
        <f t="shared" si="9"/>
        <v>243771</v>
      </c>
    </row>
    <row r="37" spans="2:9" x14ac:dyDescent="0.25">
      <c r="B37" s="63" t="s">
        <v>98</v>
      </c>
      <c r="C37" s="52" t="s">
        <v>99</v>
      </c>
      <c r="D37" s="24">
        <v>2121615</v>
      </c>
      <c r="E37" s="24"/>
      <c r="F37" s="25">
        <f t="shared" si="8"/>
        <v>2121615</v>
      </c>
      <c r="G37" s="24">
        <v>1231425</v>
      </c>
      <c r="H37" s="24"/>
      <c r="I37" s="25">
        <f t="shared" si="9"/>
        <v>1231425</v>
      </c>
    </row>
    <row r="38" spans="2:9" hidden="1" x14ac:dyDescent="0.25">
      <c r="B38" s="64" t="s">
        <v>100</v>
      </c>
      <c r="C38" s="52" t="s">
        <v>101</v>
      </c>
      <c r="D38" s="24"/>
      <c r="E38" s="24"/>
      <c r="F38" s="25">
        <f t="shared" si="8"/>
        <v>0</v>
      </c>
      <c r="G38" s="24"/>
      <c r="H38" s="24"/>
      <c r="I38" s="25">
        <f t="shared" si="9"/>
        <v>0</v>
      </c>
    </row>
    <row r="39" spans="2:9" hidden="1" x14ac:dyDescent="0.25">
      <c r="B39" s="64" t="s">
        <v>102</v>
      </c>
      <c r="C39" s="52" t="s">
        <v>103</v>
      </c>
      <c r="D39" s="24"/>
      <c r="E39" s="24"/>
      <c r="F39" s="25">
        <f t="shared" si="8"/>
        <v>0</v>
      </c>
      <c r="G39" s="24"/>
      <c r="H39" s="24"/>
      <c r="I39" s="25">
        <f t="shared" si="9"/>
        <v>0</v>
      </c>
    </row>
    <row r="40" spans="2:9" x14ac:dyDescent="0.25">
      <c r="B40" s="64" t="s">
        <v>104</v>
      </c>
      <c r="C40" s="52" t="s">
        <v>105</v>
      </c>
      <c r="D40" s="24">
        <v>786614</v>
      </c>
      <c r="E40" s="24"/>
      <c r="F40" s="25">
        <f t="shared" si="8"/>
        <v>786614</v>
      </c>
      <c r="G40" s="24">
        <v>355852</v>
      </c>
      <c r="H40" s="24"/>
      <c r="I40" s="25">
        <f t="shared" si="9"/>
        <v>355852</v>
      </c>
    </row>
    <row r="41" spans="2:9" s="31" customFormat="1" x14ac:dyDescent="0.25">
      <c r="B41" s="65" t="s">
        <v>106</v>
      </c>
      <c r="C41" s="55" t="s">
        <v>107</v>
      </c>
      <c r="D41" s="25">
        <f t="shared" ref="D41:I41" si="10">SUM(D34:D40)</f>
        <v>3735000</v>
      </c>
      <c r="E41" s="25">
        <f t="shared" si="10"/>
        <v>0</v>
      </c>
      <c r="F41" s="25">
        <f t="shared" si="10"/>
        <v>3735000</v>
      </c>
      <c r="G41" s="25">
        <f>SUM(G34:G40)</f>
        <v>1831048</v>
      </c>
      <c r="H41" s="25">
        <f>SUM(H34:H40)</f>
        <v>0</v>
      </c>
      <c r="I41" s="25">
        <f t="shared" si="10"/>
        <v>1831048</v>
      </c>
    </row>
    <row r="42" spans="2:9" x14ac:dyDescent="0.25">
      <c r="B42" s="66" t="s">
        <v>108</v>
      </c>
      <c r="C42" s="52" t="s">
        <v>109</v>
      </c>
      <c r="D42" s="24"/>
      <c r="E42" s="24"/>
      <c r="F42" s="25">
        <f>+D42+E42</f>
        <v>0</v>
      </c>
      <c r="G42" s="24"/>
      <c r="H42" s="24"/>
      <c r="I42" s="25">
        <f>+G42+H42</f>
        <v>0</v>
      </c>
    </row>
    <row r="43" spans="2:9" x14ac:dyDescent="0.25">
      <c r="B43" s="66" t="s">
        <v>110</v>
      </c>
      <c r="C43" s="52" t="s">
        <v>111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6" t="s">
        <v>112</v>
      </c>
      <c r="C44" s="52" t="s">
        <v>113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6" t="s">
        <v>114</v>
      </c>
      <c r="C45" s="52" t="s">
        <v>115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6" t="s">
        <v>116</v>
      </c>
      <c r="C46" s="55" t="s">
        <v>117</v>
      </c>
      <c r="D46" s="25">
        <f t="shared" ref="D46:I46" si="11">SUM(D42:D45)</f>
        <v>0</v>
      </c>
      <c r="E46" s="25">
        <f t="shared" si="11"/>
        <v>0</v>
      </c>
      <c r="F46" s="25">
        <f t="shared" si="11"/>
        <v>0</v>
      </c>
      <c r="G46" s="25">
        <f t="shared" si="11"/>
        <v>0</v>
      </c>
      <c r="H46" s="25">
        <f t="shared" si="11"/>
        <v>0</v>
      </c>
      <c r="I46" s="25">
        <f t="shared" si="11"/>
        <v>0</v>
      </c>
    </row>
    <row r="47" spans="2:9" hidden="1" x14ac:dyDescent="0.25">
      <c r="B47" s="66" t="s">
        <v>620</v>
      </c>
      <c r="C47" s="52" t="s">
        <v>119</v>
      </c>
      <c r="D47" s="24"/>
      <c r="E47" s="24"/>
      <c r="F47" s="25">
        <f t="shared" ref="F47:F55" si="12">+D47+E47</f>
        <v>0</v>
      </c>
      <c r="G47" s="24"/>
      <c r="H47" s="24"/>
      <c r="I47" s="25">
        <f t="shared" ref="I47:I55" si="13">+G47+H47</f>
        <v>0</v>
      </c>
    </row>
    <row r="48" spans="2:9" hidden="1" x14ac:dyDescent="0.25">
      <c r="B48" s="66" t="s">
        <v>621</v>
      </c>
      <c r="C48" s="52" t="s">
        <v>121</v>
      </c>
      <c r="D48" s="24"/>
      <c r="E48" s="24"/>
      <c r="F48" s="25">
        <f t="shared" si="12"/>
        <v>0</v>
      </c>
      <c r="G48" s="24"/>
      <c r="H48" s="24"/>
      <c r="I48" s="25">
        <f t="shared" si="13"/>
        <v>0</v>
      </c>
    </row>
    <row r="49" spans="2:16" hidden="1" x14ac:dyDescent="0.25">
      <c r="B49" s="66" t="s">
        <v>122</v>
      </c>
      <c r="C49" s="52" t="s">
        <v>123</v>
      </c>
      <c r="D49" s="24"/>
      <c r="E49" s="24"/>
      <c r="F49" s="25">
        <f t="shared" si="12"/>
        <v>0</v>
      </c>
      <c r="G49" s="24"/>
      <c r="H49" s="24"/>
      <c r="I49" s="25">
        <f t="shared" si="13"/>
        <v>0</v>
      </c>
    </row>
    <row r="50" spans="2:16" hidden="1" x14ac:dyDescent="0.25">
      <c r="B50" s="66" t="s">
        <v>124</v>
      </c>
      <c r="C50" s="52" t="s">
        <v>125</v>
      </c>
      <c r="D50" s="24"/>
      <c r="E50" s="24"/>
      <c r="F50" s="25">
        <f t="shared" si="12"/>
        <v>0</v>
      </c>
      <c r="G50" s="24"/>
      <c r="H50" s="24"/>
      <c r="I50" s="25">
        <f t="shared" si="13"/>
        <v>0</v>
      </c>
    </row>
    <row r="51" spans="2:16" hidden="1" x14ac:dyDescent="0.25">
      <c r="B51" s="66" t="s">
        <v>126</v>
      </c>
      <c r="C51" s="52" t="s">
        <v>127</v>
      </c>
      <c r="D51" s="24"/>
      <c r="E51" s="24"/>
      <c r="F51" s="25">
        <f t="shared" si="12"/>
        <v>0</v>
      </c>
      <c r="G51" s="24"/>
      <c r="H51" s="24"/>
      <c r="I51" s="25">
        <f t="shared" si="13"/>
        <v>0</v>
      </c>
    </row>
    <row r="52" spans="2:16" hidden="1" x14ac:dyDescent="0.25">
      <c r="B52" s="66" t="s">
        <v>128</v>
      </c>
      <c r="C52" s="52" t="s">
        <v>129</v>
      </c>
      <c r="D52" s="24"/>
      <c r="E52" s="24"/>
      <c r="F52" s="25">
        <f t="shared" si="12"/>
        <v>0</v>
      </c>
      <c r="G52" s="24"/>
      <c r="H52" s="24"/>
      <c r="I52" s="25">
        <f t="shared" si="13"/>
        <v>0</v>
      </c>
    </row>
    <row r="53" spans="2:16" hidden="1" x14ac:dyDescent="0.25">
      <c r="B53" s="66" t="s">
        <v>130</v>
      </c>
      <c r="C53" s="52" t="s">
        <v>131</v>
      </c>
      <c r="D53" s="24"/>
      <c r="E53" s="24"/>
      <c r="F53" s="25">
        <f t="shared" si="12"/>
        <v>0</v>
      </c>
      <c r="G53" s="24"/>
      <c r="H53" s="24"/>
      <c r="I53" s="25">
        <f t="shared" si="13"/>
        <v>0</v>
      </c>
    </row>
    <row r="54" spans="2:16" hidden="1" x14ac:dyDescent="0.25">
      <c r="B54" s="59" t="s">
        <v>622</v>
      </c>
      <c r="C54" s="52" t="s">
        <v>133</v>
      </c>
      <c r="D54" s="24"/>
      <c r="E54" s="24"/>
      <c r="F54" s="25">
        <f t="shared" si="12"/>
        <v>0</v>
      </c>
      <c r="G54" s="24"/>
      <c r="H54" s="24"/>
      <c r="I54" s="25">
        <f t="shared" si="13"/>
        <v>0</v>
      </c>
    </row>
    <row r="55" spans="2:16" hidden="1" x14ac:dyDescent="0.25">
      <c r="B55" s="66" t="s">
        <v>134</v>
      </c>
      <c r="C55" s="52" t="s">
        <v>135</v>
      </c>
      <c r="D55" s="24"/>
      <c r="E55" s="24"/>
      <c r="F55" s="25">
        <f t="shared" si="12"/>
        <v>0</v>
      </c>
      <c r="G55" s="24"/>
      <c r="H55" s="24"/>
      <c r="I55" s="25">
        <f t="shared" si="13"/>
        <v>0</v>
      </c>
    </row>
    <row r="56" spans="2:16" s="31" customFormat="1" x14ac:dyDescent="0.25">
      <c r="B56" s="57" t="s">
        <v>136</v>
      </c>
      <c r="C56" s="55" t="s">
        <v>137</v>
      </c>
      <c r="D56" s="25">
        <f t="shared" ref="D56:I56" si="14">SUM(D47:D55)</f>
        <v>0</v>
      </c>
      <c r="E56" s="25">
        <f t="shared" si="14"/>
        <v>0</v>
      </c>
      <c r="F56" s="25">
        <f t="shared" si="14"/>
        <v>0</v>
      </c>
      <c r="G56" s="25">
        <f t="shared" si="14"/>
        <v>0</v>
      </c>
      <c r="H56" s="25">
        <f t="shared" si="14"/>
        <v>0</v>
      </c>
      <c r="I56" s="25">
        <f t="shared" si="14"/>
        <v>0</v>
      </c>
    </row>
    <row r="57" spans="2:16" x14ac:dyDescent="0.25">
      <c r="B57" s="60" t="s">
        <v>138</v>
      </c>
      <c r="C57" s="61" t="s">
        <v>139</v>
      </c>
      <c r="D57" s="62">
        <f t="shared" ref="D57:I57" si="15">+D56+D46+D41</f>
        <v>3735000</v>
      </c>
      <c r="E57" s="62">
        <f t="shared" si="15"/>
        <v>0</v>
      </c>
      <c r="F57" s="62">
        <f t="shared" si="15"/>
        <v>3735000</v>
      </c>
      <c r="G57" s="62">
        <f t="shared" si="15"/>
        <v>1831048</v>
      </c>
      <c r="H57" s="62">
        <f t="shared" si="15"/>
        <v>0</v>
      </c>
      <c r="I57" s="62">
        <f t="shared" si="15"/>
        <v>1831048</v>
      </c>
    </row>
    <row r="58" spans="2:16" x14ac:dyDescent="0.25">
      <c r="B58" s="67" t="s">
        <v>140</v>
      </c>
      <c r="C58" s="68" t="s">
        <v>141</v>
      </c>
      <c r="D58" s="69">
        <f t="shared" ref="D58:I58" si="16">+D56+D46+D41+D32+D17+D16+D10+D9</f>
        <v>536480229</v>
      </c>
      <c r="E58" s="69">
        <f t="shared" si="16"/>
        <v>700000</v>
      </c>
      <c r="F58" s="69">
        <f t="shared" si="16"/>
        <v>537180229</v>
      </c>
      <c r="G58" s="69">
        <f t="shared" si="16"/>
        <v>539456708</v>
      </c>
      <c r="H58" s="69">
        <f t="shared" si="16"/>
        <v>700000</v>
      </c>
      <c r="I58" s="69">
        <f t="shared" si="16"/>
        <v>540156708</v>
      </c>
    </row>
    <row r="59" spans="2:16" hidden="1" x14ac:dyDescent="0.25">
      <c r="B59" s="71" t="s">
        <v>602</v>
      </c>
      <c r="C59" s="53" t="s">
        <v>167</v>
      </c>
      <c r="D59" s="218"/>
      <c r="E59" s="218"/>
      <c r="F59" s="24">
        <f>+D59+E59</f>
        <v>0</v>
      </c>
      <c r="G59" s="218"/>
      <c r="H59" s="218"/>
      <c r="I59" s="24">
        <f>+G59+H59</f>
        <v>0</v>
      </c>
      <c r="J59" s="219"/>
      <c r="K59" s="219"/>
      <c r="L59" s="219"/>
      <c r="M59" s="219"/>
      <c r="N59" s="219"/>
      <c r="O59" s="219"/>
      <c r="P59" s="219"/>
    </row>
    <row r="60" spans="2:16" hidden="1" x14ac:dyDescent="0.25">
      <c r="B60" s="71" t="s">
        <v>168</v>
      </c>
      <c r="C60" s="53" t="s">
        <v>169</v>
      </c>
      <c r="D60" s="218"/>
      <c r="E60" s="218"/>
      <c r="F60" s="24">
        <f>+D60+E60</f>
        <v>0</v>
      </c>
      <c r="G60" s="218"/>
      <c r="H60" s="218"/>
      <c r="I60" s="24">
        <f>+G60+H60</f>
        <v>0</v>
      </c>
      <c r="J60" s="219"/>
      <c r="K60" s="219"/>
      <c r="L60" s="219"/>
      <c r="M60" s="219"/>
      <c r="N60" s="219"/>
      <c r="O60" s="219"/>
      <c r="P60" s="219"/>
    </row>
    <row r="61" spans="2:16" hidden="1" x14ac:dyDescent="0.25">
      <c r="B61" s="66" t="s">
        <v>170</v>
      </c>
      <c r="C61" s="53" t="s">
        <v>171</v>
      </c>
      <c r="D61" s="218"/>
      <c r="E61" s="218"/>
      <c r="F61" s="24">
        <f>+D61+E61</f>
        <v>0</v>
      </c>
      <c r="G61" s="218"/>
      <c r="H61" s="218"/>
      <c r="I61" s="24">
        <f>+G61+H61</f>
        <v>0</v>
      </c>
      <c r="J61" s="220"/>
      <c r="K61" s="220"/>
      <c r="L61" s="220"/>
      <c r="M61" s="220"/>
      <c r="N61" s="220"/>
      <c r="O61" s="220"/>
      <c r="P61" s="220"/>
    </row>
    <row r="62" spans="2:16" hidden="1" x14ac:dyDescent="0.25">
      <c r="B62" s="66" t="s">
        <v>172</v>
      </c>
      <c r="C62" s="53" t="s">
        <v>173</v>
      </c>
      <c r="D62" s="218"/>
      <c r="E62" s="218"/>
      <c r="F62" s="24">
        <f>+D62+E62</f>
        <v>0</v>
      </c>
      <c r="G62" s="218"/>
      <c r="H62" s="218"/>
      <c r="I62" s="24">
        <f>+G62+H62</f>
        <v>0</v>
      </c>
      <c r="J62" s="220"/>
      <c r="K62" s="220"/>
      <c r="L62" s="220"/>
      <c r="M62" s="220"/>
      <c r="N62" s="220"/>
      <c r="O62" s="220"/>
      <c r="P62" s="220"/>
    </row>
    <row r="63" spans="2:16" x14ac:dyDescent="0.25">
      <c r="B63" s="74" t="s">
        <v>174</v>
      </c>
      <c r="C63" s="75" t="s">
        <v>175</v>
      </c>
      <c r="D63" s="76">
        <f t="shared" ref="D63:I63" si="17">+D61+D60+D59+D62</f>
        <v>0</v>
      </c>
      <c r="E63" s="76">
        <f t="shared" si="17"/>
        <v>0</v>
      </c>
      <c r="F63" s="76">
        <f t="shared" si="17"/>
        <v>0</v>
      </c>
      <c r="G63" s="76">
        <f t="shared" si="17"/>
        <v>0</v>
      </c>
      <c r="H63" s="76">
        <f t="shared" si="17"/>
        <v>0</v>
      </c>
      <c r="I63" s="76">
        <f t="shared" si="17"/>
        <v>0</v>
      </c>
      <c r="J63" s="221"/>
      <c r="K63" s="221"/>
      <c r="L63" s="221"/>
      <c r="M63" s="221"/>
      <c r="N63" s="221"/>
      <c r="O63" s="221"/>
      <c r="P63" s="221"/>
    </row>
    <row r="64" spans="2:16" x14ac:dyDescent="0.25">
      <c r="B64" s="28" t="s">
        <v>176</v>
      </c>
      <c r="C64" s="28" t="s">
        <v>177</v>
      </c>
      <c r="D64" s="29">
        <f t="shared" ref="D64:I64" si="18">+D58+D63</f>
        <v>536480229</v>
      </c>
      <c r="E64" s="29">
        <f t="shared" si="18"/>
        <v>700000</v>
      </c>
      <c r="F64" s="29">
        <f t="shared" si="18"/>
        <v>537180229</v>
      </c>
      <c r="G64" s="29">
        <f t="shared" si="18"/>
        <v>539456708</v>
      </c>
      <c r="H64" s="29">
        <f t="shared" si="18"/>
        <v>700000</v>
      </c>
      <c r="I64" s="29">
        <f t="shared" si="18"/>
        <v>540156708</v>
      </c>
    </row>
    <row r="65" spans="2:9" x14ac:dyDescent="0.25">
      <c r="B65" s="13"/>
      <c r="C65" s="13"/>
      <c r="D65" s="14"/>
      <c r="E65" s="14"/>
      <c r="F65" s="77"/>
      <c r="G65" s="14"/>
      <c r="H65" s="14"/>
      <c r="I65" s="77"/>
    </row>
    <row r="66" spans="2:9" ht="15.75" hidden="1" customHeight="1" x14ac:dyDescent="0.25">
      <c r="B66" s="13"/>
      <c r="C66" s="13"/>
      <c r="D66" s="494" t="s">
        <v>11</v>
      </c>
      <c r="E66" s="494"/>
      <c r="F66" s="494"/>
      <c r="G66" s="494" t="s">
        <v>11</v>
      </c>
      <c r="H66" s="494"/>
      <c r="I66" s="494"/>
    </row>
    <row r="67" spans="2:9" ht="47.25" x14ac:dyDescent="0.25">
      <c r="B67" s="19" t="s">
        <v>12</v>
      </c>
      <c r="C67" s="47" t="s">
        <v>178</v>
      </c>
      <c r="D67" s="48" t="s">
        <v>13</v>
      </c>
      <c r="E67" s="48" t="s">
        <v>14</v>
      </c>
      <c r="F67" s="47" t="s">
        <v>543</v>
      </c>
      <c r="G67" s="48" t="s">
        <v>13</v>
      </c>
      <c r="H67" s="48" t="s">
        <v>14</v>
      </c>
      <c r="I67" s="47" t="s">
        <v>543</v>
      </c>
    </row>
    <row r="68" spans="2:9" hidden="1" x14ac:dyDescent="0.25">
      <c r="B68" s="56" t="s">
        <v>603</v>
      </c>
      <c r="C68" s="65" t="s">
        <v>192</v>
      </c>
      <c r="D68" s="25"/>
      <c r="E68" s="25"/>
      <c r="F68" s="25">
        <f t="shared" ref="F68:F73" si="19">+E68+D68</f>
        <v>0</v>
      </c>
      <c r="G68" s="25"/>
      <c r="H68" s="25"/>
      <c r="I68" s="25">
        <f t="shared" ref="I68:I73" si="20">+H68+G68</f>
        <v>0</v>
      </c>
    </row>
    <row r="69" spans="2:9" hidden="1" x14ac:dyDescent="0.25">
      <c r="B69" s="53" t="s">
        <v>193</v>
      </c>
      <c r="C69" s="64" t="s">
        <v>194</v>
      </c>
      <c r="D69" s="25"/>
      <c r="E69" s="25"/>
      <c r="F69" s="25">
        <f t="shared" si="19"/>
        <v>0</v>
      </c>
      <c r="G69" s="25"/>
      <c r="H69" s="25"/>
      <c r="I69" s="25">
        <f t="shared" si="20"/>
        <v>0</v>
      </c>
    </row>
    <row r="70" spans="2:9" ht="31.5" hidden="1" x14ac:dyDescent="0.25">
      <c r="B70" s="53" t="s">
        <v>604</v>
      </c>
      <c r="C70" s="64" t="s">
        <v>196</v>
      </c>
      <c r="D70" s="25"/>
      <c r="E70" s="25"/>
      <c r="F70" s="25">
        <f t="shared" si="19"/>
        <v>0</v>
      </c>
      <c r="G70" s="25"/>
      <c r="H70" s="25"/>
      <c r="I70" s="25">
        <f t="shared" si="20"/>
        <v>0</v>
      </c>
    </row>
    <row r="71" spans="2:9" hidden="1" x14ac:dyDescent="0.25">
      <c r="B71" s="53" t="s">
        <v>197</v>
      </c>
      <c r="C71" s="64" t="s">
        <v>198</v>
      </c>
      <c r="D71" s="25"/>
      <c r="E71" s="25"/>
      <c r="F71" s="25">
        <f t="shared" si="19"/>
        <v>0</v>
      </c>
      <c r="G71" s="25"/>
      <c r="H71" s="25"/>
      <c r="I71" s="25">
        <f t="shared" si="20"/>
        <v>0</v>
      </c>
    </row>
    <row r="72" spans="2:9" hidden="1" x14ac:dyDescent="0.25">
      <c r="B72" s="53" t="s">
        <v>199</v>
      </c>
      <c r="C72" s="64" t="s">
        <v>200</v>
      </c>
      <c r="D72" s="25"/>
      <c r="E72" s="25"/>
      <c r="F72" s="25">
        <f t="shared" si="19"/>
        <v>0</v>
      </c>
      <c r="G72" s="25"/>
      <c r="H72" s="25"/>
      <c r="I72" s="25">
        <f t="shared" si="20"/>
        <v>0</v>
      </c>
    </row>
    <row r="73" spans="2:9" x14ac:dyDescent="0.25">
      <c r="B73" s="53" t="s">
        <v>201</v>
      </c>
      <c r="C73" s="64" t="s">
        <v>202</v>
      </c>
      <c r="D73" s="24">
        <v>15112980</v>
      </c>
      <c r="E73" s="24"/>
      <c r="F73" s="25">
        <f t="shared" si="19"/>
        <v>15112980</v>
      </c>
      <c r="G73" s="24">
        <v>15501140</v>
      </c>
      <c r="H73" s="24"/>
      <c r="I73" s="25">
        <f t="shared" si="20"/>
        <v>15501140</v>
      </c>
    </row>
    <row r="74" spans="2:9" x14ac:dyDescent="0.25">
      <c r="B74" s="56" t="s">
        <v>203</v>
      </c>
      <c r="C74" s="65" t="s">
        <v>204</v>
      </c>
      <c r="D74" s="25">
        <f t="shared" ref="D74:I74" si="21">+D73+D72+D71+D70+D69+D68</f>
        <v>15112980</v>
      </c>
      <c r="E74" s="25">
        <f t="shared" si="21"/>
        <v>0</v>
      </c>
      <c r="F74" s="25">
        <f t="shared" si="21"/>
        <v>15112980</v>
      </c>
      <c r="G74" s="25">
        <f>+G73+G72+G71+G70+G69+G68</f>
        <v>15501140</v>
      </c>
      <c r="H74" s="25">
        <f>+H73+H72+H71+H70+H69+H68</f>
        <v>0</v>
      </c>
      <c r="I74" s="25">
        <f t="shared" si="21"/>
        <v>15501140</v>
      </c>
    </row>
    <row r="75" spans="2:9" x14ac:dyDescent="0.25">
      <c r="B75" s="56" t="s">
        <v>205</v>
      </c>
      <c r="C75" s="65" t="s">
        <v>206</v>
      </c>
      <c r="D75" s="24"/>
      <c r="E75" s="24"/>
      <c r="F75" s="25">
        <f t="shared" ref="F75:F81" si="22">+E75+D75</f>
        <v>0</v>
      </c>
      <c r="G75" s="24">
        <v>796048</v>
      </c>
      <c r="H75" s="24"/>
      <c r="I75" s="25">
        <f t="shared" ref="I75:I81" si="23">+H75+G75</f>
        <v>796048</v>
      </c>
    </row>
    <row r="76" spans="2:9" hidden="1" x14ac:dyDescent="0.25">
      <c r="B76" s="53" t="s">
        <v>207</v>
      </c>
      <c r="C76" s="64" t="s">
        <v>208</v>
      </c>
      <c r="D76" s="24"/>
      <c r="E76" s="24"/>
      <c r="F76" s="25">
        <f t="shared" si="22"/>
        <v>0</v>
      </c>
      <c r="G76" s="24"/>
      <c r="H76" s="24"/>
      <c r="I76" s="25">
        <f t="shared" si="23"/>
        <v>0</v>
      </c>
    </row>
    <row r="77" spans="2:9" hidden="1" x14ac:dyDescent="0.25">
      <c r="B77" s="53" t="s">
        <v>209</v>
      </c>
      <c r="C77" s="64" t="s">
        <v>210</v>
      </c>
      <c r="D77" s="24"/>
      <c r="E77" s="24"/>
      <c r="F77" s="25">
        <f t="shared" si="22"/>
        <v>0</v>
      </c>
      <c r="G77" s="24"/>
      <c r="H77" s="24"/>
      <c r="I77" s="25">
        <f t="shared" si="23"/>
        <v>0</v>
      </c>
    </row>
    <row r="78" spans="2:9" hidden="1" x14ac:dyDescent="0.25">
      <c r="B78" s="53" t="s">
        <v>211</v>
      </c>
      <c r="C78" s="64" t="s">
        <v>212</v>
      </c>
      <c r="D78" s="24"/>
      <c r="E78" s="24"/>
      <c r="F78" s="25">
        <f t="shared" si="22"/>
        <v>0</v>
      </c>
      <c r="G78" s="24"/>
      <c r="H78" s="24"/>
      <c r="I78" s="25">
        <f t="shared" si="23"/>
        <v>0</v>
      </c>
    </row>
    <row r="79" spans="2:9" hidden="1" x14ac:dyDescent="0.25">
      <c r="B79" s="53" t="s">
        <v>213</v>
      </c>
      <c r="C79" s="64" t="s">
        <v>214</v>
      </c>
      <c r="D79" s="24"/>
      <c r="E79" s="24"/>
      <c r="F79" s="25">
        <f t="shared" si="22"/>
        <v>0</v>
      </c>
      <c r="G79" s="24"/>
      <c r="H79" s="24"/>
      <c r="I79" s="25">
        <f t="shared" si="23"/>
        <v>0</v>
      </c>
    </row>
    <row r="80" spans="2:9" hidden="1" x14ac:dyDescent="0.25">
      <c r="B80" s="53" t="s">
        <v>215</v>
      </c>
      <c r="C80" s="64" t="s">
        <v>216</v>
      </c>
      <c r="D80" s="24"/>
      <c r="E80" s="24"/>
      <c r="F80" s="25">
        <f t="shared" si="22"/>
        <v>0</v>
      </c>
      <c r="G80" s="24"/>
      <c r="H80" s="24"/>
      <c r="I80" s="25">
        <f t="shared" si="23"/>
        <v>0</v>
      </c>
    </row>
    <row r="81" spans="2:9" hidden="1" x14ac:dyDescent="0.25">
      <c r="B81" s="53" t="s">
        <v>217</v>
      </c>
      <c r="C81" s="64" t="s">
        <v>218</v>
      </c>
      <c r="D81" s="24"/>
      <c r="E81" s="24"/>
      <c r="F81" s="25">
        <f t="shared" si="22"/>
        <v>0</v>
      </c>
      <c r="G81" s="24"/>
      <c r="H81" s="24"/>
      <c r="I81" s="25">
        <f t="shared" si="23"/>
        <v>0</v>
      </c>
    </row>
    <row r="82" spans="2:9" x14ac:dyDescent="0.25">
      <c r="B82" s="56" t="s">
        <v>219</v>
      </c>
      <c r="C82" s="65" t="s">
        <v>220</v>
      </c>
      <c r="D82" s="25">
        <f t="shared" ref="D82:I82" si="24">SUM(D76:D81)</f>
        <v>0</v>
      </c>
      <c r="E82" s="25">
        <f t="shared" si="24"/>
        <v>0</v>
      </c>
      <c r="F82" s="25">
        <f t="shared" si="24"/>
        <v>0</v>
      </c>
      <c r="G82" s="25">
        <f>SUM(G76:G81)</f>
        <v>0</v>
      </c>
      <c r="H82" s="25">
        <f>SUM(H76:H81)</f>
        <v>0</v>
      </c>
      <c r="I82" s="25">
        <f t="shared" si="24"/>
        <v>0</v>
      </c>
    </row>
    <row r="83" spans="2:9" x14ac:dyDescent="0.25">
      <c r="B83" s="66" t="s">
        <v>607</v>
      </c>
      <c r="C83" s="64" t="s">
        <v>222</v>
      </c>
      <c r="D83" s="24"/>
      <c r="E83" s="24"/>
      <c r="F83" s="25">
        <f t="shared" ref="F83:F93" si="25">+E83+D83</f>
        <v>0</v>
      </c>
      <c r="G83" s="24"/>
      <c r="H83" s="24"/>
      <c r="I83" s="25">
        <f t="shared" ref="I83:I93" si="26">+H83+G83</f>
        <v>0</v>
      </c>
    </row>
    <row r="84" spans="2:9" x14ac:dyDescent="0.25">
      <c r="B84" s="66" t="s">
        <v>223</v>
      </c>
      <c r="C84" s="64" t="s">
        <v>224</v>
      </c>
      <c r="D84" s="24">
        <v>5777920</v>
      </c>
      <c r="E84" s="24">
        <v>700000</v>
      </c>
      <c r="F84" s="25">
        <f t="shared" si="25"/>
        <v>6477920</v>
      </c>
      <c r="G84" s="24">
        <v>5777920</v>
      </c>
      <c r="H84" s="24">
        <v>700000</v>
      </c>
      <c r="I84" s="25">
        <f t="shared" si="26"/>
        <v>6477920</v>
      </c>
    </row>
    <row r="85" spans="2:9" x14ac:dyDescent="0.25">
      <c r="B85" s="66" t="s">
        <v>225</v>
      </c>
      <c r="C85" s="64" t="s">
        <v>226</v>
      </c>
      <c r="D85" s="24"/>
      <c r="E85" s="24"/>
      <c r="F85" s="25">
        <f t="shared" si="25"/>
        <v>0</v>
      </c>
      <c r="G85" s="24"/>
      <c r="H85" s="24"/>
      <c r="I85" s="25">
        <f t="shared" si="26"/>
        <v>0</v>
      </c>
    </row>
    <row r="86" spans="2:9" x14ac:dyDescent="0.25">
      <c r="B86" s="66" t="s">
        <v>227</v>
      </c>
      <c r="C86" s="64" t="s">
        <v>228</v>
      </c>
      <c r="D86" s="24"/>
      <c r="E86" s="24"/>
      <c r="F86" s="25">
        <f t="shared" si="25"/>
        <v>0</v>
      </c>
      <c r="G86" s="24"/>
      <c r="H86" s="24"/>
      <c r="I86" s="25">
        <f t="shared" si="26"/>
        <v>0</v>
      </c>
    </row>
    <row r="87" spans="2:9" x14ac:dyDescent="0.25">
      <c r="B87" s="66" t="s">
        <v>229</v>
      </c>
      <c r="C87" s="64" t="s">
        <v>230</v>
      </c>
      <c r="D87" s="24">
        <v>32954340</v>
      </c>
      <c r="E87" s="24"/>
      <c r="F87" s="25">
        <f t="shared" si="25"/>
        <v>32954340</v>
      </c>
      <c r="G87" s="24">
        <v>32954340</v>
      </c>
      <c r="H87" s="24"/>
      <c r="I87" s="25">
        <f t="shared" si="26"/>
        <v>32954340</v>
      </c>
    </row>
    <row r="88" spans="2:9" x14ac:dyDescent="0.25">
      <c r="B88" s="66" t="s">
        <v>231</v>
      </c>
      <c r="C88" s="64" t="s">
        <v>232</v>
      </c>
      <c r="D88" s="24">
        <v>9991588</v>
      </c>
      <c r="E88" s="24"/>
      <c r="F88" s="25">
        <f t="shared" si="25"/>
        <v>9991588</v>
      </c>
      <c r="G88" s="24">
        <v>9991588</v>
      </c>
      <c r="H88" s="24"/>
      <c r="I88" s="25">
        <f t="shared" si="26"/>
        <v>9991588</v>
      </c>
    </row>
    <row r="89" spans="2:9" x14ac:dyDescent="0.25">
      <c r="B89" s="66" t="s">
        <v>233</v>
      </c>
      <c r="C89" s="64" t="s">
        <v>234</v>
      </c>
      <c r="D89" s="24"/>
      <c r="E89" s="24"/>
      <c r="F89" s="25">
        <f t="shared" si="25"/>
        <v>0</v>
      </c>
      <c r="G89" s="24"/>
      <c r="H89" s="24"/>
      <c r="I89" s="25">
        <f t="shared" si="26"/>
        <v>0</v>
      </c>
    </row>
    <row r="90" spans="2:9" x14ac:dyDescent="0.25">
      <c r="B90" s="66" t="s">
        <v>235</v>
      </c>
      <c r="C90" s="64" t="s">
        <v>236</v>
      </c>
      <c r="D90" s="24"/>
      <c r="E90" s="24"/>
      <c r="F90" s="25">
        <f t="shared" si="25"/>
        <v>0</v>
      </c>
      <c r="G90" s="24"/>
      <c r="H90" s="24"/>
      <c r="I90" s="25">
        <f t="shared" si="26"/>
        <v>0</v>
      </c>
    </row>
    <row r="91" spans="2:9" x14ac:dyDescent="0.25">
      <c r="B91" s="66" t="s">
        <v>237</v>
      </c>
      <c r="C91" s="64" t="s">
        <v>238</v>
      </c>
      <c r="D91" s="24"/>
      <c r="E91" s="24"/>
      <c r="F91" s="25">
        <f t="shared" si="25"/>
        <v>0</v>
      </c>
      <c r="G91" s="24"/>
      <c r="H91" s="24"/>
      <c r="I91" s="25">
        <f t="shared" si="26"/>
        <v>0</v>
      </c>
    </row>
    <row r="92" spans="2:9" x14ac:dyDescent="0.25">
      <c r="B92" s="66" t="s">
        <v>239</v>
      </c>
      <c r="C92" s="64" t="s">
        <v>240</v>
      </c>
      <c r="D92" s="24"/>
      <c r="E92" s="24"/>
      <c r="F92" s="25">
        <f t="shared" si="25"/>
        <v>0</v>
      </c>
      <c r="G92" s="24"/>
      <c r="H92" s="24"/>
      <c r="I92" s="25">
        <f t="shared" si="26"/>
        <v>0</v>
      </c>
    </row>
    <row r="93" spans="2:9" x14ac:dyDescent="0.25">
      <c r="B93" s="66" t="s">
        <v>241</v>
      </c>
      <c r="C93" s="64" t="s">
        <v>242</v>
      </c>
      <c r="D93" s="24">
        <v>0</v>
      </c>
      <c r="E93" s="24"/>
      <c r="F93" s="25">
        <f t="shared" si="25"/>
        <v>0</v>
      </c>
      <c r="G93" s="24">
        <v>0</v>
      </c>
      <c r="H93" s="24"/>
      <c r="I93" s="25">
        <f t="shared" si="26"/>
        <v>0</v>
      </c>
    </row>
    <row r="94" spans="2:9" x14ac:dyDescent="0.25">
      <c r="B94" s="57" t="s">
        <v>243</v>
      </c>
      <c r="C94" s="65" t="s">
        <v>244</v>
      </c>
      <c r="D94" s="25">
        <f t="shared" ref="D94:I94" si="27">SUM(D83:D93)</f>
        <v>48723848</v>
      </c>
      <c r="E94" s="25">
        <f t="shared" si="27"/>
        <v>700000</v>
      </c>
      <c r="F94" s="25">
        <f t="shared" si="27"/>
        <v>49423848</v>
      </c>
      <c r="G94" s="25">
        <f>SUM(G83:G93)</f>
        <v>48723848</v>
      </c>
      <c r="H94" s="25">
        <f>SUM(H83:H93)</f>
        <v>700000</v>
      </c>
      <c r="I94" s="25">
        <f t="shared" si="27"/>
        <v>49423848</v>
      </c>
    </row>
    <row r="95" spans="2:9" x14ac:dyDescent="0.25">
      <c r="B95" s="66" t="s">
        <v>245</v>
      </c>
      <c r="C95" s="64" t="s">
        <v>246</v>
      </c>
      <c r="D95" s="24"/>
      <c r="E95" s="24"/>
      <c r="F95" s="25">
        <f>+E95+D95</f>
        <v>0</v>
      </c>
      <c r="G95" s="24"/>
      <c r="H95" s="24"/>
      <c r="I95" s="25">
        <f>+H95+G95</f>
        <v>0</v>
      </c>
    </row>
    <row r="96" spans="2:9" x14ac:dyDescent="0.25">
      <c r="B96" s="66" t="s">
        <v>247</v>
      </c>
      <c r="C96" s="64" t="s">
        <v>248</v>
      </c>
      <c r="D96" s="24"/>
      <c r="E96" s="24"/>
      <c r="F96" s="25">
        <f>+E96+D96</f>
        <v>0</v>
      </c>
      <c r="G96" s="24"/>
      <c r="H96" s="24"/>
      <c r="I96" s="25">
        <f>+H96+G96</f>
        <v>0</v>
      </c>
    </row>
    <row r="97" spans="2:9" x14ac:dyDescent="0.25">
      <c r="B97" s="66" t="s">
        <v>249</v>
      </c>
      <c r="C97" s="64" t="s">
        <v>250</v>
      </c>
      <c r="D97" s="24"/>
      <c r="E97" s="24"/>
      <c r="F97" s="25">
        <f>+E97+D97</f>
        <v>0</v>
      </c>
      <c r="G97" s="24"/>
      <c r="H97" s="24"/>
      <c r="I97" s="25">
        <f>+H97+G97</f>
        <v>0</v>
      </c>
    </row>
    <row r="98" spans="2:9" x14ac:dyDescent="0.25">
      <c r="B98" s="66" t="s">
        <v>251</v>
      </c>
      <c r="C98" s="64" t="s">
        <v>252</v>
      </c>
      <c r="D98" s="24"/>
      <c r="E98" s="24"/>
      <c r="F98" s="25">
        <f>+E98+D98</f>
        <v>0</v>
      </c>
      <c r="G98" s="24"/>
      <c r="H98" s="24"/>
      <c r="I98" s="25">
        <f>+H98+G98</f>
        <v>0</v>
      </c>
    </row>
    <row r="99" spans="2:9" x14ac:dyDescent="0.25">
      <c r="B99" s="66" t="s">
        <v>253</v>
      </c>
      <c r="C99" s="64" t="s">
        <v>254</v>
      </c>
      <c r="D99" s="24"/>
      <c r="E99" s="24"/>
      <c r="F99" s="25">
        <f>+E99+D99</f>
        <v>0</v>
      </c>
      <c r="G99" s="24"/>
      <c r="H99" s="24"/>
      <c r="I99" s="25">
        <f>+H99+G99</f>
        <v>0</v>
      </c>
    </row>
    <row r="100" spans="2:9" x14ac:dyDescent="0.25">
      <c r="B100" s="56" t="s">
        <v>255</v>
      </c>
      <c r="C100" s="65" t="s">
        <v>256</v>
      </c>
      <c r="D100" s="25">
        <f t="shared" ref="D100:I100" si="28">SUM(D95:D99)</f>
        <v>0</v>
      </c>
      <c r="E100" s="25">
        <f t="shared" si="28"/>
        <v>0</v>
      </c>
      <c r="F100" s="25">
        <f t="shared" si="28"/>
        <v>0</v>
      </c>
      <c r="G100" s="25">
        <f t="shared" si="28"/>
        <v>0</v>
      </c>
      <c r="H100" s="25">
        <f t="shared" si="28"/>
        <v>0</v>
      </c>
      <c r="I100" s="25">
        <f t="shared" si="28"/>
        <v>0</v>
      </c>
    </row>
    <row r="101" spans="2:9" x14ac:dyDescent="0.25">
      <c r="B101" s="56" t="s">
        <v>257</v>
      </c>
      <c r="C101" s="65" t="s">
        <v>258</v>
      </c>
      <c r="D101" s="24">
        <v>0</v>
      </c>
      <c r="E101" s="24"/>
      <c r="F101" s="25">
        <f>+E101+D101</f>
        <v>0</v>
      </c>
      <c r="G101" s="24">
        <v>0</v>
      </c>
      <c r="H101" s="24"/>
      <c r="I101" s="25">
        <f>+H101+G101</f>
        <v>0</v>
      </c>
    </row>
    <row r="102" spans="2:9" hidden="1" x14ac:dyDescent="0.25">
      <c r="B102" s="66" t="s">
        <v>259</v>
      </c>
      <c r="C102" s="64" t="s">
        <v>260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</row>
    <row r="103" spans="2:9" hidden="1" x14ac:dyDescent="0.25">
      <c r="B103" s="53" t="s">
        <v>261</v>
      </c>
      <c r="C103" s="64" t="s">
        <v>262</v>
      </c>
      <c r="D103" s="24"/>
      <c r="E103" s="24"/>
      <c r="F103" s="25"/>
      <c r="G103" s="24"/>
      <c r="H103" s="24"/>
      <c r="I103" s="25"/>
    </row>
    <row r="104" spans="2:9" ht="31.5" hidden="1" x14ac:dyDescent="0.25">
      <c r="B104" s="66" t="s">
        <v>263</v>
      </c>
      <c r="C104" s="64" t="s">
        <v>264</v>
      </c>
      <c r="D104" s="24"/>
      <c r="E104" s="24"/>
      <c r="F104" s="25"/>
      <c r="G104" s="24"/>
      <c r="H104" s="24"/>
      <c r="I104" s="25"/>
    </row>
    <row r="105" spans="2:9" hidden="1" x14ac:dyDescent="0.25">
      <c r="B105" s="66" t="s">
        <v>265</v>
      </c>
      <c r="C105" s="64" t="s">
        <v>266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</row>
    <row r="106" spans="2:9" hidden="1" x14ac:dyDescent="0.25">
      <c r="B106" s="66" t="s">
        <v>267</v>
      </c>
      <c r="C106" s="64" t="s">
        <v>268</v>
      </c>
      <c r="D106" s="24"/>
      <c r="E106" s="24"/>
      <c r="F106" s="25">
        <f>+E106+D106</f>
        <v>0</v>
      </c>
      <c r="G106" s="24"/>
      <c r="H106" s="24"/>
      <c r="I106" s="25">
        <f>+H106+G106</f>
        <v>0</v>
      </c>
    </row>
    <row r="107" spans="2:9" x14ac:dyDescent="0.25">
      <c r="B107" s="56" t="s">
        <v>269</v>
      </c>
      <c r="C107" s="65" t="s">
        <v>270</v>
      </c>
      <c r="D107" s="25">
        <f t="shared" ref="D107:I107" si="29">SUM(D102:D106)</f>
        <v>0</v>
      </c>
      <c r="E107" s="25">
        <f t="shared" si="29"/>
        <v>0</v>
      </c>
      <c r="F107" s="25">
        <f t="shared" si="29"/>
        <v>0</v>
      </c>
      <c r="G107" s="25">
        <f t="shared" si="29"/>
        <v>0</v>
      </c>
      <c r="H107" s="25">
        <f t="shared" si="29"/>
        <v>0</v>
      </c>
      <c r="I107" s="25">
        <f t="shared" si="29"/>
        <v>0</v>
      </c>
    </row>
    <row r="108" spans="2:9" x14ac:dyDescent="0.25">
      <c r="B108" s="78" t="s">
        <v>271</v>
      </c>
      <c r="C108" s="67" t="s">
        <v>272</v>
      </c>
      <c r="D108" s="69">
        <f t="shared" ref="D108:I108" si="30">+D107+D101+D100+D94+D82+D75+D74</f>
        <v>63836828</v>
      </c>
      <c r="E108" s="69">
        <f t="shared" si="30"/>
        <v>700000</v>
      </c>
      <c r="F108" s="69">
        <f t="shared" si="30"/>
        <v>64536828</v>
      </c>
      <c r="G108" s="69">
        <f t="shared" si="30"/>
        <v>65021036</v>
      </c>
      <c r="H108" s="69">
        <f t="shared" si="30"/>
        <v>700000</v>
      </c>
      <c r="I108" s="69">
        <f t="shared" si="30"/>
        <v>65721036</v>
      </c>
    </row>
    <row r="109" spans="2:9" x14ac:dyDescent="0.25">
      <c r="B109" s="79" t="s">
        <v>273</v>
      </c>
      <c r="C109" s="80"/>
      <c r="D109" s="81">
        <f>+D101+D94+D82+D74-D33</f>
        <v>-468908401</v>
      </c>
      <c r="E109" s="81">
        <f>+E101+E94+E82+E74-E33</f>
        <v>0</v>
      </c>
      <c r="F109" s="81">
        <f t="shared" ref="F109:F116" si="31">+E109+D109</f>
        <v>-468908401</v>
      </c>
      <c r="G109" s="81">
        <f>+G101+G94+G82+G74-G33</f>
        <v>-473400672</v>
      </c>
      <c r="H109" s="81">
        <f>+H101+H94+H82+H74-H33</f>
        <v>0</v>
      </c>
      <c r="I109" s="81">
        <f t="shared" ref="I109:I116" si="32">+H109+G109</f>
        <v>-473400672</v>
      </c>
    </row>
    <row r="110" spans="2:9" x14ac:dyDescent="0.25">
      <c r="B110" s="79" t="s">
        <v>274</v>
      </c>
      <c r="C110" s="80"/>
      <c r="D110" s="81">
        <f>+D107+D100+D75-D57</f>
        <v>-3735000</v>
      </c>
      <c r="E110" s="81">
        <f>+E107+E100+E75-E57</f>
        <v>0</v>
      </c>
      <c r="F110" s="81">
        <f t="shared" si="31"/>
        <v>-3735000</v>
      </c>
      <c r="G110" s="81">
        <f>+G107+G100+G75-G57</f>
        <v>-1035000</v>
      </c>
      <c r="H110" s="81">
        <f>+H107+H100+H75-H57</f>
        <v>0</v>
      </c>
      <c r="I110" s="81">
        <f t="shared" si="32"/>
        <v>-1035000</v>
      </c>
    </row>
    <row r="111" spans="2:9" hidden="1" x14ac:dyDescent="0.25">
      <c r="B111" s="57" t="s">
        <v>611</v>
      </c>
      <c r="C111" s="56" t="s">
        <v>282</v>
      </c>
      <c r="D111" s="24"/>
      <c r="E111" s="24"/>
      <c r="F111" s="25">
        <f t="shared" si="31"/>
        <v>0</v>
      </c>
      <c r="G111" s="24"/>
      <c r="H111" s="24"/>
      <c r="I111" s="25">
        <f t="shared" si="32"/>
        <v>0</v>
      </c>
    </row>
    <row r="112" spans="2:9" hidden="1" x14ac:dyDescent="0.25">
      <c r="B112" s="73" t="s">
        <v>612</v>
      </c>
      <c r="C112" s="56" t="s">
        <v>292</v>
      </c>
      <c r="D112" s="24"/>
      <c r="E112" s="24"/>
      <c r="F112" s="25">
        <f t="shared" si="31"/>
        <v>0</v>
      </c>
      <c r="G112" s="24"/>
      <c r="H112" s="24"/>
      <c r="I112" s="25">
        <f t="shared" si="32"/>
        <v>0</v>
      </c>
    </row>
    <row r="113" spans="1:9" x14ac:dyDescent="0.25">
      <c r="B113" s="53" t="s">
        <v>293</v>
      </c>
      <c r="C113" s="53" t="s">
        <v>294</v>
      </c>
      <c r="D113" s="24">
        <v>0</v>
      </c>
      <c r="E113" s="24"/>
      <c r="F113" s="25">
        <f t="shared" si="31"/>
        <v>0</v>
      </c>
      <c r="G113" s="24">
        <v>29356</v>
      </c>
      <c r="H113" s="24"/>
      <c r="I113" s="25">
        <f t="shared" si="32"/>
        <v>29356</v>
      </c>
    </row>
    <row r="114" spans="1:9" x14ac:dyDescent="0.25">
      <c r="A114" s="13" t="s">
        <v>331</v>
      </c>
      <c r="B114" s="53" t="s">
        <v>295</v>
      </c>
      <c r="C114" s="53" t="s">
        <v>294</v>
      </c>
      <c r="D114" s="24"/>
      <c r="E114" s="24"/>
      <c r="F114" s="25">
        <f t="shared" si="31"/>
        <v>0</v>
      </c>
      <c r="G114" s="24"/>
      <c r="H114" s="24"/>
      <c r="I114" s="25">
        <f t="shared" si="32"/>
        <v>0</v>
      </c>
    </row>
    <row r="115" spans="1:9" hidden="1" x14ac:dyDescent="0.25">
      <c r="B115" s="53" t="s">
        <v>296</v>
      </c>
      <c r="C115" s="53" t="s">
        <v>297</v>
      </c>
      <c r="D115" s="24"/>
      <c r="E115" s="24"/>
      <c r="F115" s="25">
        <f t="shared" si="31"/>
        <v>0</v>
      </c>
      <c r="G115" s="24"/>
      <c r="H115" s="24"/>
      <c r="I115" s="25">
        <f t="shared" si="32"/>
        <v>0</v>
      </c>
    </row>
    <row r="116" spans="1:9" hidden="1" x14ac:dyDescent="0.25">
      <c r="A116"/>
      <c r="B116" s="53" t="s">
        <v>298</v>
      </c>
      <c r="C116" s="53" t="s">
        <v>297</v>
      </c>
      <c r="D116" s="24"/>
      <c r="E116" s="24"/>
      <c r="F116" s="25">
        <f t="shared" si="31"/>
        <v>0</v>
      </c>
      <c r="G116" s="24"/>
      <c r="H116" s="24"/>
      <c r="I116" s="25">
        <f t="shared" si="32"/>
        <v>0</v>
      </c>
    </row>
    <row r="117" spans="1:9" x14ac:dyDescent="0.25">
      <c r="A117" s="13" t="s">
        <v>623</v>
      </c>
      <c r="B117" s="56" t="s">
        <v>299</v>
      </c>
      <c r="C117" s="56" t="s">
        <v>300</v>
      </c>
      <c r="D117" s="25">
        <f t="shared" ref="D117:I117" si="33">SUM(D113:D116)</f>
        <v>0</v>
      </c>
      <c r="E117" s="25">
        <f t="shared" si="33"/>
        <v>0</v>
      </c>
      <c r="F117" s="25">
        <f t="shared" si="33"/>
        <v>0</v>
      </c>
      <c r="G117" s="25">
        <f t="shared" si="33"/>
        <v>29356</v>
      </c>
      <c r="H117" s="25">
        <f t="shared" si="33"/>
        <v>0</v>
      </c>
      <c r="I117" s="25">
        <f t="shared" si="33"/>
        <v>29356</v>
      </c>
    </row>
    <row r="118" spans="1:9" hidden="1" x14ac:dyDescent="0.25">
      <c r="A118"/>
      <c r="B118" s="71" t="s">
        <v>301</v>
      </c>
      <c r="C118" s="53" t="s">
        <v>302</v>
      </c>
      <c r="D118" s="24"/>
      <c r="E118" s="24"/>
      <c r="F118" s="25">
        <f t="shared" ref="F118:F125" si="34">+E118+D118</f>
        <v>0</v>
      </c>
      <c r="G118" s="24"/>
      <c r="H118" s="24"/>
      <c r="I118" s="25">
        <f t="shared" ref="I118:I125" si="35">+H118+G118</f>
        <v>0</v>
      </c>
    </row>
    <row r="119" spans="1:9" hidden="1" x14ac:dyDescent="0.25">
      <c r="B119" s="71" t="s">
        <v>303</v>
      </c>
      <c r="C119" s="53" t="s">
        <v>304</v>
      </c>
      <c r="D119" s="24"/>
      <c r="E119" s="24"/>
      <c r="F119" s="25">
        <f t="shared" si="34"/>
        <v>0</v>
      </c>
      <c r="G119" s="24"/>
      <c r="H119" s="24"/>
      <c r="I119" s="25">
        <f t="shared" si="35"/>
        <v>0</v>
      </c>
    </row>
    <row r="120" spans="1:9" x14ac:dyDescent="0.25">
      <c r="A120" s="30" t="s">
        <v>634</v>
      </c>
      <c r="B120" s="71" t="s">
        <v>305</v>
      </c>
      <c r="C120" s="53" t="s">
        <v>306</v>
      </c>
      <c r="D120" s="24">
        <v>472643401</v>
      </c>
      <c r="E120" s="24"/>
      <c r="F120" s="25">
        <f t="shared" si="34"/>
        <v>472643401</v>
      </c>
      <c r="G120" s="24">
        <v>474406316</v>
      </c>
      <c r="H120" s="24"/>
      <c r="I120" s="25">
        <f t="shared" si="35"/>
        <v>474406316</v>
      </c>
    </row>
    <row r="121" spans="1:9" s="222" customFormat="1" x14ac:dyDescent="0.25">
      <c r="B121" s="223" t="s">
        <v>625</v>
      </c>
      <c r="C121" s="136"/>
      <c r="D121" s="97">
        <v>398821645</v>
      </c>
      <c r="E121" s="97"/>
      <c r="F121" s="125">
        <f t="shared" si="34"/>
        <v>398821645</v>
      </c>
      <c r="G121" s="97">
        <f>+G120-G122</f>
        <v>400584560</v>
      </c>
      <c r="H121" s="97"/>
      <c r="I121" s="125">
        <f t="shared" si="35"/>
        <v>400584560</v>
      </c>
    </row>
    <row r="122" spans="1:9" s="222" customFormat="1" x14ac:dyDescent="0.25">
      <c r="B122" s="224" t="s">
        <v>616</v>
      </c>
      <c r="C122" s="136"/>
      <c r="D122" s="97">
        <f>+D120-D121</f>
        <v>73821756</v>
      </c>
      <c r="E122" s="97">
        <f>+E120-E121</f>
        <v>0</v>
      </c>
      <c r="F122" s="125">
        <f t="shared" si="34"/>
        <v>73821756</v>
      </c>
      <c r="G122" s="97">
        <f>+D122</f>
        <v>73821756</v>
      </c>
      <c r="H122" s="97">
        <f>+H120-H121</f>
        <v>0</v>
      </c>
      <c r="I122" s="125">
        <f t="shared" si="35"/>
        <v>73821756</v>
      </c>
    </row>
    <row r="123" spans="1:9" hidden="1" x14ac:dyDescent="0.25">
      <c r="B123" s="71" t="s">
        <v>307</v>
      </c>
      <c r="C123" s="53" t="s">
        <v>308</v>
      </c>
      <c r="D123" s="24"/>
      <c r="E123" s="24"/>
      <c r="F123" s="25">
        <f t="shared" si="34"/>
        <v>0</v>
      </c>
      <c r="G123" s="24"/>
      <c r="H123" s="24"/>
      <c r="I123" s="25">
        <f t="shared" si="35"/>
        <v>0</v>
      </c>
    </row>
    <row r="124" spans="1:9" hidden="1" x14ac:dyDescent="0.25">
      <c r="B124" s="66" t="s">
        <v>309</v>
      </c>
      <c r="C124" s="53" t="s">
        <v>310</v>
      </c>
      <c r="D124" s="24"/>
      <c r="E124" s="24"/>
      <c r="F124" s="25">
        <f t="shared" si="34"/>
        <v>0</v>
      </c>
      <c r="G124" s="24"/>
      <c r="H124" s="24"/>
      <c r="I124" s="25">
        <f t="shared" si="35"/>
        <v>0</v>
      </c>
    </row>
    <row r="125" spans="1:9" hidden="1" x14ac:dyDescent="0.25">
      <c r="B125" s="66" t="s">
        <v>311</v>
      </c>
      <c r="C125" s="53" t="s">
        <v>312</v>
      </c>
      <c r="D125" s="24"/>
      <c r="E125" s="24"/>
      <c r="F125" s="25">
        <f t="shared" si="34"/>
        <v>0</v>
      </c>
      <c r="G125" s="24"/>
      <c r="H125" s="24"/>
      <c r="I125" s="25">
        <f t="shared" si="35"/>
        <v>0</v>
      </c>
    </row>
    <row r="126" spans="1:9" x14ac:dyDescent="0.25">
      <c r="B126" s="57" t="s">
        <v>313</v>
      </c>
      <c r="C126" s="56" t="s">
        <v>314</v>
      </c>
      <c r="D126" s="25">
        <f>SUM(D118:D125)+D117+D112+D111-D121-D122</f>
        <v>472643401</v>
      </c>
      <c r="E126" s="25">
        <f>SUM(E118:E125)+E117+E112+E111-E121-E122</f>
        <v>0</v>
      </c>
      <c r="F126" s="25">
        <f>SUM(F118:F124)+F117+F112+F111-F121-F122</f>
        <v>472643401</v>
      </c>
      <c r="G126" s="25">
        <f>SUM(G118:G125)+G117+G112+G111-G121-G122</f>
        <v>474435672</v>
      </c>
      <c r="H126" s="25">
        <f>SUM(H118:H125)+H117+H112+H111-H121-H122</f>
        <v>0</v>
      </c>
      <c r="I126" s="25">
        <f>SUM(I118:I124)+I117+I112+I111-I121-I122</f>
        <v>474435672</v>
      </c>
    </row>
    <row r="127" spans="1:9" hidden="1" x14ac:dyDescent="0.25">
      <c r="B127" s="71" t="s">
        <v>315</v>
      </c>
      <c r="C127" s="53" t="s">
        <v>316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6" t="s">
        <v>317</v>
      </c>
      <c r="C128" s="53" t="s">
        <v>318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6" t="s">
        <v>319</v>
      </c>
      <c r="C129" s="53" t="s">
        <v>320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4" t="s">
        <v>321</v>
      </c>
      <c r="C130" s="75" t="s">
        <v>322</v>
      </c>
      <c r="D130" s="69">
        <f>+D128+D127+D126+D129</f>
        <v>472643401</v>
      </c>
      <c r="E130" s="69">
        <f>+E128+E127+E126+E129</f>
        <v>0</v>
      </c>
      <c r="F130" s="69">
        <f>+F129+F127+F126</f>
        <v>472643401</v>
      </c>
      <c r="G130" s="69">
        <f>+G128+G127+G126+G129</f>
        <v>474435672</v>
      </c>
      <c r="H130" s="69">
        <f>+H128+H127+H126+H129</f>
        <v>0</v>
      </c>
      <c r="I130" s="69">
        <f>+I129+I127+I126</f>
        <v>474435672</v>
      </c>
    </row>
    <row r="131" spans="2:9" x14ac:dyDescent="0.25">
      <c r="B131" s="28" t="s">
        <v>323</v>
      </c>
      <c r="C131" s="28" t="s">
        <v>324</v>
      </c>
      <c r="D131" s="29">
        <f t="shared" ref="D131:I131" si="36">+D108+D130</f>
        <v>536480229</v>
      </c>
      <c r="E131" s="29">
        <f t="shared" si="36"/>
        <v>700000</v>
      </c>
      <c r="F131" s="29">
        <f t="shared" si="36"/>
        <v>537180229</v>
      </c>
      <c r="G131" s="29">
        <f t="shared" si="36"/>
        <v>539456708</v>
      </c>
      <c r="H131" s="29">
        <f t="shared" si="36"/>
        <v>700000</v>
      </c>
      <c r="I131" s="29">
        <f t="shared" si="36"/>
        <v>540156708</v>
      </c>
    </row>
    <row r="132" spans="2:9" x14ac:dyDescent="0.25">
      <c r="B132" s="13"/>
      <c r="C132" s="13"/>
      <c r="D132" s="14"/>
      <c r="E132" s="14"/>
      <c r="F132" s="77"/>
      <c r="G132" s="14"/>
      <c r="H132" s="14"/>
      <c r="I132" s="77"/>
    </row>
    <row r="133" spans="2:9" x14ac:dyDescent="0.25">
      <c r="B133" s="26" t="s">
        <v>325</v>
      </c>
      <c r="C133" s="26"/>
      <c r="D133" s="25">
        <f t="shared" ref="D133:I133" si="37">+D108-D58</f>
        <v>-472643401</v>
      </c>
      <c r="E133" s="25">
        <f t="shared" si="37"/>
        <v>0</v>
      </c>
      <c r="F133" s="25">
        <f t="shared" si="37"/>
        <v>-472643401</v>
      </c>
      <c r="G133" s="25">
        <f t="shared" si="37"/>
        <v>-474435672</v>
      </c>
      <c r="H133" s="25">
        <f t="shared" si="37"/>
        <v>0</v>
      </c>
      <c r="I133" s="25">
        <f t="shared" si="37"/>
        <v>-474435672</v>
      </c>
    </row>
    <row r="134" spans="2:9" x14ac:dyDescent="0.25">
      <c r="B134" s="26" t="s">
        <v>326</v>
      </c>
      <c r="C134" s="26"/>
      <c r="D134" s="25">
        <f t="shared" ref="D134:I134" si="38">+D130-D63</f>
        <v>472643401</v>
      </c>
      <c r="E134" s="25">
        <f t="shared" si="38"/>
        <v>0</v>
      </c>
      <c r="F134" s="25">
        <f t="shared" si="38"/>
        <v>472643401</v>
      </c>
      <c r="G134" s="25">
        <f t="shared" si="38"/>
        <v>474435672</v>
      </c>
      <c r="H134" s="25">
        <f t="shared" si="38"/>
        <v>0</v>
      </c>
      <c r="I134" s="25">
        <f t="shared" si="38"/>
        <v>474435672</v>
      </c>
    </row>
    <row r="135" spans="2:9" x14ac:dyDescent="0.25">
      <c r="B135" s="13"/>
      <c r="C135" s="13"/>
      <c r="D135" s="14"/>
      <c r="E135" s="14"/>
      <c r="F135" s="77"/>
      <c r="G135" s="14"/>
      <c r="H135" s="14"/>
      <c r="I135" s="77"/>
    </row>
    <row r="136" spans="2:9" x14ac:dyDescent="0.25">
      <c r="B136" s="82" t="s">
        <v>329</v>
      </c>
      <c r="C136" s="13"/>
      <c r="D136" s="14">
        <f t="shared" ref="D136:I136" si="39">+D131-D64</f>
        <v>0</v>
      </c>
      <c r="E136" s="14">
        <f t="shared" si="39"/>
        <v>0</v>
      </c>
      <c r="F136" s="14">
        <f t="shared" si="39"/>
        <v>0</v>
      </c>
      <c r="G136" s="14">
        <f t="shared" si="39"/>
        <v>0</v>
      </c>
      <c r="H136" s="14">
        <f t="shared" si="39"/>
        <v>0</v>
      </c>
      <c r="I136" s="14">
        <f t="shared" si="39"/>
        <v>0</v>
      </c>
    </row>
    <row r="137" spans="2:9" x14ac:dyDescent="0.25">
      <c r="B137" s="13"/>
      <c r="C137" s="13"/>
      <c r="D137" s="14"/>
      <c r="E137" s="14"/>
      <c r="F137" s="77"/>
      <c r="G137" s="14"/>
      <c r="H137" s="14"/>
      <c r="I137" s="77"/>
    </row>
    <row r="138" spans="2:9" x14ac:dyDescent="0.25">
      <c r="B138" s="13"/>
      <c r="C138" s="13"/>
      <c r="D138" s="14"/>
      <c r="E138" s="14"/>
      <c r="F138" s="77"/>
      <c r="G138" s="14"/>
      <c r="H138" s="14"/>
      <c r="I138" s="77"/>
    </row>
    <row r="139" spans="2:9" x14ac:dyDescent="0.25">
      <c r="B139" s="13"/>
      <c r="C139" s="13"/>
      <c r="D139" s="14"/>
      <c r="E139" s="14"/>
      <c r="F139" s="77"/>
      <c r="G139" s="14"/>
      <c r="H139" s="14"/>
      <c r="I139" s="77"/>
    </row>
    <row r="140" spans="2:9" x14ac:dyDescent="0.25">
      <c r="B140" s="13"/>
      <c r="C140" s="13"/>
      <c r="D140" s="14"/>
      <c r="E140" s="14"/>
      <c r="F140" s="77"/>
      <c r="G140" s="14"/>
      <c r="H140" s="14"/>
      <c r="I140" s="77"/>
    </row>
    <row r="141" spans="2:9" x14ac:dyDescent="0.25">
      <c r="B141" s="13"/>
      <c r="C141" s="13"/>
      <c r="D141" s="14"/>
      <c r="E141" s="14"/>
      <c r="F141" s="77"/>
      <c r="G141" s="14"/>
      <c r="H141" s="14"/>
      <c r="I141" s="77"/>
    </row>
    <row r="142" spans="2:9" x14ac:dyDescent="0.25">
      <c r="B142" s="13"/>
      <c r="C142" s="13"/>
      <c r="D142" s="14"/>
      <c r="E142" s="14"/>
      <c r="F142" s="77"/>
      <c r="G142" s="14"/>
      <c r="H142" s="14"/>
      <c r="I142" s="77"/>
    </row>
    <row r="143" spans="2:9" x14ac:dyDescent="0.25">
      <c r="B143" s="13"/>
      <c r="C143" s="13"/>
      <c r="D143" s="14"/>
      <c r="E143" s="14"/>
      <c r="F143" s="77"/>
      <c r="G143" s="14"/>
      <c r="H143" s="14"/>
      <c r="I143" s="77"/>
    </row>
    <row r="144" spans="2:9" x14ac:dyDescent="0.25">
      <c r="B144" s="13"/>
      <c r="C144" s="13"/>
      <c r="D144" s="14"/>
      <c r="E144" s="14"/>
      <c r="F144" s="77"/>
      <c r="G144" s="14"/>
      <c r="H144" s="14"/>
      <c r="I144" s="77"/>
    </row>
    <row r="145" spans="2:9" x14ac:dyDescent="0.25">
      <c r="B145" s="13"/>
      <c r="C145" s="13"/>
      <c r="D145" s="14"/>
      <c r="E145" s="14"/>
      <c r="F145" s="77"/>
      <c r="G145" s="14"/>
      <c r="H145" s="14"/>
      <c r="I145" s="77"/>
    </row>
    <row r="146" spans="2:9" x14ac:dyDescent="0.25">
      <c r="B146" s="13"/>
      <c r="C146" s="13"/>
      <c r="D146" s="14"/>
      <c r="E146" s="14"/>
      <c r="F146" s="77"/>
      <c r="G146" s="14"/>
      <c r="H146" s="14"/>
      <c r="I146" s="77"/>
    </row>
    <row r="147" spans="2:9" x14ac:dyDescent="0.25">
      <c r="B147" s="13"/>
      <c r="C147" s="13"/>
      <c r="D147" s="14"/>
      <c r="E147" s="14"/>
      <c r="F147" s="77"/>
      <c r="G147" s="14"/>
      <c r="H147" s="14"/>
      <c r="I147" s="77"/>
    </row>
    <row r="148" spans="2:9" x14ac:dyDescent="0.25">
      <c r="B148" s="13"/>
      <c r="C148" s="13"/>
      <c r="D148" s="14"/>
      <c r="E148" s="14"/>
      <c r="F148" s="77"/>
      <c r="G148" s="14"/>
      <c r="H148" s="14"/>
      <c r="I148" s="77"/>
    </row>
    <row r="149" spans="2:9" x14ac:dyDescent="0.25">
      <c r="B149" s="13"/>
      <c r="C149" s="13"/>
      <c r="D149" s="14"/>
      <c r="E149" s="14"/>
      <c r="F149" s="77"/>
      <c r="G149" s="14"/>
      <c r="H149" s="14"/>
      <c r="I149" s="77"/>
    </row>
    <row r="150" spans="2:9" x14ac:dyDescent="0.25">
      <c r="B150" s="13"/>
      <c r="C150" s="13"/>
      <c r="D150" s="14"/>
      <c r="E150" s="14"/>
      <c r="F150" s="77"/>
      <c r="G150" s="14"/>
      <c r="H150" s="14"/>
      <c r="I150" s="77"/>
    </row>
    <row r="151" spans="2:9" x14ac:dyDescent="0.25">
      <c r="B151" s="13"/>
      <c r="C151" s="13"/>
      <c r="D151" s="14"/>
      <c r="E151" s="14"/>
      <c r="F151" s="77"/>
      <c r="G151" s="14"/>
      <c r="H151" s="14"/>
      <c r="I151" s="77"/>
    </row>
    <row r="152" spans="2:9" x14ac:dyDescent="0.25">
      <c r="B152" s="13"/>
      <c r="C152" s="13"/>
      <c r="D152" s="14"/>
      <c r="E152" s="14"/>
      <c r="F152" s="77"/>
      <c r="G152" s="14"/>
      <c r="H152" s="14"/>
      <c r="I152" s="77"/>
    </row>
    <row r="153" spans="2:9" x14ac:dyDescent="0.25">
      <c r="B153" s="13"/>
      <c r="C153" s="13"/>
      <c r="D153" s="14"/>
      <c r="E153" s="14"/>
      <c r="F153" s="77"/>
      <c r="G153" s="14"/>
      <c r="H153" s="14"/>
      <c r="I153" s="77"/>
    </row>
    <row r="154" spans="2:9" x14ac:dyDescent="0.25">
      <c r="B154" s="13"/>
      <c r="C154" s="13"/>
      <c r="D154" s="14"/>
      <c r="E154" s="14"/>
      <c r="F154" s="77"/>
      <c r="G154" s="14"/>
      <c r="H154" s="14"/>
      <c r="I154" s="77"/>
    </row>
    <row r="155" spans="2:9" x14ac:dyDescent="0.25">
      <c r="B155" s="13"/>
      <c r="C155" s="13"/>
      <c r="D155" s="14"/>
      <c r="E155" s="14"/>
      <c r="F155" s="77"/>
      <c r="G155" s="14"/>
      <c r="H155" s="14"/>
      <c r="I155" s="77"/>
    </row>
    <row r="156" spans="2:9" x14ac:dyDescent="0.25">
      <c r="B156" s="13"/>
      <c r="C156" s="13"/>
      <c r="D156" s="14"/>
      <c r="E156" s="14"/>
      <c r="F156" s="77"/>
      <c r="G156" s="14"/>
      <c r="H156" s="14"/>
      <c r="I156" s="77"/>
    </row>
    <row r="157" spans="2:9" x14ac:dyDescent="0.25">
      <c r="B157" s="13"/>
      <c r="C157" s="13"/>
      <c r="D157" s="14"/>
      <c r="E157" s="14"/>
      <c r="F157" s="77"/>
      <c r="G157" s="14"/>
      <c r="H157" s="14"/>
      <c r="I157" s="77"/>
    </row>
    <row r="158" spans="2:9" x14ac:dyDescent="0.25">
      <c r="B158" s="13"/>
      <c r="C158" s="13"/>
      <c r="D158" s="14"/>
      <c r="E158" s="14"/>
      <c r="F158" s="77"/>
      <c r="G158" s="14"/>
      <c r="H158" s="14"/>
      <c r="I158" s="77"/>
    </row>
    <row r="159" spans="2:9" x14ac:dyDescent="0.25">
      <c r="B159" s="13"/>
      <c r="C159" s="13"/>
      <c r="D159" s="14"/>
      <c r="E159" s="14"/>
      <c r="F159" s="77"/>
      <c r="G159" s="14"/>
      <c r="H159" s="14"/>
      <c r="I159" s="77"/>
    </row>
    <row r="160" spans="2:9" x14ac:dyDescent="0.25">
      <c r="B160" s="13"/>
      <c r="C160" s="13"/>
      <c r="D160" s="14"/>
      <c r="E160" s="14"/>
      <c r="F160" s="77"/>
      <c r="G160" s="14"/>
      <c r="H160" s="14"/>
      <c r="I160" s="77"/>
    </row>
    <row r="161" spans="2:9" x14ac:dyDescent="0.25">
      <c r="B161" s="13"/>
      <c r="C161" s="13"/>
      <c r="D161" s="14"/>
      <c r="E161" s="14"/>
      <c r="F161" s="77"/>
      <c r="G161" s="14"/>
      <c r="H161" s="14"/>
      <c r="I161" s="77"/>
    </row>
    <row r="162" spans="2:9" x14ac:dyDescent="0.25">
      <c r="B162" s="13"/>
      <c r="C162" s="13"/>
      <c r="D162" s="14"/>
      <c r="E162" s="14"/>
      <c r="F162" s="77"/>
      <c r="G162" s="14"/>
      <c r="H162" s="14"/>
      <c r="I162" s="77"/>
    </row>
    <row r="163" spans="2:9" x14ac:dyDescent="0.25">
      <c r="B163" s="13"/>
      <c r="C163" s="13"/>
      <c r="D163" s="14"/>
      <c r="E163" s="14"/>
      <c r="F163" s="77"/>
      <c r="G163" s="14"/>
      <c r="H163" s="14"/>
      <c r="I163" s="77"/>
    </row>
    <row r="164" spans="2:9" x14ac:dyDescent="0.25">
      <c r="B164" s="13"/>
      <c r="C164" s="13"/>
      <c r="D164" s="14"/>
      <c r="E164" s="14"/>
      <c r="F164" s="77"/>
      <c r="G164" s="14"/>
      <c r="H164" s="14"/>
      <c r="I164" s="77"/>
    </row>
    <row r="165" spans="2:9" x14ac:dyDescent="0.25">
      <c r="B165" s="13"/>
      <c r="C165" s="13"/>
      <c r="D165" s="14"/>
      <c r="E165" s="14"/>
      <c r="F165" s="77"/>
      <c r="G165" s="14"/>
      <c r="H165" s="14"/>
      <c r="I165" s="77"/>
    </row>
    <row r="166" spans="2:9" x14ac:dyDescent="0.25">
      <c r="B166" s="13"/>
      <c r="C166" s="13"/>
      <c r="D166" s="14"/>
      <c r="E166" s="14"/>
      <c r="F166" s="77"/>
      <c r="G166" s="14"/>
      <c r="H166" s="14"/>
      <c r="I166" s="77"/>
    </row>
    <row r="167" spans="2:9" x14ac:dyDescent="0.25">
      <c r="B167" s="13"/>
      <c r="C167" s="13"/>
      <c r="D167" s="14"/>
      <c r="E167" s="14"/>
      <c r="F167" s="77"/>
      <c r="G167" s="14"/>
      <c r="H167" s="14"/>
      <c r="I167" s="77"/>
    </row>
    <row r="168" spans="2:9" x14ac:dyDescent="0.25">
      <c r="B168" s="13"/>
      <c r="C168" s="13"/>
      <c r="D168" s="14"/>
      <c r="E168" s="14"/>
      <c r="F168" s="77"/>
      <c r="G168" s="14"/>
      <c r="H168" s="14"/>
      <c r="I168" s="77"/>
    </row>
    <row r="169" spans="2:9" x14ac:dyDescent="0.25">
      <c r="B169" s="13"/>
      <c r="C169" s="13"/>
      <c r="D169" s="14"/>
      <c r="E169" s="14"/>
      <c r="F169" s="77"/>
      <c r="G169" s="14"/>
      <c r="H169" s="14"/>
      <c r="I169" s="77"/>
    </row>
    <row r="170" spans="2:9" x14ac:dyDescent="0.25">
      <c r="B170" s="13"/>
      <c r="C170" s="13"/>
      <c r="D170" s="14"/>
      <c r="E170" s="14"/>
      <c r="F170" s="77"/>
      <c r="G170" s="14"/>
      <c r="H170" s="14"/>
      <c r="I170" s="77"/>
    </row>
    <row r="171" spans="2:9" x14ac:dyDescent="0.25">
      <c r="B171" s="13"/>
      <c r="C171" s="13"/>
      <c r="D171" s="14"/>
      <c r="E171" s="14"/>
      <c r="F171" s="77"/>
      <c r="G171" s="14"/>
      <c r="H171" s="14"/>
      <c r="I171" s="77"/>
    </row>
    <row r="172" spans="2:9" x14ac:dyDescent="0.25">
      <c r="B172" s="13"/>
      <c r="C172" s="13"/>
      <c r="D172" s="14"/>
      <c r="E172" s="14"/>
      <c r="F172" s="77"/>
      <c r="G172" s="14"/>
      <c r="H172" s="14"/>
      <c r="I172" s="77"/>
    </row>
    <row r="173" spans="2:9" x14ac:dyDescent="0.25">
      <c r="B173" s="13"/>
      <c r="C173" s="13"/>
      <c r="D173" s="14"/>
      <c r="E173" s="14"/>
      <c r="F173" s="77"/>
      <c r="G173" s="14"/>
      <c r="H173" s="14"/>
      <c r="I173" s="77"/>
    </row>
    <row r="174" spans="2:9" x14ac:dyDescent="0.25">
      <c r="B174" s="13"/>
      <c r="C174" s="13"/>
      <c r="D174" s="14"/>
      <c r="E174" s="14"/>
      <c r="F174" s="77"/>
      <c r="G174" s="14"/>
      <c r="H174" s="14"/>
      <c r="I174" s="77"/>
    </row>
    <row r="175" spans="2:9" x14ac:dyDescent="0.25">
      <c r="B175" s="13"/>
      <c r="C175" s="13"/>
      <c r="D175" s="14"/>
      <c r="E175" s="14"/>
      <c r="F175" s="77"/>
      <c r="G175" s="14"/>
      <c r="H175" s="14"/>
      <c r="I175" s="77"/>
    </row>
    <row r="176" spans="2:9" x14ac:dyDescent="0.25">
      <c r="B176" s="13"/>
      <c r="C176" s="13"/>
      <c r="D176" s="14"/>
      <c r="E176" s="14"/>
      <c r="F176" s="77"/>
      <c r="G176" s="14"/>
      <c r="H176" s="14"/>
      <c r="I176" s="77"/>
    </row>
    <row r="177" spans="2:9" x14ac:dyDescent="0.25">
      <c r="B177" s="13"/>
      <c r="C177" s="13"/>
      <c r="D177" s="14"/>
      <c r="E177" s="14"/>
      <c r="F177" s="77"/>
      <c r="G177" s="14"/>
      <c r="H177" s="14"/>
      <c r="I177" s="77"/>
    </row>
    <row r="178" spans="2:9" x14ac:dyDescent="0.25">
      <c r="B178" s="13"/>
      <c r="C178" s="13"/>
      <c r="D178" s="14"/>
      <c r="E178" s="14"/>
      <c r="F178" s="77"/>
      <c r="G178" s="14"/>
      <c r="H178" s="14"/>
      <c r="I178" s="77"/>
    </row>
    <row r="179" spans="2:9" x14ac:dyDescent="0.25">
      <c r="B179" s="13"/>
      <c r="C179" s="13"/>
      <c r="D179" s="14"/>
      <c r="E179" s="14"/>
      <c r="F179" s="77"/>
      <c r="G179" s="14"/>
      <c r="H179" s="14"/>
      <c r="I179" s="77"/>
    </row>
    <row r="180" spans="2:9" x14ac:dyDescent="0.25">
      <c r="B180" s="13"/>
      <c r="C180" s="13"/>
      <c r="D180" s="14"/>
      <c r="E180" s="14"/>
      <c r="F180" s="77"/>
      <c r="G180" s="14"/>
      <c r="H180" s="14"/>
      <c r="I180" s="77"/>
    </row>
    <row r="181" spans="2:9" x14ac:dyDescent="0.25">
      <c r="B181" s="13"/>
      <c r="C181" s="13"/>
      <c r="D181" s="14"/>
      <c r="E181" s="14"/>
      <c r="F181" s="77"/>
      <c r="G181" s="14"/>
      <c r="H181" s="14"/>
      <c r="I181" s="77"/>
    </row>
    <row r="182" spans="2:9" x14ac:dyDescent="0.25">
      <c r="B182" s="13"/>
      <c r="C182" s="13"/>
      <c r="D182" s="14"/>
      <c r="E182" s="14"/>
      <c r="F182" s="77"/>
      <c r="G182" s="14"/>
      <c r="H182" s="14"/>
      <c r="I182" s="77"/>
    </row>
    <row r="183" spans="2:9" x14ac:dyDescent="0.25">
      <c r="B183" s="13"/>
      <c r="C183" s="13"/>
      <c r="D183" s="14"/>
      <c r="E183" s="14"/>
      <c r="F183" s="77"/>
      <c r="G183" s="14"/>
      <c r="H183" s="14"/>
      <c r="I183" s="77"/>
    </row>
    <row r="184" spans="2:9" x14ac:dyDescent="0.25">
      <c r="B184" s="13"/>
      <c r="C184" s="13"/>
      <c r="D184" s="14"/>
      <c r="E184" s="14"/>
      <c r="F184" s="77"/>
      <c r="G184" s="14"/>
      <c r="H184" s="14"/>
      <c r="I184" s="77"/>
    </row>
    <row r="185" spans="2:9" x14ac:dyDescent="0.25">
      <c r="B185" s="13"/>
      <c r="C185" s="13"/>
      <c r="D185" s="14"/>
      <c r="E185" s="14"/>
      <c r="F185" s="77"/>
      <c r="G185" s="14"/>
      <c r="H185" s="14"/>
      <c r="I185" s="77"/>
    </row>
    <row r="186" spans="2:9" x14ac:dyDescent="0.25">
      <c r="B186" s="13"/>
      <c r="C186" s="13"/>
      <c r="D186" s="14"/>
      <c r="E186" s="14"/>
      <c r="F186" s="77"/>
      <c r="G186" s="14"/>
      <c r="H186" s="14"/>
      <c r="I186" s="77"/>
    </row>
    <row r="187" spans="2:9" x14ac:dyDescent="0.25">
      <c r="B187" s="13"/>
      <c r="C187" s="13"/>
      <c r="D187" s="14"/>
      <c r="E187" s="14"/>
      <c r="F187" s="77"/>
      <c r="G187" s="14"/>
      <c r="H187" s="14"/>
      <c r="I187" s="77"/>
    </row>
    <row r="188" spans="2:9" x14ac:dyDescent="0.25">
      <c r="B188" s="13"/>
      <c r="C188" s="13"/>
      <c r="D188" s="14"/>
      <c r="E188" s="14"/>
      <c r="F188" s="77"/>
      <c r="G188" s="14"/>
      <c r="H188" s="14"/>
      <c r="I188" s="77"/>
    </row>
    <row r="189" spans="2:9" x14ac:dyDescent="0.25">
      <c r="B189" s="13"/>
      <c r="C189" s="13"/>
      <c r="D189" s="14"/>
      <c r="E189" s="14"/>
      <c r="F189" s="77"/>
      <c r="G189" s="14"/>
      <c r="H189" s="14"/>
      <c r="I189" s="77"/>
    </row>
    <row r="190" spans="2:9" x14ac:dyDescent="0.25">
      <c r="B190" s="13"/>
      <c r="C190" s="13"/>
      <c r="D190" s="14"/>
      <c r="E190" s="14"/>
      <c r="F190" s="77"/>
      <c r="G190" s="14"/>
      <c r="H190" s="14"/>
      <c r="I190" s="77"/>
    </row>
    <row r="191" spans="2:9" x14ac:dyDescent="0.25">
      <c r="B191" s="13"/>
      <c r="C191" s="13"/>
      <c r="D191" s="14"/>
      <c r="E191" s="14"/>
      <c r="F191" s="77"/>
      <c r="G191" s="14"/>
      <c r="H191" s="14"/>
      <c r="I191" s="77"/>
    </row>
    <row r="192" spans="2:9" x14ac:dyDescent="0.25">
      <c r="B192" s="13"/>
      <c r="C192" s="13"/>
      <c r="D192" s="14"/>
      <c r="E192" s="14"/>
      <c r="F192" s="77"/>
      <c r="G192" s="14"/>
      <c r="H192" s="14"/>
      <c r="I192" s="77"/>
    </row>
    <row r="193" spans="2:9" x14ac:dyDescent="0.25">
      <c r="B193" s="13"/>
      <c r="C193" s="13"/>
      <c r="D193" s="14"/>
      <c r="E193" s="14"/>
      <c r="F193" s="77"/>
      <c r="G193" s="14"/>
      <c r="H193" s="14"/>
      <c r="I193" s="77"/>
    </row>
    <row r="194" spans="2:9" x14ac:dyDescent="0.25">
      <c r="B194" s="13"/>
      <c r="C194" s="13"/>
      <c r="D194" s="14"/>
      <c r="E194" s="14"/>
      <c r="F194" s="77"/>
      <c r="G194" s="14"/>
      <c r="H194" s="14"/>
      <c r="I194" s="77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49930555555555556" right="0.29652777777777778" top="0.59027777777777779" bottom="0.51180555555555551" header="0.51180555555555551" footer="0.31527777777777777"/>
  <pageSetup paperSize="9" scale="56" firstPageNumber="0" orientation="portrait" horizontalDpi="300" verticalDpi="300" r:id="rId1"/>
  <headerFooter alignWithMargins="0">
    <oddFooter>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I2" sqref="I2"/>
    </sheetView>
  </sheetViews>
  <sheetFormatPr defaultColWidth="11.5703125" defaultRowHeight="15.75" x14ac:dyDescent="0.25"/>
  <cols>
    <col min="1" max="1" width="10.7109375" style="30" customWidth="1"/>
    <col min="2" max="2" width="72.28515625" style="30" customWidth="1"/>
    <col min="3" max="3" width="10" style="30" customWidth="1"/>
    <col min="4" max="5" width="13.42578125" style="30" customWidth="1"/>
    <col min="6" max="6" width="13.42578125" style="31" customWidth="1"/>
    <col min="7" max="7" width="13.85546875" style="30" customWidth="1"/>
    <col min="8" max="8" width="13" style="30" customWidth="1"/>
    <col min="9" max="9" width="14.28515625" style="31" customWidth="1"/>
    <col min="10" max="10" width="11.42578125" style="30" customWidth="1"/>
    <col min="11" max="252" width="9.140625" style="30" customWidth="1"/>
  </cols>
  <sheetData>
    <row r="1" spans="2:10" s="13" customFormat="1" ht="18.75" x14ac:dyDescent="0.25">
      <c r="F1" s="15"/>
      <c r="I1" s="15" t="s">
        <v>910</v>
      </c>
    </row>
    <row r="2" spans="2:10" s="13" customFormat="1" ht="40.5" x14ac:dyDescent="0.3">
      <c r="B2" s="217" t="s">
        <v>635</v>
      </c>
      <c r="F2" s="16"/>
      <c r="I2" s="16" t="s">
        <v>919</v>
      </c>
    </row>
    <row r="3" spans="2:10" s="13" customFormat="1" x14ac:dyDescent="0.25">
      <c r="B3" s="43" t="s">
        <v>858</v>
      </c>
      <c r="C3" s="36"/>
      <c r="D3" s="36"/>
      <c r="E3" s="36"/>
      <c r="F3" s="37"/>
      <c r="G3" s="36"/>
      <c r="H3" s="36"/>
      <c r="I3" s="37"/>
    </row>
    <row r="4" spans="2:10" s="13" customFormat="1" x14ac:dyDescent="0.25">
      <c r="B4" s="41" t="s">
        <v>822</v>
      </c>
      <c r="C4" s="42"/>
      <c r="D4" s="42"/>
      <c r="E4" s="42"/>
      <c r="F4" s="43"/>
      <c r="G4" s="42"/>
      <c r="H4" s="42"/>
      <c r="I4" s="43"/>
    </row>
    <row r="5" spans="2:10" ht="15.75" customHeight="1" x14ac:dyDescent="0.25">
      <c r="B5" s="46"/>
      <c r="D5" s="494" t="s">
        <v>10</v>
      </c>
      <c r="E5" s="494"/>
      <c r="F5" s="494"/>
      <c r="G5" s="494" t="s">
        <v>11</v>
      </c>
      <c r="H5" s="494"/>
      <c r="I5" s="494"/>
    </row>
    <row r="6" spans="2:10" ht="31.5" x14ac:dyDescent="0.25">
      <c r="B6" s="19" t="s">
        <v>12</v>
      </c>
      <c r="C6" s="47" t="s">
        <v>38</v>
      </c>
      <c r="D6" s="48" t="s">
        <v>13</v>
      </c>
      <c r="E6" s="48" t="s">
        <v>14</v>
      </c>
      <c r="F6" s="47" t="s">
        <v>543</v>
      </c>
      <c r="G6" s="48" t="s">
        <v>13</v>
      </c>
      <c r="H6" s="48" t="s">
        <v>14</v>
      </c>
      <c r="I6" s="47" t="s">
        <v>543</v>
      </c>
    </row>
    <row r="7" spans="2:10" x14ac:dyDescent="0.25">
      <c r="B7" s="51" t="s">
        <v>39</v>
      </c>
      <c r="C7" s="52" t="s">
        <v>40</v>
      </c>
      <c r="D7" s="24">
        <f>17666000+1689200+1884890+640000+244590+489180+2201310</f>
        <v>24815170</v>
      </c>
      <c r="E7" s="24">
        <v>1773857</v>
      </c>
      <c r="F7" s="25">
        <f>+D7+E7</f>
        <v>26589027</v>
      </c>
      <c r="G7" s="24">
        <f>26958300-H7</f>
        <v>25184443</v>
      </c>
      <c r="H7" s="24">
        <v>1773857</v>
      </c>
      <c r="I7" s="25">
        <f>+G7+H7</f>
        <v>26958300</v>
      </c>
    </row>
    <row r="8" spans="2:10" x14ac:dyDescent="0.25">
      <c r="B8" s="53" t="s">
        <v>41</v>
      </c>
      <c r="C8" s="52" t="s">
        <v>42</v>
      </c>
      <c r="D8" s="24">
        <f>1815000+112000</f>
        <v>1927000</v>
      </c>
      <c r="E8" s="24">
        <v>0</v>
      </c>
      <c r="F8" s="25">
        <f>+D8+E8</f>
        <v>1927000</v>
      </c>
      <c r="G8" s="24">
        <v>2527118</v>
      </c>
      <c r="H8" s="24">
        <v>0</v>
      </c>
      <c r="I8" s="25">
        <f>+G8+H8</f>
        <v>2527118</v>
      </c>
    </row>
    <row r="9" spans="2:10" x14ac:dyDescent="0.25">
      <c r="B9" s="54" t="s">
        <v>43</v>
      </c>
      <c r="C9" s="55" t="s">
        <v>44</v>
      </c>
      <c r="D9" s="25">
        <f t="shared" ref="D9:I9" si="0">SUM(D7:D8)</f>
        <v>26742170</v>
      </c>
      <c r="E9" s="25">
        <f t="shared" si="0"/>
        <v>1773857</v>
      </c>
      <c r="F9" s="25">
        <f t="shared" si="0"/>
        <v>28516027</v>
      </c>
      <c r="G9" s="25">
        <f>SUM(G7:G8)</f>
        <v>27711561</v>
      </c>
      <c r="H9" s="25">
        <f>SUM(H7:H8)</f>
        <v>1773857</v>
      </c>
      <c r="I9" s="25">
        <f t="shared" si="0"/>
        <v>29485418</v>
      </c>
      <c r="J9" s="32"/>
    </row>
    <row r="10" spans="2:10" x14ac:dyDescent="0.25">
      <c r="B10" s="56" t="s">
        <v>45</v>
      </c>
      <c r="C10" s="55" t="s">
        <v>46</v>
      </c>
      <c r="D10" s="24">
        <f>339429+172800+26905+53810+242145+128502+5413735+70000</f>
        <v>6447326</v>
      </c>
      <c r="E10" s="24">
        <f>319555</f>
        <v>319555</v>
      </c>
      <c r="F10" s="25">
        <f t="shared" ref="F10:F15" si="1">+D10+E10</f>
        <v>6766881</v>
      </c>
      <c r="G10" s="24">
        <f>6965649-H10</f>
        <v>6646094</v>
      </c>
      <c r="H10" s="24">
        <f>319555</f>
        <v>319555</v>
      </c>
      <c r="I10" s="25">
        <f t="shared" ref="I10:I15" si="2">+G10+H10</f>
        <v>6965649</v>
      </c>
    </row>
    <row r="11" spans="2:10" x14ac:dyDescent="0.25">
      <c r="B11" s="53" t="s">
        <v>47</v>
      </c>
      <c r="C11" s="52" t="s">
        <v>48</v>
      </c>
      <c r="D11" s="24">
        <v>802000</v>
      </c>
      <c r="E11" s="24">
        <v>2085461</v>
      </c>
      <c r="F11" s="25">
        <f t="shared" si="1"/>
        <v>2887461</v>
      </c>
      <c r="G11" s="24">
        <v>802000</v>
      </c>
      <c r="H11" s="24">
        <v>2085461</v>
      </c>
      <c r="I11" s="25">
        <f t="shared" si="2"/>
        <v>2887461</v>
      </c>
    </row>
    <row r="12" spans="2:10" x14ac:dyDescent="0.25">
      <c r="B12" s="53" t="s">
        <v>49</v>
      </c>
      <c r="C12" s="52" t="s">
        <v>50</v>
      </c>
      <c r="D12" s="24">
        <f>430000+125000</f>
        <v>555000</v>
      </c>
      <c r="E12" s="24">
        <v>0</v>
      </c>
      <c r="F12" s="25">
        <f t="shared" si="1"/>
        <v>555000</v>
      </c>
      <c r="G12" s="24">
        <f>430000+125000</f>
        <v>555000</v>
      </c>
      <c r="H12" s="24">
        <v>0</v>
      </c>
      <c r="I12" s="25">
        <f t="shared" si="2"/>
        <v>555000</v>
      </c>
    </row>
    <row r="13" spans="2:10" x14ac:dyDescent="0.25">
      <c r="B13" s="53" t="s">
        <v>51</v>
      </c>
      <c r="C13" s="52" t="s">
        <v>52</v>
      </c>
      <c r="D13" s="24">
        <f>28821933-D12</f>
        <v>28266933</v>
      </c>
      <c r="E13" s="24">
        <v>2215900</v>
      </c>
      <c r="F13" s="25">
        <f t="shared" si="1"/>
        <v>30482833</v>
      </c>
      <c r="G13" s="24">
        <f>28821933-G12</f>
        <v>28266933</v>
      </c>
      <c r="H13" s="24">
        <v>2215900</v>
      </c>
      <c r="I13" s="25">
        <f t="shared" si="2"/>
        <v>30482833</v>
      </c>
    </row>
    <row r="14" spans="2:10" x14ac:dyDescent="0.25">
      <c r="B14" s="53" t="s">
        <v>53</v>
      </c>
      <c r="C14" s="52" t="s">
        <v>54</v>
      </c>
      <c r="D14" s="24">
        <f>200000+145000</f>
        <v>345000</v>
      </c>
      <c r="E14" s="24">
        <v>32918</v>
      </c>
      <c r="F14" s="25">
        <f t="shared" si="1"/>
        <v>377918</v>
      </c>
      <c r="G14" s="24">
        <f>200000+145000</f>
        <v>345000</v>
      </c>
      <c r="H14" s="24">
        <v>32918</v>
      </c>
      <c r="I14" s="25">
        <f t="shared" si="2"/>
        <v>377918</v>
      </c>
    </row>
    <row r="15" spans="2:10" x14ac:dyDescent="0.25">
      <c r="B15" s="53" t="s">
        <v>55</v>
      </c>
      <c r="C15" s="52" t="s">
        <v>56</v>
      </c>
      <c r="D15" s="24">
        <f>13412488-D14</f>
        <v>13067488</v>
      </c>
      <c r="E15" s="24">
        <v>1109952</v>
      </c>
      <c r="F15" s="25">
        <f t="shared" si="1"/>
        <v>14177440</v>
      </c>
      <c r="G15" s="24">
        <f>12430540-H15</f>
        <v>11320588</v>
      </c>
      <c r="H15" s="24">
        <v>1109952</v>
      </c>
      <c r="I15" s="25">
        <f t="shared" si="2"/>
        <v>12430540</v>
      </c>
    </row>
    <row r="16" spans="2:10" x14ac:dyDescent="0.25">
      <c r="B16" s="56" t="s">
        <v>57</v>
      </c>
      <c r="C16" s="55" t="s">
        <v>58</v>
      </c>
      <c r="D16" s="25">
        <f t="shared" ref="D16:I16" si="3">SUM(D11:D15)</f>
        <v>43036421</v>
      </c>
      <c r="E16" s="25">
        <f t="shared" si="3"/>
        <v>5444231</v>
      </c>
      <c r="F16" s="25">
        <f t="shared" si="3"/>
        <v>48480652</v>
      </c>
      <c r="G16" s="25">
        <f>SUM(G11:G15)</f>
        <v>41289521</v>
      </c>
      <c r="H16" s="25">
        <f>SUM(H11:H15)</f>
        <v>5444231</v>
      </c>
      <c r="I16" s="25">
        <f t="shared" si="3"/>
        <v>46733752</v>
      </c>
    </row>
    <row r="17" spans="2:9" x14ac:dyDescent="0.25">
      <c r="B17" s="57" t="s">
        <v>59</v>
      </c>
      <c r="C17" s="55" t="s">
        <v>60</v>
      </c>
      <c r="D17" s="24"/>
      <c r="E17" s="24"/>
      <c r="F17" s="25">
        <f t="shared" ref="F17:F31" si="4">+D17+E17</f>
        <v>0</v>
      </c>
      <c r="G17" s="24"/>
      <c r="H17" s="24"/>
      <c r="I17" s="25">
        <f t="shared" ref="I17:I31" si="5">+G17+H17</f>
        <v>0</v>
      </c>
    </row>
    <row r="18" spans="2:9" hidden="1" x14ac:dyDescent="0.25">
      <c r="B18" s="58" t="s">
        <v>61</v>
      </c>
      <c r="C18" s="52" t="s">
        <v>62</v>
      </c>
      <c r="D18" s="24"/>
      <c r="E18" s="24"/>
      <c r="F18" s="25">
        <f t="shared" si="4"/>
        <v>0</v>
      </c>
      <c r="G18" s="24"/>
      <c r="H18" s="24"/>
      <c r="I18" s="25">
        <f t="shared" si="5"/>
        <v>0</v>
      </c>
    </row>
    <row r="19" spans="2:9" hidden="1" x14ac:dyDescent="0.25">
      <c r="B19" s="58" t="s">
        <v>63</v>
      </c>
      <c r="C19" s="52" t="s">
        <v>64</v>
      </c>
      <c r="D19" s="24"/>
      <c r="E19" s="24"/>
      <c r="F19" s="25">
        <f t="shared" si="4"/>
        <v>0</v>
      </c>
      <c r="G19" s="24"/>
      <c r="H19" s="24"/>
      <c r="I19" s="25">
        <f t="shared" si="5"/>
        <v>0</v>
      </c>
    </row>
    <row r="20" spans="2:9" hidden="1" x14ac:dyDescent="0.25">
      <c r="B20" s="58" t="s">
        <v>65</v>
      </c>
      <c r="C20" s="52" t="s">
        <v>66</v>
      </c>
      <c r="D20" s="24"/>
      <c r="E20" s="24"/>
      <c r="F20" s="25">
        <f t="shared" si="4"/>
        <v>0</v>
      </c>
      <c r="G20" s="24"/>
      <c r="H20" s="24"/>
      <c r="I20" s="25">
        <f t="shared" si="5"/>
        <v>0</v>
      </c>
    </row>
    <row r="21" spans="2:9" hidden="1" x14ac:dyDescent="0.25">
      <c r="B21" s="58" t="s">
        <v>67</v>
      </c>
      <c r="C21" s="52" t="s">
        <v>68</v>
      </c>
      <c r="D21" s="24"/>
      <c r="E21" s="24"/>
      <c r="F21" s="25">
        <f t="shared" si="4"/>
        <v>0</v>
      </c>
      <c r="G21" s="24"/>
      <c r="H21" s="24"/>
      <c r="I21" s="25">
        <f t="shared" si="5"/>
        <v>0</v>
      </c>
    </row>
    <row r="22" spans="2:9" hidden="1" x14ac:dyDescent="0.25">
      <c r="B22" s="58" t="s">
        <v>618</v>
      </c>
      <c r="C22" s="52" t="s">
        <v>70</v>
      </c>
      <c r="D22" s="24"/>
      <c r="E22" s="24"/>
      <c r="F22" s="25">
        <f t="shared" si="4"/>
        <v>0</v>
      </c>
      <c r="G22" s="24"/>
      <c r="H22" s="24"/>
      <c r="I22" s="25">
        <f t="shared" si="5"/>
        <v>0</v>
      </c>
    </row>
    <row r="23" spans="2:9" hidden="1" x14ac:dyDescent="0.25">
      <c r="B23" s="58" t="s">
        <v>71</v>
      </c>
      <c r="C23" s="52" t="s">
        <v>72</v>
      </c>
      <c r="D23" s="24"/>
      <c r="E23" s="24"/>
      <c r="F23" s="25">
        <f t="shared" si="4"/>
        <v>0</v>
      </c>
      <c r="G23" s="24"/>
      <c r="H23" s="24"/>
      <c r="I23" s="25">
        <f t="shared" si="5"/>
        <v>0</v>
      </c>
    </row>
    <row r="24" spans="2:9" hidden="1" x14ac:dyDescent="0.25">
      <c r="B24" s="58" t="s">
        <v>73</v>
      </c>
      <c r="C24" s="52" t="s">
        <v>74</v>
      </c>
      <c r="D24" s="24"/>
      <c r="E24" s="24"/>
      <c r="F24" s="25">
        <f t="shared" si="4"/>
        <v>0</v>
      </c>
      <c r="G24" s="24"/>
      <c r="H24" s="24"/>
      <c r="I24" s="25">
        <f t="shared" si="5"/>
        <v>0</v>
      </c>
    </row>
    <row r="25" spans="2:9" hidden="1" x14ac:dyDescent="0.25">
      <c r="B25" s="58" t="s">
        <v>75</v>
      </c>
      <c r="C25" s="52" t="s">
        <v>76</v>
      </c>
      <c r="D25" s="24"/>
      <c r="E25" s="24"/>
      <c r="F25" s="25">
        <f t="shared" si="4"/>
        <v>0</v>
      </c>
      <c r="G25" s="24"/>
      <c r="H25" s="24"/>
      <c r="I25" s="25">
        <f t="shared" si="5"/>
        <v>0</v>
      </c>
    </row>
    <row r="26" spans="2:9" hidden="1" x14ac:dyDescent="0.25">
      <c r="B26" s="58" t="s">
        <v>77</v>
      </c>
      <c r="C26" s="52" t="s">
        <v>78</v>
      </c>
      <c r="D26" s="24"/>
      <c r="E26" s="24"/>
      <c r="F26" s="25">
        <f t="shared" si="4"/>
        <v>0</v>
      </c>
      <c r="G26" s="24"/>
      <c r="H26" s="24"/>
      <c r="I26" s="25">
        <f t="shared" si="5"/>
        <v>0</v>
      </c>
    </row>
    <row r="27" spans="2:9" hidden="1" x14ac:dyDescent="0.25">
      <c r="B27" s="59" t="s">
        <v>79</v>
      </c>
      <c r="C27" s="52" t="s">
        <v>80</v>
      </c>
      <c r="D27" s="24"/>
      <c r="E27" s="24"/>
      <c r="F27" s="25">
        <f t="shared" si="4"/>
        <v>0</v>
      </c>
      <c r="G27" s="24"/>
      <c r="H27" s="24"/>
      <c r="I27" s="25">
        <f t="shared" si="5"/>
        <v>0</v>
      </c>
    </row>
    <row r="28" spans="2:9" hidden="1" x14ac:dyDescent="0.25">
      <c r="B28" s="59" t="s">
        <v>619</v>
      </c>
      <c r="C28" s="52" t="s">
        <v>82</v>
      </c>
      <c r="D28" s="24"/>
      <c r="E28" s="24"/>
      <c r="F28" s="25">
        <f t="shared" si="4"/>
        <v>0</v>
      </c>
      <c r="G28" s="24"/>
      <c r="H28" s="24"/>
      <c r="I28" s="25">
        <f t="shared" si="5"/>
        <v>0</v>
      </c>
    </row>
    <row r="29" spans="2:9" hidden="1" x14ac:dyDescent="0.25">
      <c r="B29" s="58" t="s">
        <v>83</v>
      </c>
      <c r="C29" s="52" t="s">
        <v>84</v>
      </c>
      <c r="D29" s="24"/>
      <c r="E29" s="24"/>
      <c r="F29" s="25">
        <f t="shared" si="4"/>
        <v>0</v>
      </c>
      <c r="G29" s="24"/>
      <c r="H29" s="24"/>
      <c r="I29" s="25">
        <f t="shared" si="5"/>
        <v>0</v>
      </c>
    </row>
    <row r="30" spans="2:9" hidden="1" x14ac:dyDescent="0.25">
      <c r="B30" s="59" t="s">
        <v>85</v>
      </c>
      <c r="C30" s="52" t="s">
        <v>86</v>
      </c>
      <c r="D30" s="24"/>
      <c r="E30" s="24"/>
      <c r="F30" s="25">
        <f t="shared" si="4"/>
        <v>0</v>
      </c>
      <c r="G30" s="24"/>
      <c r="H30" s="24"/>
      <c r="I30" s="25">
        <f t="shared" si="5"/>
        <v>0</v>
      </c>
    </row>
    <row r="31" spans="2:9" hidden="1" x14ac:dyDescent="0.25">
      <c r="B31" s="59" t="s">
        <v>87</v>
      </c>
      <c r="C31" s="52" t="s">
        <v>86</v>
      </c>
      <c r="D31" s="24"/>
      <c r="E31" s="24"/>
      <c r="F31" s="25">
        <f t="shared" si="4"/>
        <v>0</v>
      </c>
      <c r="G31" s="24"/>
      <c r="H31" s="24"/>
      <c r="I31" s="25">
        <f t="shared" si="5"/>
        <v>0</v>
      </c>
    </row>
    <row r="32" spans="2:9" s="31" customFormat="1" x14ac:dyDescent="0.25">
      <c r="B32" s="57" t="s">
        <v>88</v>
      </c>
      <c r="C32" s="55" t="s">
        <v>89</v>
      </c>
      <c r="D32" s="25">
        <f t="shared" ref="D32:I32" si="6">SUM(D18:D31)</f>
        <v>0</v>
      </c>
      <c r="E32" s="25">
        <f t="shared" si="6"/>
        <v>0</v>
      </c>
      <c r="F32" s="25">
        <f t="shared" si="6"/>
        <v>0</v>
      </c>
      <c r="G32" s="25">
        <f>SUM(G18:G31)</f>
        <v>0</v>
      </c>
      <c r="H32" s="25">
        <f>SUM(H18:H31)</f>
        <v>0</v>
      </c>
      <c r="I32" s="25">
        <f t="shared" si="6"/>
        <v>0</v>
      </c>
    </row>
    <row r="33" spans="2:9" x14ac:dyDescent="0.25">
      <c r="B33" s="60" t="s">
        <v>90</v>
      </c>
      <c r="C33" s="61" t="s">
        <v>91</v>
      </c>
      <c r="D33" s="62">
        <f t="shared" ref="D33:I33" si="7">+D32+D17+D16+D10+D9</f>
        <v>76225917</v>
      </c>
      <c r="E33" s="62">
        <f t="shared" si="7"/>
        <v>7537643</v>
      </c>
      <c r="F33" s="62">
        <f t="shared" si="7"/>
        <v>83763560</v>
      </c>
      <c r="G33" s="62">
        <f>+G32+G17+G16+G10+G9</f>
        <v>75647176</v>
      </c>
      <c r="H33" s="62">
        <f>+H32+H17+H16+H10+H9</f>
        <v>7537643</v>
      </c>
      <c r="I33" s="62">
        <f t="shared" si="7"/>
        <v>83184819</v>
      </c>
    </row>
    <row r="34" spans="2:9" x14ac:dyDescent="0.25">
      <c r="B34" s="63" t="s">
        <v>92</v>
      </c>
      <c r="C34" s="52" t="s">
        <v>93</v>
      </c>
      <c r="D34" s="24">
        <v>200000</v>
      </c>
      <c r="E34" s="24"/>
      <c r="F34" s="25">
        <f t="shared" ref="F34:F40" si="8">+D34+E34</f>
        <v>200000</v>
      </c>
      <c r="G34" s="24">
        <v>0</v>
      </c>
      <c r="H34" s="24"/>
      <c r="I34" s="25">
        <f t="shared" ref="I34:I40" si="9">+G34+H34</f>
        <v>0</v>
      </c>
    </row>
    <row r="35" spans="2:9" x14ac:dyDescent="0.25">
      <c r="B35" s="63" t="s">
        <v>94</v>
      </c>
      <c r="C35" s="52" t="s">
        <v>95</v>
      </c>
      <c r="D35" s="24"/>
      <c r="E35" s="24"/>
      <c r="F35" s="25">
        <f t="shared" si="8"/>
        <v>0</v>
      </c>
      <c r="G35" s="24"/>
      <c r="H35" s="24"/>
      <c r="I35" s="25">
        <f t="shared" si="9"/>
        <v>0</v>
      </c>
    </row>
    <row r="36" spans="2:9" x14ac:dyDescent="0.25">
      <c r="B36" s="63" t="s">
        <v>96</v>
      </c>
      <c r="C36" s="52" t="s">
        <v>97</v>
      </c>
      <c r="D36" s="24">
        <v>100000</v>
      </c>
      <c r="E36" s="24"/>
      <c r="F36" s="25">
        <f t="shared" si="8"/>
        <v>100000</v>
      </c>
      <c r="G36" s="24">
        <v>570000</v>
      </c>
      <c r="H36" s="24"/>
      <c r="I36" s="25">
        <f t="shared" si="9"/>
        <v>570000</v>
      </c>
    </row>
    <row r="37" spans="2:9" x14ac:dyDescent="0.25">
      <c r="B37" s="63" t="s">
        <v>98</v>
      </c>
      <c r="C37" s="52" t="s">
        <v>99</v>
      </c>
      <c r="D37" s="24">
        <v>771654</v>
      </c>
      <c r="E37" s="24">
        <v>708740</v>
      </c>
      <c r="F37" s="25">
        <f t="shared" si="8"/>
        <v>1480394</v>
      </c>
      <c r="G37" s="24">
        <f>2711890-H37</f>
        <v>2003150</v>
      </c>
      <c r="H37" s="24">
        <v>708740</v>
      </c>
      <c r="I37" s="25">
        <f t="shared" si="9"/>
        <v>2711890</v>
      </c>
    </row>
    <row r="38" spans="2:9" hidden="1" x14ac:dyDescent="0.25">
      <c r="B38" s="64" t="s">
        <v>100</v>
      </c>
      <c r="C38" s="52" t="s">
        <v>101</v>
      </c>
      <c r="D38" s="24"/>
      <c r="E38" s="24"/>
      <c r="F38" s="25">
        <f t="shared" si="8"/>
        <v>0</v>
      </c>
      <c r="G38" s="24"/>
      <c r="H38" s="24"/>
      <c r="I38" s="25">
        <f t="shared" si="9"/>
        <v>0</v>
      </c>
    </row>
    <row r="39" spans="2:9" hidden="1" x14ac:dyDescent="0.25">
      <c r="B39" s="64" t="s">
        <v>102</v>
      </c>
      <c r="C39" s="52" t="s">
        <v>103</v>
      </c>
      <c r="D39" s="24"/>
      <c r="E39" s="24"/>
      <c r="F39" s="25">
        <f t="shared" si="8"/>
        <v>0</v>
      </c>
      <c r="G39" s="24"/>
      <c r="H39" s="24"/>
      <c r="I39" s="25">
        <f t="shared" si="9"/>
        <v>0</v>
      </c>
    </row>
    <row r="40" spans="2:9" x14ac:dyDescent="0.25">
      <c r="B40" s="64" t="s">
        <v>104</v>
      </c>
      <c r="C40" s="52" t="s">
        <v>105</v>
      </c>
      <c r="D40" s="24">
        <v>289347</v>
      </c>
      <c r="E40" s="24">
        <v>191360</v>
      </c>
      <c r="F40" s="25">
        <f t="shared" si="8"/>
        <v>480707</v>
      </c>
      <c r="G40" s="24">
        <f>893111-H40</f>
        <v>701751</v>
      </c>
      <c r="H40" s="24">
        <v>191360</v>
      </c>
      <c r="I40" s="25">
        <f t="shared" si="9"/>
        <v>893111</v>
      </c>
    </row>
    <row r="41" spans="2:9" s="31" customFormat="1" x14ac:dyDescent="0.25">
      <c r="B41" s="65" t="s">
        <v>106</v>
      </c>
      <c r="C41" s="55" t="s">
        <v>107</v>
      </c>
      <c r="D41" s="25">
        <f t="shared" ref="D41:I41" si="10">SUM(D34:D40)</f>
        <v>1361001</v>
      </c>
      <c r="E41" s="25">
        <f t="shared" si="10"/>
        <v>900100</v>
      </c>
      <c r="F41" s="25">
        <f t="shared" si="10"/>
        <v>2261101</v>
      </c>
      <c r="G41" s="25">
        <f t="shared" ref="G41:H41" si="11">SUM(G34:G40)</f>
        <v>3274901</v>
      </c>
      <c r="H41" s="25">
        <f t="shared" si="11"/>
        <v>900100</v>
      </c>
      <c r="I41" s="25">
        <f t="shared" si="10"/>
        <v>4175001</v>
      </c>
    </row>
    <row r="42" spans="2:9" x14ac:dyDescent="0.25">
      <c r="B42" s="66" t="s">
        <v>108</v>
      </c>
      <c r="C42" s="52" t="s">
        <v>109</v>
      </c>
      <c r="D42" s="24"/>
      <c r="E42" s="24"/>
      <c r="F42" s="25">
        <f>+D42+E42</f>
        <v>0</v>
      </c>
      <c r="G42" s="24">
        <v>0</v>
      </c>
      <c r="H42" s="24"/>
      <c r="I42" s="25">
        <f>+G42+H42</f>
        <v>0</v>
      </c>
    </row>
    <row r="43" spans="2:9" x14ac:dyDescent="0.25">
      <c r="B43" s="66" t="s">
        <v>110</v>
      </c>
      <c r="C43" s="52" t="s">
        <v>111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6" t="s">
        <v>112</v>
      </c>
      <c r="C44" s="52" t="s">
        <v>113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6" t="s">
        <v>114</v>
      </c>
      <c r="C45" s="52" t="s">
        <v>115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6" t="s">
        <v>116</v>
      </c>
      <c r="C46" s="55" t="s">
        <v>117</v>
      </c>
      <c r="D46" s="25">
        <f t="shared" ref="D46:I46" si="12">SUM(D42:D45)</f>
        <v>0</v>
      </c>
      <c r="E46" s="25">
        <f t="shared" si="12"/>
        <v>0</v>
      </c>
      <c r="F46" s="25">
        <f t="shared" si="12"/>
        <v>0</v>
      </c>
      <c r="G46" s="25">
        <f t="shared" si="12"/>
        <v>0</v>
      </c>
      <c r="H46" s="25">
        <f t="shared" si="12"/>
        <v>0</v>
      </c>
      <c r="I46" s="25">
        <f t="shared" si="12"/>
        <v>0</v>
      </c>
    </row>
    <row r="47" spans="2:9" hidden="1" x14ac:dyDescent="0.25">
      <c r="B47" s="66" t="s">
        <v>620</v>
      </c>
      <c r="C47" s="52" t="s">
        <v>119</v>
      </c>
      <c r="D47" s="24"/>
      <c r="E47" s="24"/>
      <c r="F47" s="25">
        <f t="shared" ref="F47:F55" si="13">+D47+E47</f>
        <v>0</v>
      </c>
      <c r="G47" s="24"/>
      <c r="H47" s="24"/>
      <c r="I47" s="25">
        <f t="shared" ref="I47:I55" si="14">+G47+H47</f>
        <v>0</v>
      </c>
    </row>
    <row r="48" spans="2:9" hidden="1" x14ac:dyDescent="0.25">
      <c r="B48" s="66" t="s">
        <v>621</v>
      </c>
      <c r="C48" s="52" t="s">
        <v>121</v>
      </c>
      <c r="D48" s="24"/>
      <c r="E48" s="24"/>
      <c r="F48" s="25">
        <f t="shared" si="13"/>
        <v>0</v>
      </c>
      <c r="G48" s="24"/>
      <c r="H48" s="24"/>
      <c r="I48" s="25">
        <f t="shared" si="14"/>
        <v>0</v>
      </c>
    </row>
    <row r="49" spans="2:16" hidden="1" x14ac:dyDescent="0.25">
      <c r="B49" s="66" t="s">
        <v>122</v>
      </c>
      <c r="C49" s="52" t="s">
        <v>123</v>
      </c>
      <c r="D49" s="24"/>
      <c r="E49" s="24"/>
      <c r="F49" s="25">
        <f t="shared" si="13"/>
        <v>0</v>
      </c>
      <c r="G49" s="24"/>
      <c r="H49" s="24"/>
      <c r="I49" s="25">
        <f t="shared" si="14"/>
        <v>0</v>
      </c>
    </row>
    <row r="50" spans="2:16" hidden="1" x14ac:dyDescent="0.25">
      <c r="B50" s="66" t="s">
        <v>124</v>
      </c>
      <c r="C50" s="52" t="s">
        <v>125</v>
      </c>
      <c r="D50" s="24"/>
      <c r="E50" s="24"/>
      <c r="F50" s="25">
        <f t="shared" si="13"/>
        <v>0</v>
      </c>
      <c r="G50" s="24"/>
      <c r="H50" s="24"/>
      <c r="I50" s="25">
        <f t="shared" si="14"/>
        <v>0</v>
      </c>
    </row>
    <row r="51" spans="2:16" hidden="1" x14ac:dyDescent="0.25">
      <c r="B51" s="66" t="s">
        <v>126</v>
      </c>
      <c r="C51" s="52" t="s">
        <v>127</v>
      </c>
      <c r="D51" s="24"/>
      <c r="E51" s="24"/>
      <c r="F51" s="25">
        <f t="shared" si="13"/>
        <v>0</v>
      </c>
      <c r="G51" s="24"/>
      <c r="H51" s="24"/>
      <c r="I51" s="25">
        <f t="shared" si="14"/>
        <v>0</v>
      </c>
    </row>
    <row r="52" spans="2:16" hidden="1" x14ac:dyDescent="0.25">
      <c r="B52" s="66" t="s">
        <v>128</v>
      </c>
      <c r="C52" s="52" t="s">
        <v>129</v>
      </c>
      <c r="D52" s="24"/>
      <c r="E52" s="24"/>
      <c r="F52" s="25">
        <f t="shared" si="13"/>
        <v>0</v>
      </c>
      <c r="G52" s="24"/>
      <c r="H52" s="24"/>
      <c r="I52" s="25">
        <f t="shared" si="14"/>
        <v>0</v>
      </c>
    </row>
    <row r="53" spans="2:16" hidden="1" x14ac:dyDescent="0.25">
      <c r="B53" s="66" t="s">
        <v>130</v>
      </c>
      <c r="C53" s="52" t="s">
        <v>131</v>
      </c>
      <c r="D53" s="24"/>
      <c r="E53" s="24"/>
      <c r="F53" s="25">
        <f t="shared" si="13"/>
        <v>0</v>
      </c>
      <c r="G53" s="24"/>
      <c r="H53" s="24"/>
      <c r="I53" s="25">
        <f t="shared" si="14"/>
        <v>0</v>
      </c>
    </row>
    <row r="54" spans="2:16" hidden="1" x14ac:dyDescent="0.25">
      <c r="B54" s="59" t="s">
        <v>622</v>
      </c>
      <c r="C54" s="52" t="s">
        <v>133</v>
      </c>
      <c r="D54" s="24"/>
      <c r="E54" s="24"/>
      <c r="F54" s="25">
        <f t="shared" si="13"/>
        <v>0</v>
      </c>
      <c r="G54" s="24"/>
      <c r="H54" s="24"/>
      <c r="I54" s="25">
        <f t="shared" si="14"/>
        <v>0</v>
      </c>
    </row>
    <row r="55" spans="2:16" hidden="1" x14ac:dyDescent="0.25">
      <c r="B55" s="66" t="s">
        <v>134</v>
      </c>
      <c r="C55" s="52" t="s">
        <v>135</v>
      </c>
      <c r="D55" s="24"/>
      <c r="E55" s="24"/>
      <c r="F55" s="25">
        <f t="shared" si="13"/>
        <v>0</v>
      </c>
      <c r="G55" s="24"/>
      <c r="H55" s="24"/>
      <c r="I55" s="25">
        <f t="shared" si="14"/>
        <v>0</v>
      </c>
    </row>
    <row r="56" spans="2:16" s="31" customFormat="1" x14ac:dyDescent="0.25">
      <c r="B56" s="57" t="s">
        <v>136</v>
      </c>
      <c r="C56" s="55" t="s">
        <v>137</v>
      </c>
      <c r="D56" s="25">
        <f t="shared" ref="D56:I56" si="15">SUM(D47:D55)</f>
        <v>0</v>
      </c>
      <c r="E56" s="25">
        <f t="shared" si="15"/>
        <v>0</v>
      </c>
      <c r="F56" s="25">
        <f t="shared" si="15"/>
        <v>0</v>
      </c>
      <c r="G56" s="25">
        <f t="shared" si="15"/>
        <v>0</v>
      </c>
      <c r="H56" s="25">
        <f t="shared" si="15"/>
        <v>0</v>
      </c>
      <c r="I56" s="25">
        <f t="shared" si="15"/>
        <v>0</v>
      </c>
    </row>
    <row r="57" spans="2:16" x14ac:dyDescent="0.25">
      <c r="B57" s="60" t="s">
        <v>138</v>
      </c>
      <c r="C57" s="61" t="s">
        <v>139</v>
      </c>
      <c r="D57" s="62">
        <f t="shared" ref="D57:I57" si="16">+D56+D46+D41</f>
        <v>1361001</v>
      </c>
      <c r="E57" s="62">
        <f t="shared" si="16"/>
        <v>900100</v>
      </c>
      <c r="F57" s="62">
        <f t="shared" si="16"/>
        <v>2261101</v>
      </c>
      <c r="G57" s="62">
        <f t="shared" si="16"/>
        <v>3274901</v>
      </c>
      <c r="H57" s="62">
        <f t="shared" si="16"/>
        <v>900100</v>
      </c>
      <c r="I57" s="62">
        <f t="shared" si="16"/>
        <v>4175001</v>
      </c>
    </row>
    <row r="58" spans="2:16" x14ac:dyDescent="0.25">
      <c r="B58" s="67" t="s">
        <v>140</v>
      </c>
      <c r="C58" s="68" t="s">
        <v>141</v>
      </c>
      <c r="D58" s="69">
        <f t="shared" ref="D58:I58" si="17">+D56+D46+D41+D32+D17+D16+D10+D9</f>
        <v>77586918</v>
      </c>
      <c r="E58" s="69">
        <f t="shared" si="17"/>
        <v>8437743</v>
      </c>
      <c r="F58" s="69">
        <f t="shared" si="17"/>
        <v>86024661</v>
      </c>
      <c r="G58" s="69">
        <f t="shared" si="17"/>
        <v>78922077</v>
      </c>
      <c r="H58" s="69">
        <f t="shared" si="17"/>
        <v>8437743</v>
      </c>
      <c r="I58" s="69">
        <f t="shared" si="17"/>
        <v>87359820</v>
      </c>
    </row>
    <row r="59" spans="2:16" hidden="1" x14ac:dyDescent="0.25">
      <c r="B59" s="71" t="s">
        <v>602</v>
      </c>
      <c r="C59" s="53" t="s">
        <v>167</v>
      </c>
      <c r="D59" s="218"/>
      <c r="E59" s="218"/>
      <c r="F59" s="24">
        <f>+D59+E59</f>
        <v>0</v>
      </c>
      <c r="G59" s="218"/>
      <c r="H59" s="218"/>
      <c r="I59" s="24">
        <f>+G59+H59</f>
        <v>0</v>
      </c>
      <c r="J59" s="219"/>
      <c r="K59" s="219"/>
      <c r="L59" s="219"/>
      <c r="M59" s="219"/>
      <c r="N59" s="219"/>
      <c r="O59" s="219"/>
      <c r="P59" s="219"/>
    </row>
    <row r="60" spans="2:16" hidden="1" x14ac:dyDescent="0.25">
      <c r="B60" s="71" t="s">
        <v>168</v>
      </c>
      <c r="C60" s="53" t="s">
        <v>169</v>
      </c>
      <c r="D60" s="218"/>
      <c r="E60" s="218"/>
      <c r="F60" s="24">
        <f>+D60+E60</f>
        <v>0</v>
      </c>
      <c r="G60" s="218"/>
      <c r="H60" s="218"/>
      <c r="I60" s="24">
        <f>+G60+H60</f>
        <v>0</v>
      </c>
      <c r="J60" s="219"/>
      <c r="K60" s="219"/>
      <c r="L60" s="219"/>
      <c r="M60" s="219"/>
      <c r="N60" s="219"/>
      <c r="O60" s="219"/>
      <c r="P60" s="219"/>
    </row>
    <row r="61" spans="2:16" hidden="1" x14ac:dyDescent="0.25">
      <c r="B61" s="66" t="s">
        <v>170</v>
      </c>
      <c r="C61" s="53" t="s">
        <v>171</v>
      </c>
      <c r="D61" s="218"/>
      <c r="E61" s="218"/>
      <c r="F61" s="24">
        <f>+D61+E61</f>
        <v>0</v>
      </c>
      <c r="G61" s="218"/>
      <c r="H61" s="218"/>
      <c r="I61" s="24">
        <f>+G61+H61</f>
        <v>0</v>
      </c>
      <c r="J61" s="220"/>
      <c r="K61" s="220"/>
      <c r="L61" s="220"/>
      <c r="M61" s="220"/>
      <c r="N61" s="220"/>
      <c r="O61" s="220"/>
      <c r="P61" s="220"/>
    </row>
    <row r="62" spans="2:16" hidden="1" x14ac:dyDescent="0.25">
      <c r="B62" s="66" t="s">
        <v>172</v>
      </c>
      <c r="C62" s="53" t="s">
        <v>173</v>
      </c>
      <c r="D62" s="218"/>
      <c r="E62" s="218"/>
      <c r="F62" s="24">
        <f>+D62+E62</f>
        <v>0</v>
      </c>
      <c r="G62" s="218"/>
      <c r="H62" s="218"/>
      <c r="I62" s="24">
        <f>+G62+H62</f>
        <v>0</v>
      </c>
      <c r="J62" s="220"/>
      <c r="K62" s="220"/>
      <c r="L62" s="220"/>
      <c r="M62" s="220"/>
      <c r="N62" s="220"/>
      <c r="O62" s="220"/>
      <c r="P62" s="220"/>
    </row>
    <row r="63" spans="2:16" x14ac:dyDescent="0.25">
      <c r="B63" s="74" t="s">
        <v>174</v>
      </c>
      <c r="C63" s="75" t="s">
        <v>175</v>
      </c>
      <c r="D63" s="76">
        <f t="shared" ref="D63:I63" si="18">+D61+D60+D59+D62</f>
        <v>0</v>
      </c>
      <c r="E63" s="76">
        <f t="shared" si="18"/>
        <v>0</v>
      </c>
      <c r="F63" s="76">
        <f t="shared" si="18"/>
        <v>0</v>
      </c>
      <c r="G63" s="76">
        <f t="shared" si="18"/>
        <v>0</v>
      </c>
      <c r="H63" s="76">
        <f t="shared" si="18"/>
        <v>0</v>
      </c>
      <c r="I63" s="76">
        <f t="shared" si="18"/>
        <v>0</v>
      </c>
      <c r="J63" s="221"/>
      <c r="K63" s="221"/>
      <c r="L63" s="221"/>
      <c r="M63" s="221"/>
      <c r="N63" s="221"/>
      <c r="O63" s="221"/>
      <c r="P63" s="221"/>
    </row>
    <row r="64" spans="2:16" x14ac:dyDescent="0.25">
      <c r="B64" s="28" t="s">
        <v>176</v>
      </c>
      <c r="C64" s="28" t="s">
        <v>177</v>
      </c>
      <c r="D64" s="29">
        <f t="shared" ref="D64:I64" si="19">+D58+D63</f>
        <v>77586918</v>
      </c>
      <c r="E64" s="29">
        <f t="shared" si="19"/>
        <v>8437743</v>
      </c>
      <c r="F64" s="29">
        <f t="shared" si="19"/>
        <v>86024661</v>
      </c>
      <c r="G64" s="29">
        <f t="shared" si="19"/>
        <v>78922077</v>
      </c>
      <c r="H64" s="29">
        <f t="shared" si="19"/>
        <v>8437743</v>
      </c>
      <c r="I64" s="29">
        <f t="shared" si="19"/>
        <v>87359820</v>
      </c>
    </row>
    <row r="65" spans="2:9" x14ac:dyDescent="0.25">
      <c r="B65" s="13"/>
      <c r="C65" s="13"/>
      <c r="D65" s="14"/>
      <c r="E65" s="14"/>
      <c r="F65" s="77"/>
      <c r="G65" s="14"/>
      <c r="H65" s="14"/>
      <c r="I65" s="77"/>
    </row>
    <row r="66" spans="2:9" ht="15.75" hidden="1" customHeight="1" x14ac:dyDescent="0.25">
      <c r="B66" s="13"/>
      <c r="C66" s="13"/>
      <c r="D66" s="494" t="s">
        <v>11</v>
      </c>
      <c r="E66" s="494"/>
      <c r="F66" s="494"/>
      <c r="G66" s="494" t="s">
        <v>11</v>
      </c>
      <c r="H66" s="494"/>
      <c r="I66" s="494"/>
    </row>
    <row r="67" spans="2:9" ht="31.5" x14ac:dyDescent="0.25">
      <c r="B67" s="19" t="s">
        <v>12</v>
      </c>
      <c r="C67" s="47" t="s">
        <v>178</v>
      </c>
      <c r="D67" s="48" t="s">
        <v>13</v>
      </c>
      <c r="E67" s="48" t="s">
        <v>14</v>
      </c>
      <c r="F67" s="47" t="s">
        <v>543</v>
      </c>
      <c r="G67" s="48" t="s">
        <v>13</v>
      </c>
      <c r="H67" s="48" t="s">
        <v>14</v>
      </c>
      <c r="I67" s="47" t="s">
        <v>543</v>
      </c>
    </row>
    <row r="68" spans="2:9" hidden="1" x14ac:dyDescent="0.25">
      <c r="B68" s="56" t="s">
        <v>603</v>
      </c>
      <c r="C68" s="65" t="s">
        <v>192</v>
      </c>
      <c r="D68" s="25"/>
      <c r="E68" s="25"/>
      <c r="F68" s="25">
        <f t="shared" ref="F68:F73" si="20">+E68+D68</f>
        <v>0</v>
      </c>
      <c r="G68" s="25"/>
      <c r="H68" s="25"/>
      <c r="I68" s="25">
        <f t="shared" ref="I68:I73" si="21">+H68+G68</f>
        <v>0</v>
      </c>
    </row>
    <row r="69" spans="2:9" hidden="1" x14ac:dyDescent="0.25">
      <c r="B69" s="53" t="s">
        <v>193</v>
      </c>
      <c r="C69" s="64" t="s">
        <v>194</v>
      </c>
      <c r="D69" s="25"/>
      <c r="E69" s="25"/>
      <c r="F69" s="25">
        <f t="shared" si="20"/>
        <v>0</v>
      </c>
      <c r="G69" s="25"/>
      <c r="H69" s="25"/>
      <c r="I69" s="25">
        <f t="shared" si="21"/>
        <v>0</v>
      </c>
    </row>
    <row r="70" spans="2:9" ht="31.5" hidden="1" x14ac:dyDescent="0.25">
      <c r="B70" s="53" t="s">
        <v>604</v>
      </c>
      <c r="C70" s="64" t="s">
        <v>196</v>
      </c>
      <c r="D70" s="25"/>
      <c r="E70" s="25"/>
      <c r="F70" s="25">
        <f t="shared" si="20"/>
        <v>0</v>
      </c>
      <c r="G70" s="25"/>
      <c r="H70" s="25"/>
      <c r="I70" s="25">
        <f t="shared" si="21"/>
        <v>0</v>
      </c>
    </row>
    <row r="71" spans="2:9" hidden="1" x14ac:dyDescent="0.25">
      <c r="B71" s="53" t="s">
        <v>197</v>
      </c>
      <c r="C71" s="64" t="s">
        <v>198</v>
      </c>
      <c r="D71" s="25"/>
      <c r="E71" s="25"/>
      <c r="F71" s="25">
        <f t="shared" si="20"/>
        <v>0</v>
      </c>
      <c r="G71" s="25"/>
      <c r="H71" s="25"/>
      <c r="I71" s="25">
        <f t="shared" si="21"/>
        <v>0</v>
      </c>
    </row>
    <row r="72" spans="2:9" hidden="1" x14ac:dyDescent="0.25">
      <c r="B72" s="53" t="s">
        <v>199</v>
      </c>
      <c r="C72" s="64" t="s">
        <v>200</v>
      </c>
      <c r="D72" s="25"/>
      <c r="E72" s="25"/>
      <c r="F72" s="25">
        <f t="shared" si="20"/>
        <v>0</v>
      </c>
      <c r="G72" s="25"/>
      <c r="H72" s="25"/>
      <c r="I72" s="25">
        <f t="shared" si="21"/>
        <v>0</v>
      </c>
    </row>
    <row r="73" spans="2:9" x14ac:dyDescent="0.25">
      <c r="B73" s="53" t="s">
        <v>201</v>
      </c>
      <c r="C73" s="64" t="s">
        <v>202</v>
      </c>
      <c r="D73" s="24">
        <f>2199108+271495+542990</f>
        <v>3013593</v>
      </c>
      <c r="E73" s="24"/>
      <c r="F73" s="25">
        <f t="shared" si="20"/>
        <v>3013593</v>
      </c>
      <c r="G73" s="24">
        <v>4169085</v>
      </c>
      <c r="H73" s="24"/>
      <c r="I73" s="25">
        <f t="shared" si="21"/>
        <v>4169085</v>
      </c>
    </row>
    <row r="74" spans="2:9" x14ac:dyDescent="0.25">
      <c r="B74" s="56" t="s">
        <v>203</v>
      </c>
      <c r="C74" s="65" t="s">
        <v>204</v>
      </c>
      <c r="D74" s="25">
        <f t="shared" ref="D74:I74" si="22">+D73+D72+D71+D70+D69+D68</f>
        <v>3013593</v>
      </c>
      <c r="E74" s="25">
        <f t="shared" si="22"/>
        <v>0</v>
      </c>
      <c r="F74" s="25">
        <f t="shared" si="22"/>
        <v>3013593</v>
      </c>
      <c r="G74" s="25">
        <f>+G73+G72+G71+G70+G69+G68</f>
        <v>4169085</v>
      </c>
      <c r="H74" s="25">
        <f t="shared" ref="H74" si="23">+H73+H72+H71+H70+H69+H68</f>
        <v>0</v>
      </c>
      <c r="I74" s="25">
        <f t="shared" si="22"/>
        <v>4169085</v>
      </c>
    </row>
    <row r="75" spans="2:9" x14ac:dyDescent="0.25">
      <c r="B75" s="56" t="s">
        <v>205</v>
      </c>
      <c r="C75" s="65" t="s">
        <v>206</v>
      </c>
      <c r="D75" s="24"/>
      <c r="E75" s="24"/>
      <c r="F75" s="25">
        <f t="shared" ref="F75:F81" si="24">+E75+D75</f>
        <v>0</v>
      </c>
      <c r="G75" s="24"/>
      <c r="H75" s="24"/>
      <c r="I75" s="25">
        <f t="shared" ref="I75:I81" si="25">+H75+G75</f>
        <v>0</v>
      </c>
    </row>
    <row r="76" spans="2:9" hidden="1" x14ac:dyDescent="0.25">
      <c r="B76" s="53" t="s">
        <v>207</v>
      </c>
      <c r="C76" s="64" t="s">
        <v>208</v>
      </c>
      <c r="D76" s="24"/>
      <c r="E76" s="24"/>
      <c r="F76" s="25">
        <f t="shared" si="24"/>
        <v>0</v>
      </c>
      <c r="G76" s="24"/>
      <c r="H76" s="24"/>
      <c r="I76" s="25">
        <f t="shared" si="25"/>
        <v>0</v>
      </c>
    </row>
    <row r="77" spans="2:9" hidden="1" x14ac:dyDescent="0.25">
      <c r="B77" s="53" t="s">
        <v>209</v>
      </c>
      <c r="C77" s="64" t="s">
        <v>210</v>
      </c>
      <c r="D77" s="24"/>
      <c r="E77" s="24"/>
      <c r="F77" s="25">
        <f t="shared" si="24"/>
        <v>0</v>
      </c>
      <c r="G77" s="24"/>
      <c r="H77" s="24"/>
      <c r="I77" s="25">
        <f t="shared" si="25"/>
        <v>0</v>
      </c>
    </row>
    <row r="78" spans="2:9" hidden="1" x14ac:dyDescent="0.25">
      <c r="B78" s="53" t="s">
        <v>211</v>
      </c>
      <c r="C78" s="64" t="s">
        <v>212</v>
      </c>
      <c r="D78" s="24"/>
      <c r="E78" s="24"/>
      <c r="F78" s="25">
        <f t="shared" si="24"/>
        <v>0</v>
      </c>
      <c r="G78" s="24"/>
      <c r="H78" s="24"/>
      <c r="I78" s="25">
        <f t="shared" si="25"/>
        <v>0</v>
      </c>
    </row>
    <row r="79" spans="2:9" hidden="1" x14ac:dyDescent="0.25">
      <c r="B79" s="53" t="s">
        <v>213</v>
      </c>
      <c r="C79" s="64" t="s">
        <v>214</v>
      </c>
      <c r="D79" s="24"/>
      <c r="E79" s="24"/>
      <c r="F79" s="25">
        <f t="shared" si="24"/>
        <v>0</v>
      </c>
      <c r="G79" s="24"/>
      <c r="H79" s="24"/>
      <c r="I79" s="25">
        <f t="shared" si="25"/>
        <v>0</v>
      </c>
    </row>
    <row r="80" spans="2:9" hidden="1" x14ac:dyDescent="0.25">
      <c r="B80" s="53" t="s">
        <v>215</v>
      </c>
      <c r="C80" s="64" t="s">
        <v>216</v>
      </c>
      <c r="D80" s="24"/>
      <c r="E80" s="24"/>
      <c r="F80" s="25">
        <f t="shared" si="24"/>
        <v>0</v>
      </c>
      <c r="G80" s="24"/>
      <c r="H80" s="24"/>
      <c r="I80" s="25">
        <f t="shared" si="25"/>
        <v>0</v>
      </c>
    </row>
    <row r="81" spans="2:9" hidden="1" x14ac:dyDescent="0.25">
      <c r="B81" s="53" t="s">
        <v>217</v>
      </c>
      <c r="C81" s="64" t="s">
        <v>218</v>
      </c>
      <c r="D81" s="24"/>
      <c r="E81" s="24"/>
      <c r="F81" s="25">
        <f t="shared" si="24"/>
        <v>0</v>
      </c>
      <c r="G81" s="24"/>
      <c r="H81" s="24"/>
      <c r="I81" s="25">
        <f t="shared" si="25"/>
        <v>0</v>
      </c>
    </row>
    <row r="82" spans="2:9" x14ac:dyDescent="0.25">
      <c r="B82" s="56" t="s">
        <v>219</v>
      </c>
      <c r="C82" s="65" t="s">
        <v>220</v>
      </c>
      <c r="D82" s="25">
        <f t="shared" ref="D82:I82" si="26">SUM(D76:D81)</f>
        <v>0</v>
      </c>
      <c r="E82" s="25">
        <f t="shared" si="26"/>
        <v>0</v>
      </c>
      <c r="F82" s="25">
        <f t="shared" si="26"/>
        <v>0</v>
      </c>
      <c r="G82" s="25">
        <f>SUM(G76:G81)</f>
        <v>0</v>
      </c>
      <c r="H82" s="25">
        <f t="shared" ref="H82" si="27">SUM(H76:H81)</f>
        <v>0</v>
      </c>
      <c r="I82" s="25">
        <f t="shared" si="26"/>
        <v>0</v>
      </c>
    </row>
    <row r="83" spans="2:9" x14ac:dyDescent="0.25">
      <c r="B83" s="66" t="s">
        <v>607</v>
      </c>
      <c r="C83" s="64" t="s">
        <v>222</v>
      </c>
      <c r="D83" s="24"/>
      <c r="E83" s="24"/>
      <c r="F83" s="25">
        <f t="shared" ref="F83:F93" si="28">+E83+D83</f>
        <v>0</v>
      </c>
      <c r="G83" s="24"/>
      <c r="H83" s="24"/>
      <c r="I83" s="25">
        <f t="shared" ref="I83:I93" si="29">+H83+G83</f>
        <v>0</v>
      </c>
    </row>
    <row r="84" spans="2:9" x14ac:dyDescent="0.25">
      <c r="B84" s="66" t="s">
        <v>223</v>
      </c>
      <c r="C84" s="64" t="s">
        <v>224</v>
      </c>
      <c r="D84" s="24">
        <f>6193873+2000000</f>
        <v>8193873</v>
      </c>
      <c r="E84" s="24"/>
      <c r="F84" s="25">
        <f t="shared" si="28"/>
        <v>8193873</v>
      </c>
      <c r="G84" s="24">
        <f>6193873+2000000</f>
        <v>8193873</v>
      </c>
      <c r="H84" s="24"/>
      <c r="I84" s="25">
        <f t="shared" si="29"/>
        <v>8193873</v>
      </c>
    </row>
    <row r="85" spans="2:9" x14ac:dyDescent="0.25">
      <c r="B85" s="66" t="s">
        <v>225</v>
      </c>
      <c r="C85" s="64" t="s">
        <v>226</v>
      </c>
      <c r="D85" s="24"/>
      <c r="E85" s="24"/>
      <c r="F85" s="25">
        <f t="shared" si="28"/>
        <v>0</v>
      </c>
      <c r="G85" s="24"/>
      <c r="H85" s="24"/>
      <c r="I85" s="25">
        <f t="shared" si="29"/>
        <v>0</v>
      </c>
    </row>
    <row r="86" spans="2:9" x14ac:dyDescent="0.25">
      <c r="B86" s="66" t="s">
        <v>227</v>
      </c>
      <c r="C86" s="64" t="s">
        <v>228</v>
      </c>
      <c r="D86" s="24"/>
      <c r="E86" s="24"/>
      <c r="F86" s="25">
        <f t="shared" si="28"/>
        <v>0</v>
      </c>
      <c r="G86" s="24"/>
      <c r="H86" s="24"/>
      <c r="I86" s="25">
        <f t="shared" si="29"/>
        <v>0</v>
      </c>
    </row>
    <row r="87" spans="2:9" x14ac:dyDescent="0.25">
      <c r="B87" s="66" t="s">
        <v>229</v>
      </c>
      <c r="C87" s="64" t="s">
        <v>230</v>
      </c>
      <c r="D87" s="24"/>
      <c r="E87" s="24"/>
      <c r="F87" s="25">
        <f t="shared" si="28"/>
        <v>0</v>
      </c>
      <c r="G87" s="24"/>
      <c r="H87" s="24"/>
      <c r="I87" s="25">
        <f t="shared" si="29"/>
        <v>0</v>
      </c>
    </row>
    <row r="88" spans="2:9" x14ac:dyDescent="0.25">
      <c r="B88" s="66" t="s">
        <v>231</v>
      </c>
      <c r="C88" s="64" t="s">
        <v>232</v>
      </c>
      <c r="D88" s="24">
        <v>1672346</v>
      </c>
      <c r="E88" s="24"/>
      <c r="F88" s="25">
        <f t="shared" si="28"/>
        <v>1672346</v>
      </c>
      <c r="G88" s="24">
        <v>1672346</v>
      </c>
      <c r="H88" s="24"/>
      <c r="I88" s="25">
        <f t="shared" si="29"/>
        <v>1672346</v>
      </c>
    </row>
    <row r="89" spans="2:9" x14ac:dyDescent="0.25">
      <c r="B89" s="66" t="s">
        <v>233</v>
      </c>
      <c r="C89" s="64" t="s">
        <v>234</v>
      </c>
      <c r="D89" s="24"/>
      <c r="E89" s="24"/>
      <c r="F89" s="25">
        <f t="shared" si="28"/>
        <v>0</v>
      </c>
      <c r="G89" s="24"/>
      <c r="H89" s="24"/>
      <c r="I89" s="25">
        <f t="shared" si="29"/>
        <v>0</v>
      </c>
    </row>
    <row r="90" spans="2:9" x14ac:dyDescent="0.25">
      <c r="B90" s="66" t="s">
        <v>235</v>
      </c>
      <c r="C90" s="64" t="s">
        <v>236</v>
      </c>
      <c r="D90" s="24"/>
      <c r="E90" s="24"/>
      <c r="F90" s="25">
        <f t="shared" si="28"/>
        <v>0</v>
      </c>
      <c r="G90" s="24"/>
      <c r="H90" s="24"/>
      <c r="I90" s="25">
        <f t="shared" si="29"/>
        <v>0</v>
      </c>
    </row>
    <row r="91" spans="2:9" x14ac:dyDescent="0.25">
      <c r="B91" s="66" t="s">
        <v>237</v>
      </c>
      <c r="C91" s="64" t="s">
        <v>238</v>
      </c>
      <c r="D91" s="24"/>
      <c r="E91" s="24"/>
      <c r="F91" s="25">
        <f t="shared" si="28"/>
        <v>0</v>
      </c>
      <c r="G91" s="24"/>
      <c r="H91" s="24"/>
      <c r="I91" s="25">
        <f t="shared" si="29"/>
        <v>0</v>
      </c>
    </row>
    <row r="92" spans="2:9" x14ac:dyDescent="0.25">
      <c r="B92" s="66" t="s">
        <v>239</v>
      </c>
      <c r="C92" s="64" t="s">
        <v>240</v>
      </c>
      <c r="D92" s="24"/>
      <c r="E92" s="24"/>
      <c r="F92" s="25">
        <f t="shared" si="28"/>
        <v>0</v>
      </c>
      <c r="G92" s="24"/>
      <c r="H92" s="24"/>
      <c r="I92" s="25">
        <f t="shared" si="29"/>
        <v>0</v>
      </c>
    </row>
    <row r="93" spans="2:9" x14ac:dyDescent="0.25">
      <c r="B93" s="66" t="s">
        <v>241</v>
      </c>
      <c r="C93" s="64" t="s">
        <v>242</v>
      </c>
      <c r="D93" s="24"/>
      <c r="E93" s="24"/>
      <c r="F93" s="25">
        <f t="shared" si="28"/>
        <v>0</v>
      </c>
      <c r="G93" s="24"/>
      <c r="H93" s="24"/>
      <c r="I93" s="25">
        <f t="shared" si="29"/>
        <v>0</v>
      </c>
    </row>
    <row r="94" spans="2:9" x14ac:dyDescent="0.25">
      <c r="B94" s="57" t="s">
        <v>243</v>
      </c>
      <c r="C94" s="65" t="s">
        <v>244</v>
      </c>
      <c r="D94" s="25">
        <f t="shared" ref="D94:I94" si="30">SUM(D83:D93)</f>
        <v>9866219</v>
      </c>
      <c r="E94" s="25">
        <f t="shared" si="30"/>
        <v>0</v>
      </c>
      <c r="F94" s="25">
        <f t="shared" si="30"/>
        <v>9866219</v>
      </c>
      <c r="G94" s="25">
        <f t="shared" si="30"/>
        <v>9866219</v>
      </c>
      <c r="H94" s="25">
        <f t="shared" si="30"/>
        <v>0</v>
      </c>
      <c r="I94" s="25">
        <f t="shared" si="30"/>
        <v>9866219</v>
      </c>
    </row>
    <row r="95" spans="2:9" x14ac:dyDescent="0.25">
      <c r="B95" s="66" t="s">
        <v>245</v>
      </c>
      <c r="C95" s="64" t="s">
        <v>246</v>
      </c>
      <c r="D95" s="24"/>
      <c r="E95" s="24"/>
      <c r="F95" s="25">
        <f>+E95+D95</f>
        <v>0</v>
      </c>
      <c r="G95" s="24"/>
      <c r="H95" s="24"/>
      <c r="I95" s="25">
        <f>+H95+G95</f>
        <v>0</v>
      </c>
    </row>
    <row r="96" spans="2:9" x14ac:dyDescent="0.25">
      <c r="B96" s="66" t="s">
        <v>247</v>
      </c>
      <c r="C96" s="64" t="s">
        <v>248</v>
      </c>
      <c r="D96" s="24"/>
      <c r="E96" s="24"/>
      <c r="F96" s="25">
        <f>+E96+D96</f>
        <v>0</v>
      </c>
      <c r="G96" s="24"/>
      <c r="H96" s="24"/>
      <c r="I96" s="25">
        <f>+H96+G96</f>
        <v>0</v>
      </c>
    </row>
    <row r="97" spans="2:9" x14ac:dyDescent="0.25">
      <c r="B97" s="66" t="s">
        <v>249</v>
      </c>
      <c r="C97" s="64" t="s">
        <v>250</v>
      </c>
      <c r="D97" s="24"/>
      <c r="E97" s="24"/>
      <c r="F97" s="25">
        <f>+E97+D97</f>
        <v>0</v>
      </c>
      <c r="G97" s="24"/>
      <c r="H97" s="24"/>
      <c r="I97" s="25">
        <f>+H97+G97</f>
        <v>0</v>
      </c>
    </row>
    <row r="98" spans="2:9" x14ac:dyDescent="0.25">
      <c r="B98" s="66" t="s">
        <v>251</v>
      </c>
      <c r="C98" s="64" t="s">
        <v>252</v>
      </c>
      <c r="D98" s="24"/>
      <c r="E98" s="24"/>
      <c r="F98" s="25">
        <f>+E98+D98</f>
        <v>0</v>
      </c>
      <c r="G98" s="24"/>
      <c r="H98" s="24"/>
      <c r="I98" s="25">
        <f>+H98+G98</f>
        <v>0</v>
      </c>
    </row>
    <row r="99" spans="2:9" x14ac:dyDescent="0.25">
      <c r="B99" s="66" t="s">
        <v>253</v>
      </c>
      <c r="C99" s="64" t="s">
        <v>254</v>
      </c>
      <c r="D99" s="24"/>
      <c r="E99" s="24"/>
      <c r="F99" s="25">
        <f>+E99+D99</f>
        <v>0</v>
      </c>
      <c r="G99" s="24"/>
      <c r="H99" s="24"/>
      <c r="I99" s="25">
        <f>+H99+G99</f>
        <v>0</v>
      </c>
    </row>
    <row r="100" spans="2:9" x14ac:dyDescent="0.25">
      <c r="B100" s="56" t="s">
        <v>255</v>
      </c>
      <c r="C100" s="65" t="s">
        <v>256</v>
      </c>
      <c r="D100" s="25">
        <f t="shared" ref="D100:I100" si="31">SUM(D95:D99)</f>
        <v>0</v>
      </c>
      <c r="E100" s="25">
        <f t="shared" si="31"/>
        <v>0</v>
      </c>
      <c r="F100" s="25">
        <f t="shared" si="31"/>
        <v>0</v>
      </c>
      <c r="G100" s="25">
        <f t="shared" si="31"/>
        <v>0</v>
      </c>
      <c r="H100" s="25">
        <f t="shared" si="31"/>
        <v>0</v>
      </c>
      <c r="I100" s="25">
        <f t="shared" si="31"/>
        <v>0</v>
      </c>
    </row>
    <row r="101" spans="2:9" x14ac:dyDescent="0.25">
      <c r="B101" s="56" t="s">
        <v>257</v>
      </c>
      <c r="C101" s="65" t="s">
        <v>258</v>
      </c>
      <c r="D101" s="24"/>
      <c r="E101" s="24"/>
      <c r="F101" s="25">
        <f>+E101+D101</f>
        <v>0</v>
      </c>
      <c r="G101" s="24"/>
      <c r="H101" s="24"/>
      <c r="I101" s="25">
        <f>+H101+G101</f>
        <v>0</v>
      </c>
    </row>
    <row r="102" spans="2:9" hidden="1" x14ac:dyDescent="0.25">
      <c r="B102" s="66" t="s">
        <v>259</v>
      </c>
      <c r="C102" s="64" t="s">
        <v>260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</row>
    <row r="103" spans="2:9" hidden="1" x14ac:dyDescent="0.25">
      <c r="B103" s="53" t="s">
        <v>261</v>
      </c>
      <c r="C103" s="64" t="s">
        <v>262</v>
      </c>
      <c r="D103" s="24"/>
      <c r="E103" s="24"/>
      <c r="F103" s="25"/>
      <c r="G103" s="24"/>
      <c r="H103" s="24"/>
      <c r="I103" s="25"/>
    </row>
    <row r="104" spans="2:9" ht="31.5" hidden="1" x14ac:dyDescent="0.25">
      <c r="B104" s="66" t="s">
        <v>263</v>
      </c>
      <c r="C104" s="64" t="s">
        <v>264</v>
      </c>
      <c r="D104" s="24"/>
      <c r="E104" s="24"/>
      <c r="F104" s="25"/>
      <c r="G104" s="24"/>
      <c r="H104" s="24"/>
      <c r="I104" s="25"/>
    </row>
    <row r="105" spans="2:9" hidden="1" x14ac:dyDescent="0.25">
      <c r="B105" s="66" t="s">
        <v>265</v>
      </c>
      <c r="C105" s="64" t="s">
        <v>266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</row>
    <row r="106" spans="2:9" x14ac:dyDescent="0.25">
      <c r="B106" s="66" t="s">
        <v>267</v>
      </c>
      <c r="C106" s="64" t="s">
        <v>268</v>
      </c>
      <c r="D106" s="24"/>
      <c r="E106" s="24"/>
      <c r="F106" s="25">
        <f>+E106+D106</f>
        <v>0</v>
      </c>
      <c r="G106" s="24"/>
      <c r="H106" s="24"/>
      <c r="I106" s="25">
        <f>+H106+G106</f>
        <v>0</v>
      </c>
    </row>
    <row r="107" spans="2:9" x14ac:dyDescent="0.25">
      <c r="B107" s="56" t="s">
        <v>269</v>
      </c>
      <c r="C107" s="65" t="s">
        <v>270</v>
      </c>
      <c r="D107" s="25">
        <f t="shared" ref="D107:I107" si="32">SUM(D102:D106)</f>
        <v>0</v>
      </c>
      <c r="E107" s="25">
        <f t="shared" si="32"/>
        <v>0</v>
      </c>
      <c r="F107" s="25">
        <f t="shared" si="32"/>
        <v>0</v>
      </c>
      <c r="G107" s="25">
        <f t="shared" si="32"/>
        <v>0</v>
      </c>
      <c r="H107" s="25">
        <f t="shared" si="32"/>
        <v>0</v>
      </c>
      <c r="I107" s="25">
        <f t="shared" si="32"/>
        <v>0</v>
      </c>
    </row>
    <row r="108" spans="2:9" x14ac:dyDescent="0.25">
      <c r="B108" s="78" t="s">
        <v>271</v>
      </c>
      <c r="C108" s="67" t="s">
        <v>272</v>
      </c>
      <c r="D108" s="69">
        <f t="shared" ref="D108:I108" si="33">+D107+D101+D100+D94+D82+D75+D74</f>
        <v>12879812</v>
      </c>
      <c r="E108" s="69">
        <f t="shared" si="33"/>
        <v>0</v>
      </c>
      <c r="F108" s="69">
        <f t="shared" si="33"/>
        <v>12879812</v>
      </c>
      <c r="G108" s="69">
        <f t="shared" si="33"/>
        <v>14035304</v>
      </c>
      <c r="H108" s="69">
        <f t="shared" si="33"/>
        <v>0</v>
      </c>
      <c r="I108" s="69">
        <f t="shared" si="33"/>
        <v>14035304</v>
      </c>
    </row>
    <row r="109" spans="2:9" x14ac:dyDescent="0.25">
      <c r="B109" s="79" t="s">
        <v>273</v>
      </c>
      <c r="C109" s="80"/>
      <c r="D109" s="81">
        <f>+D101+D94+D82+D74-D33</f>
        <v>-63346105</v>
      </c>
      <c r="E109" s="81">
        <f>+E101+E94+E82+E74-E33</f>
        <v>-7537643</v>
      </c>
      <c r="F109" s="81">
        <f t="shared" ref="F109:F116" si="34">+E109+D109</f>
        <v>-70883748</v>
      </c>
      <c r="G109" s="81">
        <f>+G101+G94+G82+G74-G33</f>
        <v>-61611872</v>
      </c>
      <c r="H109" s="81">
        <f>+H101+H94+H82+H74-H33</f>
        <v>-7537643</v>
      </c>
      <c r="I109" s="81">
        <f t="shared" ref="I109:I116" si="35">+H109+G109</f>
        <v>-69149515</v>
      </c>
    </row>
    <row r="110" spans="2:9" x14ac:dyDescent="0.25">
      <c r="B110" s="79" t="s">
        <v>274</v>
      </c>
      <c r="C110" s="80"/>
      <c r="D110" s="81">
        <f>+D107+D100+D75-D57</f>
        <v>-1361001</v>
      </c>
      <c r="E110" s="81">
        <f>+E107+E100+E75-E57</f>
        <v>-900100</v>
      </c>
      <c r="F110" s="81">
        <f t="shared" si="34"/>
        <v>-2261101</v>
      </c>
      <c r="G110" s="81">
        <f>+G107+G100+G75-G57</f>
        <v>-3274901</v>
      </c>
      <c r="H110" s="81">
        <f>+H107+H100+H75-H57</f>
        <v>-900100</v>
      </c>
      <c r="I110" s="81">
        <f t="shared" si="35"/>
        <v>-4175001</v>
      </c>
    </row>
    <row r="111" spans="2:9" hidden="1" x14ac:dyDescent="0.25">
      <c r="B111" s="57" t="s">
        <v>611</v>
      </c>
      <c r="C111" s="56" t="s">
        <v>282</v>
      </c>
      <c r="D111" s="24"/>
      <c r="E111" s="24"/>
      <c r="F111" s="25">
        <f t="shared" si="34"/>
        <v>0</v>
      </c>
      <c r="G111" s="24"/>
      <c r="H111" s="24"/>
      <c r="I111" s="25">
        <f t="shared" si="35"/>
        <v>0</v>
      </c>
    </row>
    <row r="112" spans="2:9" hidden="1" x14ac:dyDescent="0.25">
      <c r="B112" s="73" t="s">
        <v>612</v>
      </c>
      <c r="C112" s="56" t="s">
        <v>292</v>
      </c>
      <c r="D112" s="24"/>
      <c r="E112" s="24"/>
      <c r="F112" s="25">
        <f t="shared" si="34"/>
        <v>0</v>
      </c>
      <c r="G112" s="24"/>
      <c r="H112" s="24"/>
      <c r="I112" s="25">
        <f t="shared" si="35"/>
        <v>0</v>
      </c>
    </row>
    <row r="113" spans="1:9" x14ac:dyDescent="0.25">
      <c r="B113" s="53" t="s">
        <v>293</v>
      </c>
      <c r="C113" s="53" t="s">
        <v>294</v>
      </c>
      <c r="D113" s="24">
        <v>2514075</v>
      </c>
      <c r="E113" s="24">
        <v>8437743</v>
      </c>
      <c r="F113" s="25">
        <f t="shared" si="34"/>
        <v>10951818</v>
      </c>
      <c r="G113" s="24">
        <v>2514075</v>
      </c>
      <c r="H113" s="24">
        <v>8437743</v>
      </c>
      <c r="I113" s="25">
        <f t="shared" si="35"/>
        <v>10951818</v>
      </c>
    </row>
    <row r="114" spans="1:9" x14ac:dyDescent="0.25">
      <c r="B114" s="53" t="s">
        <v>295</v>
      </c>
      <c r="C114" s="53" t="s">
        <v>294</v>
      </c>
      <c r="D114" s="24"/>
      <c r="E114" s="24"/>
      <c r="F114" s="25">
        <f t="shared" si="34"/>
        <v>0</v>
      </c>
      <c r="G114" s="24"/>
      <c r="H114" s="24"/>
      <c r="I114" s="25">
        <f t="shared" si="35"/>
        <v>0</v>
      </c>
    </row>
    <row r="115" spans="1:9" hidden="1" x14ac:dyDescent="0.25">
      <c r="B115" s="53" t="s">
        <v>296</v>
      </c>
      <c r="C115" s="53" t="s">
        <v>297</v>
      </c>
      <c r="D115" s="24"/>
      <c r="E115" s="24"/>
      <c r="F115" s="25">
        <f t="shared" si="34"/>
        <v>0</v>
      </c>
      <c r="G115" s="24"/>
      <c r="H115" s="24"/>
      <c r="I115" s="25">
        <f t="shared" si="35"/>
        <v>0</v>
      </c>
    </row>
    <row r="116" spans="1:9" hidden="1" x14ac:dyDescent="0.25">
      <c r="B116" s="53" t="s">
        <v>298</v>
      </c>
      <c r="C116" s="53" t="s">
        <v>297</v>
      </c>
      <c r="D116" s="24"/>
      <c r="E116" s="24"/>
      <c r="F116" s="25">
        <f t="shared" si="34"/>
        <v>0</v>
      </c>
      <c r="G116" s="24"/>
      <c r="H116" s="24"/>
      <c r="I116" s="25">
        <f t="shared" si="35"/>
        <v>0</v>
      </c>
    </row>
    <row r="117" spans="1:9" x14ac:dyDescent="0.25">
      <c r="A117" s="13" t="s">
        <v>331</v>
      </c>
      <c r="B117" s="56" t="s">
        <v>299</v>
      </c>
      <c r="C117" s="56" t="s">
        <v>300</v>
      </c>
      <c r="D117" s="25">
        <f t="shared" ref="D117:I117" si="36">SUM(D113:D116)</f>
        <v>2514075</v>
      </c>
      <c r="E117" s="25">
        <f t="shared" si="36"/>
        <v>8437743</v>
      </c>
      <c r="F117" s="25">
        <f t="shared" si="36"/>
        <v>10951818</v>
      </c>
      <c r="G117" s="25">
        <f>SUM(G113:G116)</f>
        <v>2514075</v>
      </c>
      <c r="H117" s="25">
        <f>SUM(H113:H116)</f>
        <v>8437743</v>
      </c>
      <c r="I117" s="25">
        <f t="shared" si="36"/>
        <v>10951818</v>
      </c>
    </row>
    <row r="118" spans="1:9" hidden="1" x14ac:dyDescent="0.25">
      <c r="A118" s="13" t="s">
        <v>623</v>
      </c>
      <c r="B118" s="71" t="s">
        <v>301</v>
      </c>
      <c r="C118" s="53" t="s">
        <v>302</v>
      </c>
      <c r="D118" s="24"/>
      <c r="E118" s="24"/>
      <c r="F118" s="25">
        <f t="shared" ref="F118:F125" si="37">+E118+D118</f>
        <v>0</v>
      </c>
      <c r="G118" s="24"/>
      <c r="H118" s="24"/>
      <c r="I118" s="25">
        <f t="shared" ref="I118:I125" si="38">+H118+G118</f>
        <v>0</v>
      </c>
    </row>
    <row r="119" spans="1:9" hidden="1" x14ac:dyDescent="0.25">
      <c r="B119" s="71" t="s">
        <v>303</v>
      </c>
      <c r="C119" s="53" t="s">
        <v>304</v>
      </c>
      <c r="D119" s="24"/>
      <c r="E119" s="24"/>
      <c r="F119" s="25">
        <f t="shared" si="37"/>
        <v>0</v>
      </c>
      <c r="G119" s="24"/>
      <c r="H119" s="24"/>
      <c r="I119" s="25">
        <f t="shared" si="38"/>
        <v>0</v>
      </c>
    </row>
    <row r="120" spans="1:9" x14ac:dyDescent="0.25">
      <c r="A120" s="30" t="s">
        <v>636</v>
      </c>
      <c r="B120" s="71" t="s">
        <v>305</v>
      </c>
      <c r="C120" s="53" t="s">
        <v>306</v>
      </c>
      <c r="D120" s="24">
        <f>61238242+954789</f>
        <v>62193031</v>
      </c>
      <c r="E120" s="24"/>
      <c r="F120" s="25">
        <f t="shared" si="37"/>
        <v>62193031</v>
      </c>
      <c r="G120" s="24">
        <v>62372698</v>
      </c>
      <c r="H120" s="24"/>
      <c r="I120" s="25">
        <f t="shared" si="38"/>
        <v>62372698</v>
      </c>
    </row>
    <row r="121" spans="1:9" s="222" customFormat="1" x14ac:dyDescent="0.25">
      <c r="B121" s="223" t="s">
        <v>625</v>
      </c>
      <c r="C121" s="136"/>
      <c r="D121" s="97">
        <f>6015636+2028629</f>
        <v>8044265</v>
      </c>
      <c r="E121" s="97"/>
      <c r="F121" s="125">
        <f t="shared" si="37"/>
        <v>8044265</v>
      </c>
      <c r="G121" s="97">
        <f>+G120-G122</f>
        <v>8223932</v>
      </c>
      <c r="H121" s="97"/>
      <c r="I121" s="125">
        <f t="shared" si="38"/>
        <v>8223932</v>
      </c>
    </row>
    <row r="122" spans="1:9" s="222" customFormat="1" x14ac:dyDescent="0.25">
      <c r="B122" s="224" t="s">
        <v>616</v>
      </c>
      <c r="C122" s="136"/>
      <c r="D122" s="97">
        <f>+D120-D121</f>
        <v>54148766</v>
      </c>
      <c r="E122" s="97">
        <f>+E120-E121</f>
        <v>0</v>
      </c>
      <c r="F122" s="125">
        <f t="shared" si="37"/>
        <v>54148766</v>
      </c>
      <c r="G122" s="97">
        <v>54148766</v>
      </c>
      <c r="H122" s="97">
        <f>+H120-H121</f>
        <v>0</v>
      </c>
      <c r="I122" s="125">
        <f t="shared" si="38"/>
        <v>54148766</v>
      </c>
    </row>
    <row r="123" spans="1:9" hidden="1" x14ac:dyDescent="0.25">
      <c r="B123" s="71" t="s">
        <v>307</v>
      </c>
      <c r="C123" s="53" t="s">
        <v>308</v>
      </c>
      <c r="D123" s="24"/>
      <c r="E123" s="24"/>
      <c r="F123" s="25">
        <f t="shared" si="37"/>
        <v>0</v>
      </c>
      <c r="G123" s="24"/>
      <c r="H123" s="24"/>
      <c r="I123" s="25">
        <f t="shared" si="38"/>
        <v>0</v>
      </c>
    </row>
    <row r="124" spans="1:9" hidden="1" x14ac:dyDescent="0.25">
      <c r="B124" s="66" t="s">
        <v>309</v>
      </c>
      <c r="C124" s="53" t="s">
        <v>310</v>
      </c>
      <c r="D124" s="24"/>
      <c r="E124" s="24"/>
      <c r="F124" s="25">
        <f t="shared" si="37"/>
        <v>0</v>
      </c>
      <c r="G124" s="24"/>
      <c r="H124" s="24"/>
      <c r="I124" s="25">
        <f t="shared" si="38"/>
        <v>0</v>
      </c>
    </row>
    <row r="125" spans="1:9" hidden="1" x14ac:dyDescent="0.25">
      <c r="B125" s="66" t="s">
        <v>311</v>
      </c>
      <c r="C125" s="53" t="s">
        <v>312</v>
      </c>
      <c r="D125" s="24"/>
      <c r="E125" s="24"/>
      <c r="F125" s="25">
        <f t="shared" si="37"/>
        <v>0</v>
      </c>
      <c r="G125" s="24"/>
      <c r="H125" s="24"/>
      <c r="I125" s="25">
        <f t="shared" si="38"/>
        <v>0</v>
      </c>
    </row>
    <row r="126" spans="1:9" x14ac:dyDescent="0.25">
      <c r="B126" s="57" t="s">
        <v>313</v>
      </c>
      <c r="C126" s="56" t="s">
        <v>314</v>
      </c>
      <c r="D126" s="25">
        <f>SUM(D118:D125)+D117+D112+D111-D121-D122</f>
        <v>64707106</v>
      </c>
      <c r="E126" s="25">
        <f>SUM(E118:E125)+E117+E112+E111-E121-E122</f>
        <v>8437743</v>
      </c>
      <c r="F126" s="25">
        <f>SUM(F118:F124)+F117+F112+F111-F121-F122</f>
        <v>73144849</v>
      </c>
      <c r="G126" s="25">
        <f>SUM(G118:G125)+G117+G112+G111-G121-G122</f>
        <v>64886773</v>
      </c>
      <c r="H126" s="25">
        <f>SUM(H118:H125)+H117+H112+H111-H121-H122</f>
        <v>8437743</v>
      </c>
      <c r="I126" s="25">
        <f>SUM(I118:I124)+I117+I112+I111-I121-I122</f>
        <v>73324516</v>
      </c>
    </row>
    <row r="127" spans="1:9" hidden="1" x14ac:dyDescent="0.25">
      <c r="B127" s="71" t="s">
        <v>315</v>
      </c>
      <c r="C127" s="53" t="s">
        <v>316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6" t="s">
        <v>317</v>
      </c>
      <c r="C128" s="53" t="s">
        <v>318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6" t="s">
        <v>319</v>
      </c>
      <c r="C129" s="53" t="s">
        <v>320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4" t="s">
        <v>321</v>
      </c>
      <c r="C130" s="75" t="s">
        <v>322</v>
      </c>
      <c r="D130" s="69">
        <f>+D128+D127+D126+D129</f>
        <v>64707106</v>
      </c>
      <c r="E130" s="69">
        <f>+E128+E127+E126+E129</f>
        <v>8437743</v>
      </c>
      <c r="F130" s="69">
        <f>+F129+F127+F126</f>
        <v>73144849</v>
      </c>
      <c r="G130" s="69">
        <f>+G128+G127+G126+G129</f>
        <v>64886773</v>
      </c>
      <c r="H130" s="69">
        <f>+H128+H127+H126+H129</f>
        <v>8437743</v>
      </c>
      <c r="I130" s="69">
        <f>+I129+I127+I126</f>
        <v>73324516</v>
      </c>
    </row>
    <row r="131" spans="2:9" x14ac:dyDescent="0.25">
      <c r="B131" s="28" t="s">
        <v>323</v>
      </c>
      <c r="C131" s="28" t="s">
        <v>324</v>
      </c>
      <c r="D131" s="29">
        <f t="shared" ref="D131:I131" si="39">+D108+D130</f>
        <v>77586918</v>
      </c>
      <c r="E131" s="29">
        <f t="shared" si="39"/>
        <v>8437743</v>
      </c>
      <c r="F131" s="29">
        <f t="shared" si="39"/>
        <v>86024661</v>
      </c>
      <c r="G131" s="29">
        <f t="shared" si="39"/>
        <v>78922077</v>
      </c>
      <c r="H131" s="29">
        <f t="shared" si="39"/>
        <v>8437743</v>
      </c>
      <c r="I131" s="29">
        <f t="shared" si="39"/>
        <v>87359820</v>
      </c>
    </row>
    <row r="132" spans="2:9" x14ac:dyDescent="0.25">
      <c r="B132" s="13"/>
      <c r="C132" s="13"/>
      <c r="D132" s="14"/>
      <c r="E132" s="14"/>
      <c r="F132" s="77"/>
      <c r="G132" s="14"/>
      <c r="H132" s="14"/>
      <c r="I132" s="77"/>
    </row>
    <row r="133" spans="2:9" x14ac:dyDescent="0.25">
      <c r="B133" s="26" t="s">
        <v>325</v>
      </c>
      <c r="C133" s="26"/>
      <c r="D133" s="25">
        <f t="shared" ref="D133:I133" si="40">+D108-D58</f>
        <v>-64707106</v>
      </c>
      <c r="E133" s="25">
        <f t="shared" si="40"/>
        <v>-8437743</v>
      </c>
      <c r="F133" s="25">
        <f t="shared" si="40"/>
        <v>-73144849</v>
      </c>
      <c r="G133" s="25">
        <f t="shared" si="40"/>
        <v>-64886773</v>
      </c>
      <c r="H133" s="25">
        <f t="shared" si="40"/>
        <v>-8437743</v>
      </c>
      <c r="I133" s="25">
        <f t="shared" si="40"/>
        <v>-73324516</v>
      </c>
    </row>
    <row r="134" spans="2:9" x14ac:dyDescent="0.25">
      <c r="B134" s="26" t="s">
        <v>326</v>
      </c>
      <c r="C134" s="26"/>
      <c r="D134" s="25">
        <f t="shared" ref="D134:I134" si="41">+D130-D63</f>
        <v>64707106</v>
      </c>
      <c r="E134" s="25">
        <f t="shared" si="41"/>
        <v>8437743</v>
      </c>
      <c r="F134" s="25">
        <f t="shared" si="41"/>
        <v>73144849</v>
      </c>
      <c r="G134" s="25">
        <f t="shared" si="41"/>
        <v>64886773</v>
      </c>
      <c r="H134" s="25">
        <f t="shared" si="41"/>
        <v>8437743</v>
      </c>
      <c r="I134" s="25">
        <f t="shared" si="41"/>
        <v>73324516</v>
      </c>
    </row>
    <row r="135" spans="2:9" x14ac:dyDescent="0.25">
      <c r="B135" s="13"/>
      <c r="C135" s="13"/>
      <c r="D135" s="14"/>
      <c r="E135" s="14"/>
      <c r="F135" s="77"/>
      <c r="G135" s="14"/>
      <c r="H135" s="14"/>
      <c r="I135" s="77"/>
    </row>
    <row r="136" spans="2:9" x14ac:dyDescent="0.25">
      <c r="B136" s="82" t="s">
        <v>329</v>
      </c>
      <c r="C136" s="13"/>
      <c r="D136" s="14">
        <f t="shared" ref="D136:I136" si="42">+D131-D64</f>
        <v>0</v>
      </c>
      <c r="E136" s="14">
        <f t="shared" si="42"/>
        <v>0</v>
      </c>
      <c r="F136" s="14">
        <f t="shared" si="42"/>
        <v>0</v>
      </c>
      <c r="G136" s="14">
        <f t="shared" si="42"/>
        <v>0</v>
      </c>
      <c r="H136" s="14">
        <f t="shared" si="42"/>
        <v>0</v>
      </c>
      <c r="I136" s="14">
        <f t="shared" si="42"/>
        <v>0</v>
      </c>
    </row>
    <row r="137" spans="2:9" x14ac:dyDescent="0.25">
      <c r="B137" s="13"/>
      <c r="C137" s="13"/>
      <c r="D137" s="14"/>
      <c r="E137" s="14"/>
      <c r="F137" s="77"/>
      <c r="G137" s="14"/>
      <c r="H137" s="14"/>
      <c r="I137" s="77"/>
    </row>
    <row r="138" spans="2:9" x14ac:dyDescent="0.25">
      <c r="B138" s="13"/>
      <c r="C138" s="13"/>
      <c r="D138" s="14"/>
      <c r="E138" s="14"/>
      <c r="F138" s="77"/>
      <c r="G138" s="14"/>
      <c r="H138" s="14"/>
      <c r="I138" s="77"/>
    </row>
    <row r="139" spans="2:9" x14ac:dyDescent="0.25">
      <c r="B139" s="13"/>
      <c r="C139" s="13"/>
      <c r="D139" s="14"/>
      <c r="E139" s="14"/>
      <c r="F139" s="77"/>
      <c r="G139" s="14"/>
      <c r="H139" s="14"/>
      <c r="I139" s="77"/>
    </row>
    <row r="140" spans="2:9" x14ac:dyDescent="0.25">
      <c r="B140" s="13"/>
      <c r="C140" s="13"/>
      <c r="D140" s="14"/>
      <c r="E140" s="14"/>
      <c r="F140" s="77"/>
      <c r="G140" s="14"/>
      <c r="H140" s="14"/>
      <c r="I140" s="77"/>
    </row>
    <row r="141" spans="2:9" x14ac:dyDescent="0.25">
      <c r="B141" s="13"/>
      <c r="C141" s="13"/>
      <c r="D141" s="14"/>
      <c r="E141" s="14"/>
      <c r="F141" s="77"/>
      <c r="G141" s="14"/>
      <c r="H141" s="14"/>
      <c r="I141" s="77"/>
    </row>
    <row r="142" spans="2:9" x14ac:dyDescent="0.25">
      <c r="B142" s="13"/>
      <c r="C142" s="13"/>
      <c r="D142" s="14"/>
      <c r="E142" s="14"/>
      <c r="F142" s="77"/>
      <c r="G142" s="14"/>
      <c r="H142" s="14"/>
      <c r="I142" s="77"/>
    </row>
    <row r="143" spans="2:9" x14ac:dyDescent="0.25">
      <c r="B143" s="13"/>
      <c r="C143" s="13"/>
      <c r="D143" s="14"/>
      <c r="E143" s="14"/>
      <c r="F143" s="77"/>
      <c r="G143" s="14"/>
      <c r="H143" s="14"/>
      <c r="I143" s="77"/>
    </row>
    <row r="144" spans="2:9" x14ac:dyDescent="0.25">
      <c r="B144" s="13"/>
      <c r="C144" s="13"/>
      <c r="D144" s="14"/>
      <c r="E144" s="14"/>
      <c r="F144" s="77"/>
      <c r="G144" s="14"/>
      <c r="H144" s="14"/>
      <c r="I144" s="77"/>
    </row>
    <row r="145" spans="2:9" x14ac:dyDescent="0.25">
      <c r="B145" s="13"/>
      <c r="C145" s="13"/>
      <c r="D145" s="14"/>
      <c r="E145" s="14"/>
      <c r="F145" s="77"/>
      <c r="G145" s="14"/>
      <c r="H145" s="14"/>
      <c r="I145" s="77"/>
    </row>
    <row r="146" spans="2:9" x14ac:dyDescent="0.25">
      <c r="B146" s="13"/>
      <c r="C146" s="13"/>
      <c r="D146" s="14"/>
      <c r="E146" s="14"/>
      <c r="F146" s="77"/>
      <c r="G146" s="14"/>
      <c r="H146" s="14"/>
      <c r="I146" s="77"/>
    </row>
    <row r="147" spans="2:9" x14ac:dyDescent="0.25">
      <c r="B147" s="13"/>
      <c r="C147" s="13"/>
      <c r="D147" s="14"/>
      <c r="E147" s="14"/>
      <c r="F147" s="77"/>
      <c r="G147" s="14"/>
      <c r="H147" s="14"/>
      <c r="I147" s="77"/>
    </row>
    <row r="148" spans="2:9" x14ac:dyDescent="0.25">
      <c r="B148" s="13"/>
      <c r="C148" s="13"/>
      <c r="D148" s="14"/>
      <c r="E148" s="14"/>
      <c r="F148" s="77"/>
      <c r="G148" s="14"/>
      <c r="H148" s="14"/>
      <c r="I148" s="77"/>
    </row>
    <row r="149" spans="2:9" x14ac:dyDescent="0.25">
      <c r="B149" s="13"/>
      <c r="C149" s="13"/>
      <c r="D149" s="14"/>
      <c r="E149" s="14"/>
      <c r="F149" s="77"/>
      <c r="G149" s="14"/>
      <c r="H149" s="14"/>
      <c r="I149" s="77"/>
    </row>
    <row r="150" spans="2:9" x14ac:dyDescent="0.25">
      <c r="B150" s="13"/>
      <c r="C150" s="13"/>
      <c r="D150" s="14"/>
      <c r="E150" s="14"/>
      <c r="F150" s="77"/>
      <c r="G150" s="14"/>
      <c r="H150" s="14"/>
      <c r="I150" s="77"/>
    </row>
    <row r="151" spans="2:9" x14ac:dyDescent="0.25">
      <c r="B151" s="13"/>
      <c r="C151" s="13"/>
      <c r="D151" s="14"/>
      <c r="E151" s="14"/>
      <c r="F151" s="77"/>
      <c r="G151" s="14"/>
      <c r="H151" s="14"/>
      <c r="I151" s="77"/>
    </row>
    <row r="152" spans="2:9" x14ac:dyDescent="0.25">
      <c r="B152" s="13"/>
      <c r="C152" s="13"/>
      <c r="D152" s="14"/>
      <c r="E152" s="14"/>
      <c r="F152" s="77"/>
      <c r="G152" s="14"/>
      <c r="H152" s="14"/>
      <c r="I152" s="77"/>
    </row>
    <row r="153" spans="2:9" x14ac:dyDescent="0.25">
      <c r="B153" s="13"/>
      <c r="C153" s="13"/>
      <c r="D153" s="14"/>
      <c r="E153" s="14"/>
      <c r="F153" s="77"/>
      <c r="G153" s="14"/>
      <c r="H153" s="14"/>
      <c r="I153" s="77"/>
    </row>
    <row r="154" spans="2:9" x14ac:dyDescent="0.25">
      <c r="B154" s="13"/>
      <c r="C154" s="13"/>
      <c r="D154" s="14"/>
      <c r="E154" s="14"/>
      <c r="F154" s="77"/>
      <c r="G154" s="14"/>
      <c r="H154" s="14"/>
      <c r="I154" s="77"/>
    </row>
    <row r="155" spans="2:9" x14ac:dyDescent="0.25">
      <c r="B155" s="13"/>
      <c r="C155" s="13"/>
      <c r="D155" s="14"/>
      <c r="E155" s="14"/>
      <c r="F155" s="77"/>
      <c r="G155" s="14"/>
      <c r="H155" s="14"/>
      <c r="I155" s="77"/>
    </row>
    <row r="156" spans="2:9" x14ac:dyDescent="0.25">
      <c r="B156" s="13"/>
      <c r="C156" s="13"/>
      <c r="D156" s="14"/>
      <c r="E156" s="14"/>
      <c r="F156" s="77"/>
      <c r="G156" s="14"/>
      <c r="H156" s="14"/>
      <c r="I156" s="77"/>
    </row>
    <row r="157" spans="2:9" x14ac:dyDescent="0.25">
      <c r="B157" s="13"/>
      <c r="C157" s="13"/>
      <c r="D157" s="14"/>
      <c r="E157" s="14"/>
      <c r="F157" s="77"/>
      <c r="G157" s="14"/>
      <c r="H157" s="14"/>
      <c r="I157" s="77"/>
    </row>
    <row r="158" spans="2:9" x14ac:dyDescent="0.25">
      <c r="B158" s="13"/>
      <c r="C158" s="13"/>
      <c r="D158" s="14"/>
      <c r="E158" s="14"/>
      <c r="F158" s="77"/>
      <c r="G158" s="14"/>
      <c r="H158" s="14"/>
      <c r="I158" s="77"/>
    </row>
    <row r="159" spans="2:9" x14ac:dyDescent="0.25">
      <c r="B159" s="13"/>
      <c r="C159" s="13"/>
      <c r="D159" s="14"/>
      <c r="E159" s="14"/>
      <c r="F159" s="77"/>
      <c r="G159" s="14"/>
      <c r="H159" s="14"/>
      <c r="I159" s="77"/>
    </row>
    <row r="160" spans="2:9" x14ac:dyDescent="0.25">
      <c r="B160" s="13"/>
      <c r="C160" s="13"/>
      <c r="D160" s="14"/>
      <c r="E160" s="14"/>
      <c r="F160" s="77"/>
      <c r="G160" s="14"/>
      <c r="H160" s="14"/>
      <c r="I160" s="77"/>
    </row>
    <row r="161" spans="2:9" x14ac:dyDescent="0.25">
      <c r="B161" s="13"/>
      <c r="C161" s="13"/>
      <c r="D161" s="14"/>
      <c r="E161" s="14"/>
      <c r="F161" s="77"/>
      <c r="G161" s="14"/>
      <c r="H161" s="14"/>
      <c r="I161" s="77"/>
    </row>
    <row r="162" spans="2:9" x14ac:dyDescent="0.25">
      <c r="B162" s="13"/>
      <c r="C162" s="13"/>
      <c r="D162" s="14"/>
      <c r="E162" s="14"/>
      <c r="F162" s="77"/>
      <c r="G162" s="14"/>
      <c r="H162" s="14"/>
      <c r="I162" s="77"/>
    </row>
    <row r="163" spans="2:9" x14ac:dyDescent="0.25">
      <c r="B163" s="13"/>
      <c r="C163" s="13"/>
      <c r="D163" s="14"/>
      <c r="E163" s="14"/>
      <c r="F163" s="77"/>
      <c r="G163" s="14"/>
      <c r="H163" s="14"/>
      <c r="I163" s="77"/>
    </row>
    <row r="164" spans="2:9" x14ac:dyDescent="0.25">
      <c r="B164" s="13"/>
      <c r="C164" s="13"/>
      <c r="D164" s="14"/>
      <c r="E164" s="14"/>
      <c r="F164" s="77"/>
      <c r="G164" s="14"/>
      <c r="H164" s="14"/>
      <c r="I164" s="77"/>
    </row>
    <row r="165" spans="2:9" x14ac:dyDescent="0.25">
      <c r="B165" s="13"/>
      <c r="C165" s="13"/>
      <c r="D165" s="14"/>
      <c r="E165" s="14"/>
      <c r="F165" s="77"/>
      <c r="G165" s="14"/>
      <c r="H165" s="14"/>
      <c r="I165" s="77"/>
    </row>
    <row r="166" spans="2:9" x14ac:dyDescent="0.25">
      <c r="B166" s="13"/>
      <c r="C166" s="13"/>
      <c r="D166" s="14"/>
      <c r="E166" s="14"/>
      <c r="F166" s="77"/>
      <c r="G166" s="14"/>
      <c r="H166" s="14"/>
      <c r="I166" s="77"/>
    </row>
    <row r="167" spans="2:9" x14ac:dyDescent="0.25">
      <c r="B167" s="13"/>
      <c r="C167" s="13"/>
      <c r="D167" s="14"/>
      <c r="E167" s="14"/>
      <c r="F167" s="77"/>
      <c r="G167" s="14"/>
      <c r="H167" s="14"/>
      <c r="I167" s="77"/>
    </row>
    <row r="168" spans="2:9" x14ac:dyDescent="0.25">
      <c r="B168" s="13"/>
      <c r="C168" s="13"/>
      <c r="D168" s="14"/>
      <c r="E168" s="14"/>
      <c r="F168" s="77"/>
      <c r="G168" s="14"/>
      <c r="H168" s="14"/>
      <c r="I168" s="77"/>
    </row>
    <row r="169" spans="2:9" x14ac:dyDescent="0.25">
      <c r="B169" s="13"/>
      <c r="C169" s="13"/>
      <c r="D169" s="14"/>
      <c r="E169" s="14"/>
      <c r="F169" s="77"/>
      <c r="G169" s="14"/>
      <c r="H169" s="14"/>
      <c r="I169" s="77"/>
    </row>
    <row r="170" spans="2:9" x14ac:dyDescent="0.25">
      <c r="B170" s="13"/>
      <c r="C170" s="13"/>
      <c r="D170" s="14"/>
      <c r="E170" s="14"/>
      <c r="F170" s="77"/>
      <c r="G170" s="14"/>
      <c r="H170" s="14"/>
      <c r="I170" s="77"/>
    </row>
    <row r="171" spans="2:9" x14ac:dyDescent="0.25">
      <c r="B171" s="13"/>
      <c r="C171" s="13"/>
      <c r="D171" s="14"/>
      <c r="E171" s="14"/>
      <c r="F171" s="77"/>
      <c r="G171" s="14"/>
      <c r="H171" s="14"/>
      <c r="I171" s="77"/>
    </row>
    <row r="172" spans="2:9" x14ac:dyDescent="0.25">
      <c r="B172" s="13"/>
      <c r="C172" s="13"/>
      <c r="D172" s="14"/>
      <c r="E172" s="14"/>
      <c r="F172" s="77"/>
      <c r="G172" s="14"/>
      <c r="H172" s="14"/>
      <c r="I172" s="77"/>
    </row>
    <row r="173" spans="2:9" x14ac:dyDescent="0.25">
      <c r="B173" s="13"/>
      <c r="C173" s="13"/>
      <c r="D173" s="14"/>
      <c r="E173" s="14"/>
      <c r="F173" s="77"/>
      <c r="G173" s="14"/>
      <c r="H173" s="14"/>
      <c r="I173" s="77"/>
    </row>
    <row r="174" spans="2:9" x14ac:dyDescent="0.25">
      <c r="B174" s="13"/>
      <c r="C174" s="13"/>
      <c r="D174" s="14"/>
      <c r="E174" s="14"/>
      <c r="F174" s="77"/>
      <c r="G174" s="14"/>
      <c r="H174" s="14"/>
      <c r="I174" s="77"/>
    </row>
    <row r="175" spans="2:9" x14ac:dyDescent="0.25">
      <c r="B175" s="13"/>
      <c r="C175" s="13"/>
      <c r="D175" s="14"/>
      <c r="E175" s="14"/>
      <c r="F175" s="77"/>
      <c r="G175" s="14"/>
      <c r="H175" s="14"/>
      <c r="I175" s="77"/>
    </row>
    <row r="176" spans="2:9" x14ac:dyDescent="0.25">
      <c r="B176" s="13"/>
      <c r="C176" s="13"/>
      <c r="D176" s="14"/>
      <c r="E176" s="14"/>
      <c r="F176" s="77"/>
      <c r="G176" s="14"/>
      <c r="H176" s="14"/>
      <c r="I176" s="77"/>
    </row>
    <row r="177" spans="2:9" x14ac:dyDescent="0.25">
      <c r="B177" s="13"/>
      <c r="C177" s="13"/>
      <c r="D177" s="14"/>
      <c r="E177" s="14"/>
      <c r="F177" s="77"/>
      <c r="G177" s="14"/>
      <c r="H177" s="14"/>
      <c r="I177" s="77"/>
    </row>
    <row r="178" spans="2:9" x14ac:dyDescent="0.25">
      <c r="B178" s="13"/>
      <c r="C178" s="13"/>
      <c r="D178" s="14"/>
      <c r="E178" s="14"/>
      <c r="F178" s="77"/>
      <c r="G178" s="14"/>
      <c r="H178" s="14"/>
      <c r="I178" s="77"/>
    </row>
    <row r="179" spans="2:9" x14ac:dyDescent="0.25">
      <c r="B179" s="13"/>
      <c r="C179" s="13"/>
      <c r="D179" s="14"/>
      <c r="E179" s="14"/>
      <c r="F179" s="77"/>
      <c r="G179" s="14"/>
      <c r="H179" s="14"/>
      <c r="I179" s="77"/>
    </row>
    <row r="180" spans="2:9" x14ac:dyDescent="0.25">
      <c r="B180" s="13"/>
      <c r="C180" s="13"/>
      <c r="D180" s="14"/>
      <c r="E180" s="14"/>
      <c r="F180" s="77"/>
      <c r="G180" s="14"/>
      <c r="H180" s="14"/>
      <c r="I180" s="77"/>
    </row>
    <row r="181" spans="2:9" x14ac:dyDescent="0.25">
      <c r="B181" s="13"/>
      <c r="C181" s="13"/>
      <c r="D181" s="14"/>
      <c r="E181" s="14"/>
      <c r="F181" s="77"/>
      <c r="G181" s="14"/>
      <c r="H181" s="14"/>
      <c r="I181" s="77"/>
    </row>
    <row r="182" spans="2:9" x14ac:dyDescent="0.25">
      <c r="B182" s="13"/>
      <c r="C182" s="13"/>
      <c r="D182" s="14"/>
      <c r="E182" s="14"/>
      <c r="F182" s="77"/>
      <c r="G182" s="14"/>
      <c r="H182" s="14"/>
      <c r="I182" s="77"/>
    </row>
    <row r="183" spans="2:9" x14ac:dyDescent="0.25">
      <c r="B183" s="13"/>
      <c r="C183" s="13"/>
      <c r="D183" s="14"/>
      <c r="E183" s="14"/>
      <c r="F183" s="77"/>
      <c r="G183" s="14"/>
      <c r="H183" s="14"/>
      <c r="I183" s="77"/>
    </row>
    <row r="184" spans="2:9" x14ac:dyDescent="0.25">
      <c r="B184" s="13"/>
      <c r="C184" s="13"/>
      <c r="D184" s="14"/>
      <c r="E184" s="14"/>
      <c r="F184" s="77"/>
      <c r="G184" s="14"/>
      <c r="H184" s="14"/>
      <c r="I184" s="77"/>
    </row>
    <row r="185" spans="2:9" x14ac:dyDescent="0.25">
      <c r="B185" s="13"/>
      <c r="C185" s="13"/>
      <c r="D185" s="14"/>
      <c r="E185" s="14"/>
      <c r="F185" s="77"/>
      <c r="G185" s="14"/>
      <c r="H185" s="14"/>
      <c r="I185" s="77"/>
    </row>
    <row r="186" spans="2:9" x14ac:dyDescent="0.25">
      <c r="B186" s="13"/>
      <c r="C186" s="13"/>
      <c r="D186" s="14"/>
      <c r="E186" s="14"/>
      <c r="F186" s="77"/>
      <c r="G186" s="14"/>
      <c r="H186" s="14"/>
      <c r="I186" s="77"/>
    </row>
    <row r="187" spans="2:9" x14ac:dyDescent="0.25">
      <c r="B187" s="13"/>
      <c r="C187" s="13"/>
      <c r="D187" s="14"/>
      <c r="E187" s="14"/>
      <c r="F187" s="77"/>
      <c r="G187" s="14"/>
      <c r="H187" s="14"/>
      <c r="I187" s="77"/>
    </row>
    <row r="188" spans="2:9" x14ac:dyDescent="0.25">
      <c r="B188" s="13"/>
      <c r="C188" s="13"/>
      <c r="D188" s="14"/>
      <c r="E188" s="14"/>
      <c r="F188" s="77"/>
      <c r="G188" s="14"/>
      <c r="H188" s="14"/>
      <c r="I188" s="77"/>
    </row>
    <row r="189" spans="2:9" x14ac:dyDescent="0.25">
      <c r="B189" s="13"/>
      <c r="C189" s="13"/>
      <c r="D189" s="14"/>
      <c r="E189" s="14"/>
      <c r="F189" s="77"/>
      <c r="G189" s="14"/>
      <c r="H189" s="14"/>
      <c r="I189" s="77"/>
    </row>
    <row r="190" spans="2:9" x14ac:dyDescent="0.25">
      <c r="B190" s="13"/>
      <c r="C190" s="13"/>
      <c r="D190" s="14"/>
      <c r="E190" s="14"/>
      <c r="F190" s="77"/>
      <c r="G190" s="14"/>
      <c r="H190" s="14"/>
      <c r="I190" s="77"/>
    </row>
    <row r="191" spans="2:9" x14ac:dyDescent="0.25">
      <c r="B191" s="13"/>
      <c r="C191" s="13"/>
      <c r="D191" s="14"/>
      <c r="E191" s="14"/>
      <c r="F191" s="77"/>
      <c r="G191" s="14"/>
      <c r="H191" s="14"/>
      <c r="I191" s="77"/>
    </row>
    <row r="192" spans="2:9" x14ac:dyDescent="0.25">
      <c r="B192" s="13"/>
      <c r="C192" s="13"/>
      <c r="D192" s="14"/>
      <c r="E192" s="14"/>
      <c r="F192" s="77"/>
      <c r="G192" s="14"/>
      <c r="H192" s="14"/>
      <c r="I192" s="77"/>
    </row>
    <row r="193" spans="2:9" x14ac:dyDescent="0.25">
      <c r="B193" s="13"/>
      <c r="C193" s="13"/>
      <c r="D193" s="14"/>
      <c r="E193" s="14"/>
      <c r="F193" s="77"/>
      <c r="G193" s="14"/>
      <c r="H193" s="14"/>
      <c r="I193" s="77"/>
    </row>
    <row r="194" spans="2:9" x14ac:dyDescent="0.25">
      <c r="B194" s="13"/>
      <c r="C194" s="13"/>
      <c r="D194" s="14"/>
      <c r="E194" s="14"/>
      <c r="F194" s="77"/>
      <c r="G194" s="14"/>
      <c r="H194" s="14"/>
      <c r="I194" s="77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1597222222222228" right="0.22847222222222222" top="0.59027777777777779" bottom="0.51180555555555551" header="0.51180555555555551" footer="0.31527777777777777"/>
  <pageSetup paperSize="9" scale="58" firstPageNumber="0" orientation="portrait" horizontalDpi="300" verticalDpi="300" r:id="rId1"/>
  <headerFooter alignWithMargins="0">
    <oddFooter>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zoomScale="80" zoomScaleSheetLayoutView="80" workbookViewId="0">
      <selection activeCell="I2" sqref="I2"/>
    </sheetView>
  </sheetViews>
  <sheetFormatPr defaultColWidth="11.5703125" defaultRowHeight="15.75" x14ac:dyDescent="0.25"/>
  <cols>
    <col min="1" max="1" width="10.7109375" style="30" customWidth="1"/>
    <col min="2" max="2" width="73" style="30" customWidth="1"/>
    <col min="3" max="3" width="9.85546875" style="30" customWidth="1"/>
    <col min="4" max="4" width="13.7109375" style="30" customWidth="1"/>
    <col min="5" max="5" width="9.85546875" style="30" customWidth="1"/>
    <col min="6" max="6" width="13.5703125" style="31" customWidth="1"/>
    <col min="7" max="7" width="13.140625" style="30" customWidth="1"/>
    <col min="8" max="8" width="11.5703125" style="30" customWidth="1"/>
    <col min="9" max="9" width="14.140625" style="31" customWidth="1"/>
    <col min="10" max="252" width="9.140625" style="30" customWidth="1"/>
  </cols>
  <sheetData>
    <row r="1" spans="2:12" s="13" customFormat="1" x14ac:dyDescent="0.25">
      <c r="I1" s="15" t="s">
        <v>637</v>
      </c>
    </row>
    <row r="2" spans="2:12" s="13" customFormat="1" ht="20.25" x14ac:dyDescent="0.3">
      <c r="B2" s="217" t="s">
        <v>8</v>
      </c>
      <c r="I2" s="16" t="s">
        <v>919</v>
      </c>
    </row>
    <row r="3" spans="2:12" s="13" customFormat="1" x14ac:dyDescent="0.25">
      <c r="B3" s="43" t="s">
        <v>858</v>
      </c>
      <c r="C3" s="36"/>
      <c r="D3" s="36"/>
      <c r="E3" s="36"/>
      <c r="F3" s="37"/>
      <c r="G3" s="36"/>
      <c r="H3" s="36"/>
      <c r="I3" s="37"/>
    </row>
    <row r="4" spans="2:12" s="13" customFormat="1" x14ac:dyDescent="0.25">
      <c r="B4" s="41" t="s">
        <v>822</v>
      </c>
      <c r="C4" s="42"/>
      <c r="D4" s="42"/>
      <c r="E4" s="42"/>
      <c r="F4" s="43"/>
      <c r="G4" s="42"/>
      <c r="H4" s="42"/>
      <c r="I4" s="43"/>
      <c r="L4" s="13" t="s">
        <v>418</v>
      </c>
    </row>
    <row r="5" spans="2:12" ht="15.75" customHeight="1" x14ac:dyDescent="0.25">
      <c r="B5" s="46"/>
      <c r="D5" s="494" t="s">
        <v>10</v>
      </c>
      <c r="E5" s="494"/>
      <c r="F5" s="494"/>
      <c r="G5" s="494" t="s">
        <v>11</v>
      </c>
      <c r="H5" s="494"/>
      <c r="I5" s="494"/>
    </row>
    <row r="6" spans="2:12" ht="47.25" x14ac:dyDescent="0.25">
      <c r="B6" s="19" t="s">
        <v>12</v>
      </c>
      <c r="C6" s="47" t="s">
        <v>38</v>
      </c>
      <c r="D6" s="48" t="s">
        <v>13</v>
      </c>
      <c r="E6" s="48" t="s">
        <v>14</v>
      </c>
      <c r="F6" s="47" t="s">
        <v>543</v>
      </c>
      <c r="G6" s="48" t="s">
        <v>13</v>
      </c>
      <c r="H6" s="48" t="s">
        <v>14</v>
      </c>
      <c r="I6" s="47" t="s">
        <v>543</v>
      </c>
    </row>
    <row r="7" spans="2:12" x14ac:dyDescent="0.25">
      <c r="B7" s="51" t="s">
        <v>39</v>
      </c>
      <c r="C7" s="52" t="s">
        <v>40</v>
      </c>
      <c r="D7" s="24">
        <v>23106599</v>
      </c>
      <c r="E7" s="24"/>
      <c r="F7" s="25">
        <f>+D7+E7</f>
        <v>23106599</v>
      </c>
      <c r="G7" s="24">
        <v>23584477</v>
      </c>
      <c r="H7" s="24"/>
      <c r="I7" s="25">
        <f>+G7+H7</f>
        <v>23584477</v>
      </c>
    </row>
    <row r="8" spans="2:12" x14ac:dyDescent="0.25">
      <c r="B8" s="53" t="s">
        <v>41</v>
      </c>
      <c r="C8" s="52" t="s">
        <v>42</v>
      </c>
      <c r="D8" s="24">
        <v>0</v>
      </c>
      <c r="E8" s="24"/>
      <c r="F8" s="25">
        <f>+D8+E8</f>
        <v>0</v>
      </c>
      <c r="G8" s="24">
        <v>0</v>
      </c>
      <c r="H8" s="24"/>
      <c r="I8" s="25">
        <f>+G8+H8</f>
        <v>0</v>
      </c>
    </row>
    <row r="9" spans="2:12" x14ac:dyDescent="0.25">
      <c r="B9" s="54" t="s">
        <v>43</v>
      </c>
      <c r="C9" s="55" t="s">
        <v>44</v>
      </c>
      <c r="D9" s="25">
        <f t="shared" ref="D9:I9" si="0">SUM(D7:D8)</f>
        <v>23106599</v>
      </c>
      <c r="E9" s="25">
        <f t="shared" si="0"/>
        <v>0</v>
      </c>
      <c r="F9" s="25">
        <f t="shared" si="0"/>
        <v>23106599</v>
      </c>
      <c r="G9" s="25">
        <f>SUM(G7:G8)</f>
        <v>23584477</v>
      </c>
      <c r="H9" s="25">
        <f t="shared" ref="H9" si="1">SUM(H7:H8)</f>
        <v>0</v>
      </c>
      <c r="I9" s="25">
        <f t="shared" si="0"/>
        <v>23584477</v>
      </c>
    </row>
    <row r="10" spans="2:12" x14ac:dyDescent="0.25">
      <c r="B10" s="56" t="s">
        <v>45</v>
      </c>
      <c r="C10" s="55" t="s">
        <v>46</v>
      </c>
      <c r="D10" s="24">
        <v>5011322</v>
      </c>
      <c r="E10" s="24"/>
      <c r="F10" s="25">
        <f t="shared" ref="F10:F15" si="2">+D10+E10</f>
        <v>5011322</v>
      </c>
      <c r="G10" s="24">
        <v>5194363</v>
      </c>
      <c r="H10" s="24"/>
      <c r="I10" s="25">
        <f t="shared" ref="I10:I15" si="3">+G10+H10</f>
        <v>5194363</v>
      </c>
    </row>
    <row r="11" spans="2:12" x14ac:dyDescent="0.25">
      <c r="B11" s="53" t="s">
        <v>47</v>
      </c>
      <c r="C11" s="52" t="s">
        <v>48</v>
      </c>
      <c r="D11" s="24">
        <v>6990000</v>
      </c>
      <c r="E11" s="24"/>
      <c r="F11" s="25">
        <f t="shared" si="2"/>
        <v>6990000</v>
      </c>
      <c r="G11" s="24">
        <v>8752381</v>
      </c>
      <c r="H11" s="24"/>
      <c r="I11" s="25">
        <f t="shared" si="3"/>
        <v>8752381</v>
      </c>
    </row>
    <row r="12" spans="2:12" x14ac:dyDescent="0.25">
      <c r="B12" s="53" t="s">
        <v>49</v>
      </c>
      <c r="C12" s="52" t="s">
        <v>50</v>
      </c>
      <c r="D12" s="24">
        <f>300000+160000</f>
        <v>460000</v>
      </c>
      <c r="E12" s="24"/>
      <c r="F12" s="25">
        <f t="shared" si="2"/>
        <v>460000</v>
      </c>
      <c r="G12" s="24">
        <f>300000+160000</f>
        <v>460000</v>
      </c>
      <c r="H12" s="24"/>
      <c r="I12" s="25">
        <f t="shared" si="3"/>
        <v>460000</v>
      </c>
    </row>
    <row r="13" spans="2:12" x14ac:dyDescent="0.25">
      <c r="B13" s="53" t="s">
        <v>51</v>
      </c>
      <c r="C13" s="52" t="s">
        <v>52</v>
      </c>
      <c r="D13" s="24">
        <f>5290000-D12</f>
        <v>4830000</v>
      </c>
      <c r="E13" s="24"/>
      <c r="F13" s="25">
        <f t="shared" si="2"/>
        <v>4830000</v>
      </c>
      <c r="G13" s="24">
        <v>5190000</v>
      </c>
      <c r="H13" s="24"/>
      <c r="I13" s="25">
        <f t="shared" si="3"/>
        <v>5190000</v>
      </c>
    </row>
    <row r="14" spans="2:12" x14ac:dyDescent="0.25">
      <c r="B14" s="53" t="s">
        <v>53</v>
      </c>
      <c r="C14" s="52" t="s">
        <v>54</v>
      </c>
      <c r="D14" s="24">
        <v>450000</v>
      </c>
      <c r="E14" s="24"/>
      <c r="F14" s="25">
        <f t="shared" si="2"/>
        <v>450000</v>
      </c>
      <c r="G14" s="24">
        <v>450000</v>
      </c>
      <c r="H14" s="24"/>
      <c r="I14" s="25">
        <f t="shared" si="3"/>
        <v>450000</v>
      </c>
    </row>
    <row r="15" spans="2:12" x14ac:dyDescent="0.25">
      <c r="B15" s="53" t="s">
        <v>55</v>
      </c>
      <c r="C15" s="52" t="s">
        <v>56</v>
      </c>
      <c r="D15" s="24">
        <f>3937430-D14</f>
        <v>3487430</v>
      </c>
      <c r="E15" s="24"/>
      <c r="F15" s="25">
        <f t="shared" si="2"/>
        <v>3487430</v>
      </c>
      <c r="G15" s="24">
        <v>3233049</v>
      </c>
      <c r="H15" s="24"/>
      <c r="I15" s="25">
        <f t="shared" si="3"/>
        <v>3233049</v>
      </c>
    </row>
    <row r="16" spans="2:12" x14ac:dyDescent="0.25">
      <c r="B16" s="56" t="s">
        <v>57</v>
      </c>
      <c r="C16" s="55" t="s">
        <v>58</v>
      </c>
      <c r="D16" s="25">
        <f t="shared" ref="D16:I16" si="4">SUM(D11:D15)</f>
        <v>16217430</v>
      </c>
      <c r="E16" s="25">
        <f t="shared" si="4"/>
        <v>0</v>
      </c>
      <c r="F16" s="25">
        <f t="shared" si="4"/>
        <v>16217430</v>
      </c>
      <c r="G16" s="25">
        <f>SUM(G11:G15)</f>
        <v>18085430</v>
      </c>
      <c r="H16" s="25">
        <f t="shared" ref="H16" si="5">SUM(H11:H15)</f>
        <v>0</v>
      </c>
      <c r="I16" s="25">
        <f t="shared" si="4"/>
        <v>18085430</v>
      </c>
    </row>
    <row r="17" spans="2:9" x14ac:dyDescent="0.25">
      <c r="B17" s="57" t="s">
        <v>59</v>
      </c>
      <c r="C17" s="55" t="s">
        <v>60</v>
      </c>
      <c r="D17" s="24"/>
      <c r="E17" s="24"/>
      <c r="F17" s="25">
        <f t="shared" ref="F17:F31" si="6">+D17+E17</f>
        <v>0</v>
      </c>
      <c r="G17" s="24"/>
      <c r="H17" s="24"/>
      <c r="I17" s="25">
        <f t="shared" ref="I17:I31" si="7">+G17+H17</f>
        <v>0</v>
      </c>
    </row>
    <row r="18" spans="2:9" hidden="1" x14ac:dyDescent="0.25">
      <c r="B18" s="58" t="s">
        <v>61</v>
      </c>
      <c r="C18" s="52" t="s">
        <v>62</v>
      </c>
      <c r="D18" s="24"/>
      <c r="E18" s="24"/>
      <c r="F18" s="25">
        <f t="shared" si="6"/>
        <v>0</v>
      </c>
      <c r="G18" s="24"/>
      <c r="H18" s="24"/>
      <c r="I18" s="25">
        <f t="shared" si="7"/>
        <v>0</v>
      </c>
    </row>
    <row r="19" spans="2:9" hidden="1" x14ac:dyDescent="0.25">
      <c r="B19" s="58" t="s">
        <v>63</v>
      </c>
      <c r="C19" s="52" t="s">
        <v>64</v>
      </c>
      <c r="D19" s="24"/>
      <c r="E19" s="24"/>
      <c r="F19" s="25">
        <f t="shared" si="6"/>
        <v>0</v>
      </c>
      <c r="G19" s="24"/>
      <c r="H19" s="24"/>
      <c r="I19" s="25">
        <f t="shared" si="7"/>
        <v>0</v>
      </c>
    </row>
    <row r="20" spans="2:9" hidden="1" x14ac:dyDescent="0.25">
      <c r="B20" s="58" t="s">
        <v>65</v>
      </c>
      <c r="C20" s="52" t="s">
        <v>66</v>
      </c>
      <c r="D20" s="24"/>
      <c r="E20" s="24"/>
      <c r="F20" s="25">
        <f t="shared" si="6"/>
        <v>0</v>
      </c>
      <c r="G20" s="24"/>
      <c r="H20" s="24"/>
      <c r="I20" s="25">
        <f t="shared" si="7"/>
        <v>0</v>
      </c>
    </row>
    <row r="21" spans="2:9" hidden="1" x14ac:dyDescent="0.25">
      <c r="B21" s="58" t="s">
        <v>67</v>
      </c>
      <c r="C21" s="52" t="s">
        <v>68</v>
      </c>
      <c r="D21" s="24"/>
      <c r="E21" s="24"/>
      <c r="F21" s="25">
        <f t="shared" si="6"/>
        <v>0</v>
      </c>
      <c r="G21" s="24"/>
      <c r="H21" s="24"/>
      <c r="I21" s="25">
        <f t="shared" si="7"/>
        <v>0</v>
      </c>
    </row>
    <row r="22" spans="2:9" hidden="1" x14ac:dyDescent="0.25">
      <c r="B22" s="58" t="s">
        <v>618</v>
      </c>
      <c r="C22" s="52" t="s">
        <v>70</v>
      </c>
      <c r="D22" s="24"/>
      <c r="E22" s="24"/>
      <c r="F22" s="25">
        <f t="shared" si="6"/>
        <v>0</v>
      </c>
      <c r="G22" s="24"/>
      <c r="H22" s="24"/>
      <c r="I22" s="25">
        <f t="shared" si="7"/>
        <v>0</v>
      </c>
    </row>
    <row r="23" spans="2:9" hidden="1" x14ac:dyDescent="0.25">
      <c r="B23" s="58" t="s">
        <v>71</v>
      </c>
      <c r="C23" s="52" t="s">
        <v>72</v>
      </c>
      <c r="D23" s="24"/>
      <c r="E23" s="24"/>
      <c r="F23" s="25">
        <f t="shared" si="6"/>
        <v>0</v>
      </c>
      <c r="G23" s="24"/>
      <c r="H23" s="24"/>
      <c r="I23" s="25">
        <f t="shared" si="7"/>
        <v>0</v>
      </c>
    </row>
    <row r="24" spans="2:9" hidden="1" x14ac:dyDescent="0.25">
      <c r="B24" s="58" t="s">
        <v>73</v>
      </c>
      <c r="C24" s="52" t="s">
        <v>74</v>
      </c>
      <c r="D24" s="24"/>
      <c r="E24" s="24"/>
      <c r="F24" s="25">
        <f t="shared" si="6"/>
        <v>0</v>
      </c>
      <c r="G24" s="24"/>
      <c r="H24" s="24"/>
      <c r="I24" s="25">
        <f t="shared" si="7"/>
        <v>0</v>
      </c>
    </row>
    <row r="25" spans="2:9" hidden="1" x14ac:dyDescent="0.25">
      <c r="B25" s="58" t="s">
        <v>75</v>
      </c>
      <c r="C25" s="52" t="s">
        <v>76</v>
      </c>
      <c r="D25" s="24"/>
      <c r="E25" s="24"/>
      <c r="F25" s="25">
        <f t="shared" si="6"/>
        <v>0</v>
      </c>
      <c r="G25" s="24"/>
      <c r="H25" s="24"/>
      <c r="I25" s="25">
        <f t="shared" si="7"/>
        <v>0</v>
      </c>
    </row>
    <row r="26" spans="2:9" hidden="1" x14ac:dyDescent="0.25">
      <c r="B26" s="58" t="s">
        <v>77</v>
      </c>
      <c r="C26" s="52" t="s">
        <v>78</v>
      </c>
      <c r="D26" s="24"/>
      <c r="E26" s="24"/>
      <c r="F26" s="25">
        <f t="shared" si="6"/>
        <v>0</v>
      </c>
      <c r="G26" s="24"/>
      <c r="H26" s="24"/>
      <c r="I26" s="25">
        <f t="shared" si="7"/>
        <v>0</v>
      </c>
    </row>
    <row r="27" spans="2:9" hidden="1" x14ac:dyDescent="0.25">
      <c r="B27" s="59" t="s">
        <v>79</v>
      </c>
      <c r="C27" s="52" t="s">
        <v>80</v>
      </c>
      <c r="D27" s="24"/>
      <c r="E27" s="24"/>
      <c r="F27" s="25">
        <f t="shared" si="6"/>
        <v>0</v>
      </c>
      <c r="G27" s="24"/>
      <c r="H27" s="24"/>
      <c r="I27" s="25">
        <f t="shared" si="7"/>
        <v>0</v>
      </c>
    </row>
    <row r="28" spans="2:9" hidden="1" x14ac:dyDescent="0.25">
      <c r="B28" s="59" t="s">
        <v>619</v>
      </c>
      <c r="C28" s="52" t="s">
        <v>82</v>
      </c>
      <c r="D28" s="24"/>
      <c r="E28" s="24"/>
      <c r="F28" s="25">
        <f t="shared" si="6"/>
        <v>0</v>
      </c>
      <c r="G28" s="24"/>
      <c r="H28" s="24"/>
      <c r="I28" s="25">
        <f t="shared" si="7"/>
        <v>0</v>
      </c>
    </row>
    <row r="29" spans="2:9" hidden="1" x14ac:dyDescent="0.25">
      <c r="B29" s="58" t="s">
        <v>83</v>
      </c>
      <c r="C29" s="52" t="s">
        <v>84</v>
      </c>
      <c r="D29" s="24"/>
      <c r="E29" s="24"/>
      <c r="F29" s="25">
        <f t="shared" si="6"/>
        <v>0</v>
      </c>
      <c r="G29" s="24"/>
      <c r="H29" s="24"/>
      <c r="I29" s="25">
        <f t="shared" si="7"/>
        <v>0</v>
      </c>
    </row>
    <row r="30" spans="2:9" hidden="1" x14ac:dyDescent="0.25">
      <c r="B30" s="59" t="s">
        <v>85</v>
      </c>
      <c r="C30" s="52" t="s">
        <v>86</v>
      </c>
      <c r="D30" s="24"/>
      <c r="E30" s="24"/>
      <c r="F30" s="25">
        <f t="shared" si="6"/>
        <v>0</v>
      </c>
      <c r="G30" s="24"/>
      <c r="H30" s="24"/>
      <c r="I30" s="25">
        <f t="shared" si="7"/>
        <v>0</v>
      </c>
    </row>
    <row r="31" spans="2:9" hidden="1" x14ac:dyDescent="0.25">
      <c r="B31" s="59" t="s">
        <v>87</v>
      </c>
      <c r="C31" s="52" t="s">
        <v>86</v>
      </c>
      <c r="D31" s="24"/>
      <c r="E31" s="24"/>
      <c r="F31" s="25">
        <f t="shared" si="6"/>
        <v>0</v>
      </c>
      <c r="G31" s="24"/>
      <c r="H31" s="24"/>
      <c r="I31" s="25">
        <f t="shared" si="7"/>
        <v>0</v>
      </c>
    </row>
    <row r="32" spans="2:9" s="31" customFormat="1" x14ac:dyDescent="0.25">
      <c r="B32" s="57" t="s">
        <v>88</v>
      </c>
      <c r="C32" s="55" t="s">
        <v>89</v>
      </c>
      <c r="D32" s="25">
        <f t="shared" ref="D32:I32" si="8">SUM(D18:D31)</f>
        <v>0</v>
      </c>
      <c r="E32" s="25">
        <f t="shared" si="8"/>
        <v>0</v>
      </c>
      <c r="F32" s="25">
        <f t="shared" si="8"/>
        <v>0</v>
      </c>
      <c r="G32" s="25">
        <f>SUM(G18:G31)</f>
        <v>0</v>
      </c>
      <c r="H32" s="25">
        <f t="shared" ref="H32" si="9">SUM(H18:H31)</f>
        <v>0</v>
      </c>
      <c r="I32" s="25">
        <f t="shared" si="8"/>
        <v>0</v>
      </c>
    </row>
    <row r="33" spans="2:9" x14ac:dyDescent="0.25">
      <c r="B33" s="60" t="s">
        <v>90</v>
      </c>
      <c r="C33" s="61" t="s">
        <v>91</v>
      </c>
      <c r="D33" s="62">
        <f t="shared" ref="D33:I33" si="10">+D32+D17+D16+D10+D9</f>
        <v>44335351</v>
      </c>
      <c r="E33" s="62">
        <f t="shared" si="10"/>
        <v>0</v>
      </c>
      <c r="F33" s="62">
        <f t="shared" si="10"/>
        <v>44335351</v>
      </c>
      <c r="G33" s="62">
        <f>+G32+G17+G16+G10+G9</f>
        <v>46864270</v>
      </c>
      <c r="H33" s="62">
        <f t="shared" ref="H33" si="11">+H32+H17+H16+H10+H9</f>
        <v>0</v>
      </c>
      <c r="I33" s="62">
        <f t="shared" si="10"/>
        <v>46864270</v>
      </c>
    </row>
    <row r="34" spans="2:9" x14ac:dyDescent="0.25">
      <c r="B34" s="63" t="s">
        <v>92</v>
      </c>
      <c r="C34" s="52" t="s">
        <v>93</v>
      </c>
      <c r="D34" s="24"/>
      <c r="E34" s="24"/>
      <c r="F34" s="25">
        <f t="shared" ref="F34:F40" si="12">+D34+E34</f>
        <v>0</v>
      </c>
      <c r="G34" s="24"/>
      <c r="H34" s="24"/>
      <c r="I34" s="25">
        <f t="shared" ref="I34:I40" si="13">+G34+H34</f>
        <v>0</v>
      </c>
    </row>
    <row r="35" spans="2:9" x14ac:dyDescent="0.25">
      <c r="B35" s="63" t="s">
        <v>94</v>
      </c>
      <c r="C35" s="52" t="s">
        <v>95</v>
      </c>
      <c r="D35" s="24"/>
      <c r="E35" s="24"/>
      <c r="F35" s="25">
        <f t="shared" si="12"/>
        <v>0</v>
      </c>
      <c r="G35" s="24"/>
      <c r="H35" s="24"/>
      <c r="I35" s="25">
        <f t="shared" si="13"/>
        <v>0</v>
      </c>
    </row>
    <row r="36" spans="2:9" x14ac:dyDescent="0.25">
      <c r="B36" s="63" t="s">
        <v>96</v>
      </c>
      <c r="C36" s="52" t="s">
        <v>97</v>
      </c>
      <c r="D36" s="24"/>
      <c r="E36" s="24"/>
      <c r="F36" s="25">
        <f t="shared" si="12"/>
        <v>0</v>
      </c>
      <c r="G36" s="24"/>
      <c r="H36" s="24"/>
      <c r="I36" s="25">
        <f t="shared" si="13"/>
        <v>0</v>
      </c>
    </row>
    <row r="37" spans="2:9" x14ac:dyDescent="0.25">
      <c r="B37" s="63" t="s">
        <v>98</v>
      </c>
      <c r="C37" s="52" t="s">
        <v>99</v>
      </c>
      <c r="D37" s="24">
        <v>500000</v>
      </c>
      <c r="E37" s="24"/>
      <c r="F37" s="25">
        <f t="shared" si="12"/>
        <v>500000</v>
      </c>
      <c r="G37" s="24">
        <v>500000</v>
      </c>
      <c r="H37" s="24"/>
      <c r="I37" s="25">
        <f t="shared" si="13"/>
        <v>500000</v>
      </c>
    </row>
    <row r="38" spans="2:9" x14ac:dyDescent="0.25">
      <c r="B38" s="64" t="s">
        <v>100</v>
      </c>
      <c r="C38" s="52" t="s">
        <v>101</v>
      </c>
      <c r="D38" s="24"/>
      <c r="E38" s="24"/>
      <c r="F38" s="25">
        <f t="shared" si="12"/>
        <v>0</v>
      </c>
      <c r="G38" s="24"/>
      <c r="H38" s="24"/>
      <c r="I38" s="25">
        <f t="shared" si="13"/>
        <v>0</v>
      </c>
    </row>
    <row r="39" spans="2:9" x14ac:dyDescent="0.25">
      <c r="B39" s="64" t="s">
        <v>102</v>
      </c>
      <c r="C39" s="52" t="s">
        <v>103</v>
      </c>
      <c r="D39" s="24"/>
      <c r="E39" s="24"/>
      <c r="F39" s="25">
        <f t="shared" si="12"/>
        <v>0</v>
      </c>
      <c r="G39" s="24"/>
      <c r="H39" s="24"/>
      <c r="I39" s="25">
        <f t="shared" si="13"/>
        <v>0</v>
      </c>
    </row>
    <row r="40" spans="2:9" x14ac:dyDescent="0.25">
      <c r="B40" s="64" t="s">
        <v>104</v>
      </c>
      <c r="C40" s="52" t="s">
        <v>105</v>
      </c>
      <c r="D40" s="24">
        <v>135000</v>
      </c>
      <c r="E40" s="24"/>
      <c r="F40" s="25">
        <f t="shared" si="12"/>
        <v>135000</v>
      </c>
      <c r="G40" s="24">
        <v>135000</v>
      </c>
      <c r="H40" s="24"/>
      <c r="I40" s="25">
        <f t="shared" si="13"/>
        <v>135000</v>
      </c>
    </row>
    <row r="41" spans="2:9" s="31" customFormat="1" x14ac:dyDescent="0.25">
      <c r="B41" s="65" t="s">
        <v>106</v>
      </c>
      <c r="C41" s="55" t="s">
        <v>107</v>
      </c>
      <c r="D41" s="25">
        <f t="shared" ref="D41:I41" si="14">SUM(D34:D40)</f>
        <v>635000</v>
      </c>
      <c r="E41" s="25">
        <f t="shared" si="14"/>
        <v>0</v>
      </c>
      <c r="F41" s="25">
        <f t="shared" si="14"/>
        <v>635000</v>
      </c>
      <c r="G41" s="25">
        <f>SUM(G34:G40)</f>
        <v>635000</v>
      </c>
      <c r="H41" s="25">
        <f t="shared" ref="H41" si="15">SUM(H34:H40)</f>
        <v>0</v>
      </c>
      <c r="I41" s="25">
        <f t="shared" si="14"/>
        <v>635000</v>
      </c>
    </row>
    <row r="42" spans="2:9" x14ac:dyDescent="0.25">
      <c r="B42" s="66" t="s">
        <v>108</v>
      </c>
      <c r="C42" s="52" t="s">
        <v>109</v>
      </c>
      <c r="D42" s="24"/>
      <c r="E42" s="24"/>
      <c r="F42" s="25">
        <f>+D42+E42</f>
        <v>0</v>
      </c>
      <c r="G42" s="24"/>
      <c r="H42" s="24"/>
      <c r="I42" s="25">
        <f>+G42+H42</f>
        <v>0</v>
      </c>
    </row>
    <row r="43" spans="2:9" x14ac:dyDescent="0.25">
      <c r="B43" s="66" t="s">
        <v>110</v>
      </c>
      <c r="C43" s="52" t="s">
        <v>111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6" t="s">
        <v>112</v>
      </c>
      <c r="C44" s="52" t="s">
        <v>113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6" t="s">
        <v>114</v>
      </c>
      <c r="C45" s="52" t="s">
        <v>115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6" t="s">
        <v>116</v>
      </c>
      <c r="C46" s="55" t="s">
        <v>117</v>
      </c>
      <c r="D46" s="25">
        <f t="shared" ref="D46:I46" si="16">SUM(D42:D45)</f>
        <v>0</v>
      </c>
      <c r="E46" s="25">
        <f t="shared" si="16"/>
        <v>0</v>
      </c>
      <c r="F46" s="25">
        <f t="shared" si="16"/>
        <v>0</v>
      </c>
      <c r="G46" s="25">
        <f t="shared" si="16"/>
        <v>0</v>
      </c>
      <c r="H46" s="25">
        <f t="shared" si="16"/>
        <v>0</v>
      </c>
      <c r="I46" s="25">
        <f t="shared" si="16"/>
        <v>0</v>
      </c>
    </row>
    <row r="47" spans="2:9" ht="15" hidden="1" customHeight="1" x14ac:dyDescent="0.25">
      <c r="B47" s="66" t="s">
        <v>620</v>
      </c>
      <c r="C47" s="52" t="s">
        <v>119</v>
      </c>
      <c r="D47" s="24"/>
      <c r="E47" s="24"/>
      <c r="F47" s="25">
        <f t="shared" ref="F47:F55" si="17">+D47+E47</f>
        <v>0</v>
      </c>
      <c r="G47" s="24"/>
      <c r="H47" s="24"/>
      <c r="I47" s="25">
        <f t="shared" ref="I47:I55" si="18">+G47+H47</f>
        <v>0</v>
      </c>
    </row>
    <row r="48" spans="2:9" ht="15" hidden="1" customHeight="1" x14ac:dyDescent="0.25">
      <c r="B48" s="66" t="s">
        <v>621</v>
      </c>
      <c r="C48" s="52" t="s">
        <v>121</v>
      </c>
      <c r="D48" s="24"/>
      <c r="E48" s="24"/>
      <c r="F48" s="25">
        <f t="shared" si="17"/>
        <v>0</v>
      </c>
      <c r="G48" s="24"/>
      <c r="H48" s="24"/>
      <c r="I48" s="25">
        <f t="shared" si="18"/>
        <v>0</v>
      </c>
    </row>
    <row r="49" spans="2:16" ht="15" hidden="1" customHeight="1" x14ac:dyDescent="0.25">
      <c r="B49" s="66" t="s">
        <v>122</v>
      </c>
      <c r="C49" s="52" t="s">
        <v>123</v>
      </c>
      <c r="D49" s="24"/>
      <c r="E49" s="24"/>
      <c r="F49" s="25">
        <f t="shared" si="17"/>
        <v>0</v>
      </c>
      <c r="G49" s="24"/>
      <c r="H49" s="24"/>
      <c r="I49" s="25">
        <f t="shared" si="18"/>
        <v>0</v>
      </c>
    </row>
    <row r="50" spans="2:16" ht="15" hidden="1" customHeight="1" x14ac:dyDescent="0.25">
      <c r="B50" s="66" t="s">
        <v>124</v>
      </c>
      <c r="C50" s="52" t="s">
        <v>125</v>
      </c>
      <c r="D50" s="24"/>
      <c r="E50" s="24"/>
      <c r="F50" s="25">
        <f t="shared" si="17"/>
        <v>0</v>
      </c>
      <c r="G50" s="24"/>
      <c r="H50" s="24"/>
      <c r="I50" s="25">
        <f t="shared" si="18"/>
        <v>0</v>
      </c>
    </row>
    <row r="51" spans="2:16" ht="15" hidden="1" customHeight="1" x14ac:dyDescent="0.25">
      <c r="B51" s="66" t="s">
        <v>126</v>
      </c>
      <c r="C51" s="52" t="s">
        <v>127</v>
      </c>
      <c r="D51" s="24"/>
      <c r="E51" s="24"/>
      <c r="F51" s="25">
        <f t="shared" si="17"/>
        <v>0</v>
      </c>
      <c r="G51" s="24"/>
      <c r="H51" s="24"/>
      <c r="I51" s="25">
        <f t="shared" si="18"/>
        <v>0</v>
      </c>
    </row>
    <row r="52" spans="2:16" ht="15" hidden="1" customHeight="1" x14ac:dyDescent="0.25">
      <c r="B52" s="66" t="s">
        <v>128</v>
      </c>
      <c r="C52" s="52" t="s">
        <v>129</v>
      </c>
      <c r="D52" s="24"/>
      <c r="E52" s="24"/>
      <c r="F52" s="25">
        <f t="shared" si="17"/>
        <v>0</v>
      </c>
      <c r="G52" s="24"/>
      <c r="H52" s="24"/>
      <c r="I52" s="25">
        <f t="shared" si="18"/>
        <v>0</v>
      </c>
    </row>
    <row r="53" spans="2:16" ht="15" hidden="1" customHeight="1" x14ac:dyDescent="0.25">
      <c r="B53" s="66" t="s">
        <v>130</v>
      </c>
      <c r="C53" s="52" t="s">
        <v>131</v>
      </c>
      <c r="D53" s="24"/>
      <c r="E53" s="24"/>
      <c r="F53" s="25">
        <f t="shared" si="17"/>
        <v>0</v>
      </c>
      <c r="G53" s="24"/>
      <c r="H53" s="24"/>
      <c r="I53" s="25">
        <f t="shared" si="18"/>
        <v>0</v>
      </c>
    </row>
    <row r="54" spans="2:16" ht="15" hidden="1" customHeight="1" x14ac:dyDescent="0.25">
      <c r="B54" s="59" t="s">
        <v>622</v>
      </c>
      <c r="C54" s="52" t="s">
        <v>133</v>
      </c>
      <c r="D54" s="24"/>
      <c r="E54" s="24"/>
      <c r="F54" s="25">
        <f t="shared" si="17"/>
        <v>0</v>
      </c>
      <c r="G54" s="24"/>
      <c r="H54" s="24"/>
      <c r="I54" s="25">
        <f t="shared" si="18"/>
        <v>0</v>
      </c>
    </row>
    <row r="55" spans="2:16" hidden="1" x14ac:dyDescent="0.25">
      <c r="B55" s="66" t="s">
        <v>134</v>
      </c>
      <c r="C55" s="52" t="s">
        <v>135</v>
      </c>
      <c r="D55" s="24"/>
      <c r="E55" s="24"/>
      <c r="F55" s="25">
        <f t="shared" si="17"/>
        <v>0</v>
      </c>
      <c r="G55" s="24"/>
      <c r="H55" s="24"/>
      <c r="I55" s="25">
        <f t="shared" si="18"/>
        <v>0</v>
      </c>
    </row>
    <row r="56" spans="2:16" s="31" customFormat="1" x14ac:dyDescent="0.25">
      <c r="B56" s="57" t="s">
        <v>136</v>
      </c>
      <c r="C56" s="55" t="s">
        <v>137</v>
      </c>
      <c r="D56" s="25">
        <f t="shared" ref="D56:I56" si="19">SUM(D47:D55)</f>
        <v>0</v>
      </c>
      <c r="E56" s="25">
        <f t="shared" si="19"/>
        <v>0</v>
      </c>
      <c r="F56" s="25">
        <f t="shared" si="19"/>
        <v>0</v>
      </c>
      <c r="G56" s="25">
        <f t="shared" si="19"/>
        <v>0</v>
      </c>
      <c r="H56" s="25">
        <f t="shared" si="19"/>
        <v>0</v>
      </c>
      <c r="I56" s="25">
        <f t="shared" si="19"/>
        <v>0</v>
      </c>
    </row>
    <row r="57" spans="2:16" x14ac:dyDescent="0.25">
      <c r="B57" s="60" t="s">
        <v>138</v>
      </c>
      <c r="C57" s="61" t="s">
        <v>139</v>
      </c>
      <c r="D57" s="62">
        <f t="shared" ref="D57:I57" si="20">+D56+D46+D41</f>
        <v>635000</v>
      </c>
      <c r="E57" s="62">
        <f t="shared" si="20"/>
        <v>0</v>
      </c>
      <c r="F57" s="62">
        <f t="shared" si="20"/>
        <v>635000</v>
      </c>
      <c r="G57" s="62">
        <f t="shared" si="20"/>
        <v>635000</v>
      </c>
      <c r="H57" s="62">
        <f t="shared" si="20"/>
        <v>0</v>
      </c>
      <c r="I57" s="62">
        <f t="shared" si="20"/>
        <v>635000</v>
      </c>
    </row>
    <row r="58" spans="2:16" x14ac:dyDescent="0.25">
      <c r="B58" s="67" t="s">
        <v>140</v>
      </c>
      <c r="C58" s="68" t="s">
        <v>141</v>
      </c>
      <c r="D58" s="69">
        <f t="shared" ref="D58:I58" si="21">+D56+D46+D41+D32+D17+D16+D10+D9</f>
        <v>44970351</v>
      </c>
      <c r="E58" s="69">
        <f t="shared" si="21"/>
        <v>0</v>
      </c>
      <c r="F58" s="69">
        <f t="shared" si="21"/>
        <v>44970351</v>
      </c>
      <c r="G58" s="69">
        <f t="shared" si="21"/>
        <v>47499270</v>
      </c>
      <c r="H58" s="69">
        <f t="shared" si="21"/>
        <v>0</v>
      </c>
      <c r="I58" s="69">
        <f t="shared" si="21"/>
        <v>47499270</v>
      </c>
    </row>
    <row r="59" spans="2:16" hidden="1" x14ac:dyDescent="0.25">
      <c r="B59" s="71" t="s">
        <v>602</v>
      </c>
      <c r="C59" s="53" t="s">
        <v>167</v>
      </c>
      <c r="D59" s="218"/>
      <c r="E59" s="218"/>
      <c r="F59" s="24">
        <f>+D59+E59</f>
        <v>0</v>
      </c>
      <c r="G59" s="218"/>
      <c r="H59" s="218"/>
      <c r="I59" s="24">
        <f>+G59+H59</f>
        <v>0</v>
      </c>
      <c r="J59" s="219"/>
      <c r="K59" s="219"/>
      <c r="L59" s="219"/>
      <c r="M59" s="219"/>
      <c r="N59" s="219"/>
      <c r="O59" s="219"/>
      <c r="P59" s="219"/>
    </row>
    <row r="60" spans="2:16" hidden="1" x14ac:dyDescent="0.25">
      <c r="B60" s="71" t="s">
        <v>168</v>
      </c>
      <c r="C60" s="53" t="s">
        <v>169</v>
      </c>
      <c r="D60" s="218"/>
      <c r="E60" s="218"/>
      <c r="F60" s="24">
        <f>+D60+E60</f>
        <v>0</v>
      </c>
      <c r="G60" s="218"/>
      <c r="H60" s="218"/>
      <c r="I60" s="24">
        <f>+G60+H60</f>
        <v>0</v>
      </c>
      <c r="J60" s="219"/>
      <c r="K60" s="219"/>
      <c r="L60" s="219"/>
      <c r="M60" s="219"/>
      <c r="N60" s="219"/>
      <c r="O60" s="219"/>
      <c r="P60" s="219"/>
    </row>
    <row r="61" spans="2:16" hidden="1" x14ac:dyDescent="0.25">
      <c r="B61" s="66" t="s">
        <v>170</v>
      </c>
      <c r="C61" s="53" t="s">
        <v>171</v>
      </c>
      <c r="D61" s="218"/>
      <c r="E61" s="218"/>
      <c r="F61" s="24">
        <f>+D61+E61</f>
        <v>0</v>
      </c>
      <c r="G61" s="218"/>
      <c r="H61" s="218"/>
      <c r="I61" s="24">
        <f>+G61+H61</f>
        <v>0</v>
      </c>
      <c r="J61" s="220"/>
      <c r="K61" s="220"/>
      <c r="L61" s="220"/>
      <c r="M61" s="220"/>
      <c r="N61" s="220"/>
      <c r="O61" s="220"/>
      <c r="P61" s="220"/>
    </row>
    <row r="62" spans="2:16" hidden="1" x14ac:dyDescent="0.25">
      <c r="B62" s="66" t="s">
        <v>172</v>
      </c>
      <c r="C62" s="53" t="s">
        <v>173</v>
      </c>
      <c r="D62" s="218"/>
      <c r="E62" s="218"/>
      <c r="F62" s="24">
        <f>+D62+E62</f>
        <v>0</v>
      </c>
      <c r="G62" s="218"/>
      <c r="H62" s="218"/>
      <c r="I62" s="24">
        <f>+G62+H62</f>
        <v>0</v>
      </c>
      <c r="J62" s="220"/>
      <c r="K62" s="220"/>
      <c r="L62" s="220"/>
      <c r="M62" s="220"/>
      <c r="N62" s="220"/>
      <c r="O62" s="220"/>
      <c r="P62" s="220"/>
    </row>
    <row r="63" spans="2:16" x14ac:dyDescent="0.25">
      <c r="B63" s="74" t="s">
        <v>174</v>
      </c>
      <c r="C63" s="75" t="s">
        <v>175</v>
      </c>
      <c r="D63" s="76">
        <f t="shared" ref="D63:I63" si="22">+D61+D60+D59+D62</f>
        <v>0</v>
      </c>
      <c r="E63" s="76">
        <f t="shared" si="22"/>
        <v>0</v>
      </c>
      <c r="F63" s="76">
        <f t="shared" si="22"/>
        <v>0</v>
      </c>
      <c r="G63" s="76">
        <f t="shared" si="22"/>
        <v>0</v>
      </c>
      <c r="H63" s="76">
        <f t="shared" si="22"/>
        <v>0</v>
      </c>
      <c r="I63" s="76">
        <f t="shared" si="22"/>
        <v>0</v>
      </c>
      <c r="J63" s="221"/>
      <c r="K63" s="221"/>
      <c r="L63" s="221"/>
      <c r="M63" s="221"/>
      <c r="N63" s="221"/>
      <c r="O63" s="221"/>
      <c r="P63" s="221"/>
    </row>
    <row r="64" spans="2:16" x14ac:dyDescent="0.25">
      <c r="B64" s="28" t="s">
        <v>176</v>
      </c>
      <c r="C64" s="28" t="s">
        <v>177</v>
      </c>
      <c r="D64" s="29">
        <f t="shared" ref="D64:I64" si="23">+D58+D63</f>
        <v>44970351</v>
      </c>
      <c r="E64" s="29">
        <f t="shared" si="23"/>
        <v>0</v>
      </c>
      <c r="F64" s="29">
        <f t="shared" si="23"/>
        <v>44970351</v>
      </c>
      <c r="G64" s="29">
        <f t="shared" si="23"/>
        <v>47499270</v>
      </c>
      <c r="H64" s="29">
        <f t="shared" si="23"/>
        <v>0</v>
      </c>
      <c r="I64" s="29">
        <f t="shared" si="23"/>
        <v>47499270</v>
      </c>
    </row>
    <row r="65" spans="2:9" x14ac:dyDescent="0.25">
      <c r="B65" s="13"/>
      <c r="C65" s="13"/>
      <c r="D65" s="14"/>
      <c r="E65" s="14"/>
      <c r="F65" s="77"/>
      <c r="G65" s="14"/>
      <c r="H65" s="14"/>
      <c r="I65" s="77"/>
    </row>
    <row r="66" spans="2:9" ht="15.75" hidden="1" customHeight="1" x14ac:dyDescent="0.25">
      <c r="B66" s="13"/>
      <c r="C66" s="13"/>
      <c r="D66" s="494" t="s">
        <v>11</v>
      </c>
      <c r="E66" s="494"/>
      <c r="F66" s="494"/>
      <c r="G66" s="494" t="s">
        <v>11</v>
      </c>
      <c r="H66" s="494"/>
      <c r="I66" s="494"/>
    </row>
    <row r="67" spans="2:9" ht="47.25" x14ac:dyDescent="0.25">
      <c r="B67" s="19" t="s">
        <v>12</v>
      </c>
      <c r="C67" s="47" t="s">
        <v>178</v>
      </c>
      <c r="D67" s="48" t="s">
        <v>13</v>
      </c>
      <c r="E67" s="48" t="s">
        <v>14</v>
      </c>
      <c r="F67" s="47" t="s">
        <v>543</v>
      </c>
      <c r="G67" s="48" t="s">
        <v>13</v>
      </c>
      <c r="H67" s="48" t="s">
        <v>14</v>
      </c>
      <c r="I67" s="47" t="s">
        <v>543</v>
      </c>
    </row>
    <row r="68" spans="2:9" hidden="1" x14ac:dyDescent="0.25">
      <c r="B68" s="56" t="s">
        <v>603</v>
      </c>
      <c r="C68" s="65" t="s">
        <v>192</v>
      </c>
      <c r="D68" s="25"/>
      <c r="E68" s="25"/>
      <c r="F68" s="25">
        <f t="shared" ref="F68:F73" si="24">+E68+D68</f>
        <v>0</v>
      </c>
      <c r="G68" s="25"/>
      <c r="H68" s="25"/>
      <c r="I68" s="25">
        <f t="shared" ref="I68:I73" si="25">+H68+G68</f>
        <v>0</v>
      </c>
    </row>
    <row r="69" spans="2:9" hidden="1" x14ac:dyDescent="0.25">
      <c r="B69" s="53" t="s">
        <v>193</v>
      </c>
      <c r="C69" s="64" t="s">
        <v>194</v>
      </c>
      <c r="D69" s="25"/>
      <c r="E69" s="25"/>
      <c r="F69" s="25">
        <f t="shared" si="24"/>
        <v>0</v>
      </c>
      <c r="G69" s="25"/>
      <c r="H69" s="25"/>
      <c r="I69" s="25">
        <f t="shared" si="25"/>
        <v>0</v>
      </c>
    </row>
    <row r="70" spans="2:9" ht="31.5" hidden="1" x14ac:dyDescent="0.25">
      <c r="B70" s="53" t="s">
        <v>604</v>
      </c>
      <c r="C70" s="64" t="s">
        <v>196</v>
      </c>
      <c r="D70" s="25"/>
      <c r="E70" s="25"/>
      <c r="F70" s="25">
        <f t="shared" si="24"/>
        <v>0</v>
      </c>
      <c r="G70" s="25"/>
      <c r="H70" s="25"/>
      <c r="I70" s="25">
        <f t="shared" si="25"/>
        <v>0</v>
      </c>
    </row>
    <row r="71" spans="2:9" hidden="1" x14ac:dyDescent="0.25">
      <c r="B71" s="53" t="s">
        <v>197</v>
      </c>
      <c r="C71" s="64" t="s">
        <v>198</v>
      </c>
      <c r="D71" s="25"/>
      <c r="E71" s="25"/>
      <c r="F71" s="25">
        <f t="shared" si="24"/>
        <v>0</v>
      </c>
      <c r="G71" s="25"/>
      <c r="H71" s="25"/>
      <c r="I71" s="25">
        <f t="shared" si="25"/>
        <v>0</v>
      </c>
    </row>
    <row r="72" spans="2:9" hidden="1" x14ac:dyDescent="0.25">
      <c r="B72" s="53" t="s">
        <v>199</v>
      </c>
      <c r="C72" s="64" t="s">
        <v>200</v>
      </c>
      <c r="D72" s="25"/>
      <c r="E72" s="25"/>
      <c r="F72" s="25">
        <f t="shared" si="24"/>
        <v>0</v>
      </c>
      <c r="G72" s="25"/>
      <c r="H72" s="25"/>
      <c r="I72" s="25">
        <f t="shared" si="25"/>
        <v>0</v>
      </c>
    </row>
    <row r="73" spans="2:9" x14ac:dyDescent="0.25">
      <c r="B73" s="53" t="s">
        <v>201</v>
      </c>
      <c r="C73" s="64" t="s">
        <v>202</v>
      </c>
      <c r="D73" s="24">
        <v>4018124</v>
      </c>
      <c r="E73" s="24"/>
      <c r="F73" s="25">
        <f t="shared" si="24"/>
        <v>4018124</v>
      </c>
      <c r="G73" s="24">
        <v>4557486</v>
      </c>
      <c r="H73" s="24"/>
      <c r="I73" s="25">
        <f t="shared" si="25"/>
        <v>4557486</v>
      </c>
    </row>
    <row r="74" spans="2:9" x14ac:dyDescent="0.25">
      <c r="B74" s="56" t="s">
        <v>203</v>
      </c>
      <c r="C74" s="65" t="s">
        <v>204</v>
      </c>
      <c r="D74" s="25">
        <f t="shared" ref="D74:I74" si="26">+D73+D72+D71+D70+D69+D68</f>
        <v>4018124</v>
      </c>
      <c r="E74" s="25">
        <f t="shared" si="26"/>
        <v>0</v>
      </c>
      <c r="F74" s="25">
        <f t="shared" si="26"/>
        <v>4018124</v>
      </c>
      <c r="G74" s="25">
        <f>+G73+G72+G71+G70+G69+G68</f>
        <v>4557486</v>
      </c>
      <c r="H74" s="25">
        <f t="shared" ref="H74" si="27">+H73+H72+H71+H70+H69+H68</f>
        <v>0</v>
      </c>
      <c r="I74" s="25">
        <f t="shared" si="26"/>
        <v>4557486</v>
      </c>
    </row>
    <row r="75" spans="2:9" x14ac:dyDescent="0.25">
      <c r="B75" s="56" t="s">
        <v>205</v>
      </c>
      <c r="C75" s="65" t="s">
        <v>206</v>
      </c>
      <c r="D75" s="24"/>
      <c r="E75" s="24"/>
      <c r="F75" s="25">
        <f t="shared" ref="F75:F81" si="28">+E75+D75</f>
        <v>0</v>
      </c>
      <c r="G75" s="24"/>
      <c r="H75" s="24"/>
      <c r="I75" s="25">
        <f t="shared" ref="I75:I81" si="29">+H75+G75</f>
        <v>0</v>
      </c>
    </row>
    <row r="76" spans="2:9" hidden="1" x14ac:dyDescent="0.25">
      <c r="B76" s="53" t="s">
        <v>207</v>
      </c>
      <c r="C76" s="64" t="s">
        <v>208</v>
      </c>
      <c r="D76" s="24"/>
      <c r="E76" s="24"/>
      <c r="F76" s="25">
        <f t="shared" si="28"/>
        <v>0</v>
      </c>
      <c r="G76" s="24"/>
      <c r="H76" s="24"/>
      <c r="I76" s="25">
        <f t="shared" si="29"/>
        <v>0</v>
      </c>
    </row>
    <row r="77" spans="2:9" hidden="1" x14ac:dyDescent="0.25">
      <c r="B77" s="53" t="s">
        <v>209</v>
      </c>
      <c r="C77" s="64" t="s">
        <v>210</v>
      </c>
      <c r="D77" s="24"/>
      <c r="E77" s="24"/>
      <c r="F77" s="25">
        <f t="shared" si="28"/>
        <v>0</v>
      </c>
      <c r="G77" s="24"/>
      <c r="H77" s="24"/>
      <c r="I77" s="25">
        <f t="shared" si="29"/>
        <v>0</v>
      </c>
    </row>
    <row r="78" spans="2:9" hidden="1" x14ac:dyDescent="0.25">
      <c r="B78" s="53" t="s">
        <v>211</v>
      </c>
      <c r="C78" s="64" t="s">
        <v>212</v>
      </c>
      <c r="D78" s="24"/>
      <c r="E78" s="24"/>
      <c r="F78" s="25">
        <f t="shared" si="28"/>
        <v>0</v>
      </c>
      <c r="G78" s="24"/>
      <c r="H78" s="24"/>
      <c r="I78" s="25">
        <f t="shared" si="29"/>
        <v>0</v>
      </c>
    </row>
    <row r="79" spans="2:9" hidden="1" x14ac:dyDescent="0.25">
      <c r="B79" s="53" t="s">
        <v>213</v>
      </c>
      <c r="C79" s="64" t="s">
        <v>214</v>
      </c>
      <c r="D79" s="24"/>
      <c r="E79" s="24"/>
      <c r="F79" s="25">
        <f t="shared" si="28"/>
        <v>0</v>
      </c>
      <c r="G79" s="24"/>
      <c r="H79" s="24"/>
      <c r="I79" s="25">
        <f t="shared" si="29"/>
        <v>0</v>
      </c>
    </row>
    <row r="80" spans="2:9" hidden="1" x14ac:dyDescent="0.25">
      <c r="B80" s="53" t="s">
        <v>215</v>
      </c>
      <c r="C80" s="64" t="s">
        <v>216</v>
      </c>
      <c r="D80" s="24"/>
      <c r="E80" s="24"/>
      <c r="F80" s="25">
        <f t="shared" si="28"/>
        <v>0</v>
      </c>
      <c r="G80" s="24"/>
      <c r="H80" s="24"/>
      <c r="I80" s="25">
        <f t="shared" si="29"/>
        <v>0</v>
      </c>
    </row>
    <row r="81" spans="2:9" hidden="1" x14ac:dyDescent="0.25">
      <c r="B81" s="53" t="s">
        <v>217</v>
      </c>
      <c r="C81" s="64" t="s">
        <v>218</v>
      </c>
      <c r="D81" s="24"/>
      <c r="E81" s="24"/>
      <c r="F81" s="25">
        <f t="shared" si="28"/>
        <v>0</v>
      </c>
      <c r="G81" s="24"/>
      <c r="H81" s="24"/>
      <c r="I81" s="25">
        <f t="shared" si="29"/>
        <v>0</v>
      </c>
    </row>
    <row r="82" spans="2:9" x14ac:dyDescent="0.25">
      <c r="B82" s="56" t="s">
        <v>219</v>
      </c>
      <c r="C82" s="65" t="s">
        <v>220</v>
      </c>
      <c r="D82" s="25">
        <f t="shared" ref="D82:I82" si="30">SUM(D76:D81)</f>
        <v>0</v>
      </c>
      <c r="E82" s="25">
        <f t="shared" si="30"/>
        <v>0</v>
      </c>
      <c r="F82" s="25">
        <f t="shared" si="30"/>
        <v>0</v>
      </c>
      <c r="G82" s="25">
        <f>SUM(G76:G81)</f>
        <v>0</v>
      </c>
      <c r="H82" s="25">
        <f t="shared" ref="H82" si="31">SUM(H76:H81)</f>
        <v>0</v>
      </c>
      <c r="I82" s="25">
        <f t="shared" si="30"/>
        <v>0</v>
      </c>
    </row>
    <row r="83" spans="2:9" x14ac:dyDescent="0.25">
      <c r="B83" s="66" t="s">
        <v>607</v>
      </c>
      <c r="C83" s="64" t="s">
        <v>222</v>
      </c>
      <c r="D83" s="24"/>
      <c r="E83" s="24"/>
      <c r="F83" s="25">
        <f t="shared" ref="F83:F93" si="32">+E83+D83</f>
        <v>0</v>
      </c>
      <c r="G83" s="24">
        <v>40000</v>
      </c>
      <c r="H83" s="24"/>
      <c r="I83" s="25">
        <f t="shared" ref="I83:I93" si="33">+H83+G83</f>
        <v>40000</v>
      </c>
    </row>
    <row r="84" spans="2:9" x14ac:dyDescent="0.25">
      <c r="B84" s="66" t="s">
        <v>223</v>
      </c>
      <c r="C84" s="64" t="s">
        <v>224</v>
      </c>
      <c r="D84" s="24">
        <f>40000+5039370+300000+500000</f>
        <v>5879370</v>
      </c>
      <c r="E84" s="24"/>
      <c r="F84" s="25">
        <f t="shared" si="32"/>
        <v>5879370</v>
      </c>
      <c r="G84" s="24">
        <v>5489370</v>
      </c>
      <c r="H84" s="24"/>
      <c r="I84" s="25">
        <f t="shared" si="33"/>
        <v>5489370</v>
      </c>
    </row>
    <row r="85" spans="2:9" x14ac:dyDescent="0.25">
      <c r="B85" s="66" t="s">
        <v>225</v>
      </c>
      <c r="C85" s="64" t="s">
        <v>226</v>
      </c>
      <c r="D85" s="24"/>
      <c r="E85" s="24"/>
      <c r="F85" s="25">
        <f t="shared" si="32"/>
        <v>0</v>
      </c>
      <c r="G85" s="24"/>
      <c r="H85" s="24"/>
      <c r="I85" s="25">
        <f t="shared" si="33"/>
        <v>0</v>
      </c>
    </row>
    <row r="86" spans="2:9" x14ac:dyDescent="0.25">
      <c r="B86" s="66" t="s">
        <v>227</v>
      </c>
      <c r="C86" s="64" t="s">
        <v>228</v>
      </c>
      <c r="D86" s="24"/>
      <c r="E86" s="24"/>
      <c r="F86" s="25">
        <f t="shared" si="32"/>
        <v>0</v>
      </c>
      <c r="G86" s="24"/>
      <c r="H86" s="24"/>
      <c r="I86" s="25">
        <f t="shared" si="33"/>
        <v>0</v>
      </c>
    </row>
    <row r="87" spans="2:9" x14ac:dyDescent="0.25">
      <c r="B87" s="66" t="s">
        <v>229</v>
      </c>
      <c r="C87" s="64" t="s">
        <v>230</v>
      </c>
      <c r="D87" s="24"/>
      <c r="E87" s="24"/>
      <c r="F87" s="25">
        <f t="shared" si="32"/>
        <v>0</v>
      </c>
      <c r="G87" s="24"/>
      <c r="H87" s="24"/>
      <c r="I87" s="25">
        <f t="shared" si="33"/>
        <v>0</v>
      </c>
    </row>
    <row r="88" spans="2:9" x14ac:dyDescent="0.25">
      <c r="B88" s="66" t="s">
        <v>231</v>
      </c>
      <c r="C88" s="64" t="s">
        <v>232</v>
      </c>
      <c r="D88" s="24">
        <v>1497630</v>
      </c>
      <c r="E88" s="24"/>
      <c r="F88" s="25">
        <f t="shared" si="32"/>
        <v>1497630</v>
      </c>
      <c r="G88" s="24">
        <v>1497630</v>
      </c>
      <c r="H88" s="24"/>
      <c r="I88" s="25">
        <f t="shared" si="33"/>
        <v>1497630</v>
      </c>
    </row>
    <row r="89" spans="2:9" x14ac:dyDescent="0.25">
      <c r="B89" s="66" t="s">
        <v>233</v>
      </c>
      <c r="C89" s="64" t="s">
        <v>234</v>
      </c>
      <c r="D89" s="24"/>
      <c r="E89" s="24"/>
      <c r="F89" s="25">
        <f t="shared" si="32"/>
        <v>0</v>
      </c>
      <c r="G89" s="24"/>
      <c r="H89" s="24"/>
      <c r="I89" s="25">
        <f t="shared" si="33"/>
        <v>0</v>
      </c>
    </row>
    <row r="90" spans="2:9" x14ac:dyDescent="0.25">
      <c r="B90" s="66" t="s">
        <v>235</v>
      </c>
      <c r="C90" s="64" t="s">
        <v>236</v>
      </c>
      <c r="D90" s="24"/>
      <c r="E90" s="24"/>
      <c r="F90" s="25">
        <f t="shared" si="32"/>
        <v>0</v>
      </c>
      <c r="G90" s="24"/>
      <c r="H90" s="24"/>
      <c r="I90" s="25">
        <f t="shared" si="33"/>
        <v>0</v>
      </c>
    </row>
    <row r="91" spans="2:9" x14ac:dyDescent="0.25">
      <c r="B91" s="66" t="s">
        <v>237</v>
      </c>
      <c r="C91" s="64" t="s">
        <v>238</v>
      </c>
      <c r="D91" s="24"/>
      <c r="E91" s="24"/>
      <c r="F91" s="25">
        <f t="shared" si="32"/>
        <v>0</v>
      </c>
      <c r="G91" s="24"/>
      <c r="H91" s="24"/>
      <c r="I91" s="25">
        <f t="shared" si="33"/>
        <v>0</v>
      </c>
    </row>
    <row r="92" spans="2:9" x14ac:dyDescent="0.25">
      <c r="B92" s="66" t="s">
        <v>239</v>
      </c>
      <c r="C92" s="64" t="s">
        <v>240</v>
      </c>
      <c r="D92" s="24"/>
      <c r="E92" s="24"/>
      <c r="F92" s="25">
        <f t="shared" si="32"/>
        <v>0</v>
      </c>
      <c r="G92" s="24"/>
      <c r="H92" s="24"/>
      <c r="I92" s="25">
        <f t="shared" si="33"/>
        <v>0</v>
      </c>
    </row>
    <row r="93" spans="2:9" x14ac:dyDescent="0.25">
      <c r="B93" s="66" t="s">
        <v>241</v>
      </c>
      <c r="C93" s="64" t="s">
        <v>242</v>
      </c>
      <c r="D93" s="24"/>
      <c r="E93" s="24"/>
      <c r="F93" s="25">
        <f t="shared" si="32"/>
        <v>0</v>
      </c>
      <c r="G93" s="24"/>
      <c r="H93" s="24"/>
      <c r="I93" s="25">
        <f t="shared" si="33"/>
        <v>0</v>
      </c>
    </row>
    <row r="94" spans="2:9" x14ac:dyDescent="0.25">
      <c r="B94" s="57" t="s">
        <v>243</v>
      </c>
      <c r="C94" s="65" t="s">
        <v>244</v>
      </c>
      <c r="D94" s="25">
        <f t="shared" ref="D94:I94" si="34">SUM(D83:D93)</f>
        <v>7377000</v>
      </c>
      <c r="E94" s="25">
        <f t="shared" si="34"/>
        <v>0</v>
      </c>
      <c r="F94" s="25">
        <f t="shared" si="34"/>
        <v>7377000</v>
      </c>
      <c r="G94" s="25">
        <f t="shared" ref="G94:H94" si="35">SUM(G83:G93)</f>
        <v>7027000</v>
      </c>
      <c r="H94" s="25">
        <f t="shared" si="35"/>
        <v>0</v>
      </c>
      <c r="I94" s="25">
        <f t="shared" si="34"/>
        <v>7027000</v>
      </c>
    </row>
    <row r="95" spans="2:9" x14ac:dyDescent="0.25">
      <c r="B95" s="66" t="s">
        <v>245</v>
      </c>
      <c r="C95" s="64" t="s">
        <v>246</v>
      </c>
      <c r="D95" s="24"/>
      <c r="E95" s="24"/>
      <c r="F95" s="25">
        <f>+E95+D95</f>
        <v>0</v>
      </c>
      <c r="G95" s="24"/>
      <c r="H95" s="24"/>
      <c r="I95" s="25">
        <f>+H95+G95</f>
        <v>0</v>
      </c>
    </row>
    <row r="96" spans="2:9" x14ac:dyDescent="0.25">
      <c r="B96" s="66" t="s">
        <v>247</v>
      </c>
      <c r="C96" s="64" t="s">
        <v>248</v>
      </c>
      <c r="D96" s="24"/>
      <c r="E96" s="24"/>
      <c r="F96" s="25">
        <f>+E96+D96</f>
        <v>0</v>
      </c>
      <c r="G96" s="24"/>
      <c r="H96" s="24"/>
      <c r="I96" s="25">
        <f>+H96+G96</f>
        <v>0</v>
      </c>
    </row>
    <row r="97" spans="2:9" x14ac:dyDescent="0.25">
      <c r="B97" s="66" t="s">
        <v>249</v>
      </c>
      <c r="C97" s="64" t="s">
        <v>250</v>
      </c>
      <c r="D97" s="24"/>
      <c r="E97" s="24"/>
      <c r="F97" s="25">
        <f>+E97+D97</f>
        <v>0</v>
      </c>
      <c r="G97" s="24"/>
      <c r="H97" s="24"/>
      <c r="I97" s="25">
        <f>+H97+G97</f>
        <v>0</v>
      </c>
    </row>
    <row r="98" spans="2:9" hidden="1" x14ac:dyDescent="0.25">
      <c r="B98" s="66" t="s">
        <v>251</v>
      </c>
      <c r="C98" s="64" t="s">
        <v>252</v>
      </c>
      <c r="D98" s="24"/>
      <c r="E98" s="24"/>
      <c r="F98" s="25">
        <f>+E98+D98</f>
        <v>0</v>
      </c>
      <c r="G98" s="24"/>
      <c r="H98" s="24"/>
      <c r="I98" s="25">
        <f>+H98+G98</f>
        <v>0</v>
      </c>
    </row>
    <row r="99" spans="2:9" hidden="1" x14ac:dyDescent="0.25">
      <c r="B99" s="66" t="s">
        <v>253</v>
      </c>
      <c r="C99" s="64" t="s">
        <v>254</v>
      </c>
      <c r="D99" s="24"/>
      <c r="E99" s="24"/>
      <c r="F99" s="25">
        <f>+E99+D99</f>
        <v>0</v>
      </c>
      <c r="G99" s="24"/>
      <c r="H99" s="24"/>
      <c r="I99" s="25">
        <f>+H99+G99</f>
        <v>0</v>
      </c>
    </row>
    <row r="100" spans="2:9" x14ac:dyDescent="0.25">
      <c r="B100" s="56" t="s">
        <v>255</v>
      </c>
      <c r="C100" s="65" t="s">
        <v>256</v>
      </c>
      <c r="D100" s="25">
        <f t="shared" ref="D100:I100" si="36">SUM(D95:D99)</f>
        <v>0</v>
      </c>
      <c r="E100" s="25">
        <f t="shared" si="36"/>
        <v>0</v>
      </c>
      <c r="F100" s="25">
        <f t="shared" si="36"/>
        <v>0</v>
      </c>
      <c r="G100" s="25">
        <f t="shared" ref="G100:H100" si="37">SUM(G95:G99)</f>
        <v>0</v>
      </c>
      <c r="H100" s="25">
        <f t="shared" si="37"/>
        <v>0</v>
      </c>
      <c r="I100" s="25">
        <f t="shared" si="36"/>
        <v>0</v>
      </c>
    </row>
    <row r="101" spans="2:9" x14ac:dyDescent="0.25">
      <c r="B101" s="56" t="s">
        <v>257</v>
      </c>
      <c r="C101" s="65" t="s">
        <v>258</v>
      </c>
      <c r="D101" s="24"/>
      <c r="E101" s="24"/>
      <c r="F101" s="25">
        <f>+E101+D101</f>
        <v>0</v>
      </c>
      <c r="G101" s="24"/>
      <c r="H101" s="24"/>
      <c r="I101" s="25">
        <f>+H101+G101</f>
        <v>0</v>
      </c>
    </row>
    <row r="102" spans="2:9" hidden="1" x14ac:dyDescent="0.25">
      <c r="B102" s="66" t="s">
        <v>259</v>
      </c>
      <c r="C102" s="64" t="s">
        <v>260</v>
      </c>
      <c r="D102" s="24"/>
      <c r="E102" s="24"/>
      <c r="F102" s="25">
        <f>+E102+D102</f>
        <v>0</v>
      </c>
      <c r="G102" s="24"/>
      <c r="H102" s="24"/>
      <c r="I102" s="25">
        <f>+H102+G102</f>
        <v>0</v>
      </c>
    </row>
    <row r="103" spans="2:9" hidden="1" x14ac:dyDescent="0.25">
      <c r="B103" s="53" t="s">
        <v>261</v>
      </c>
      <c r="C103" s="64" t="s">
        <v>262</v>
      </c>
      <c r="D103" s="24"/>
      <c r="E103" s="24"/>
      <c r="F103" s="25"/>
      <c r="G103" s="24"/>
      <c r="H103" s="24"/>
      <c r="I103" s="25"/>
    </row>
    <row r="104" spans="2:9" ht="31.5" hidden="1" x14ac:dyDescent="0.25">
      <c r="B104" s="66" t="s">
        <v>263</v>
      </c>
      <c r="C104" s="64" t="s">
        <v>264</v>
      </c>
      <c r="D104" s="24"/>
      <c r="E104" s="24"/>
      <c r="F104" s="25"/>
      <c r="G104" s="24"/>
      <c r="H104" s="24"/>
      <c r="I104" s="25"/>
    </row>
    <row r="105" spans="2:9" ht="15" hidden="1" customHeight="1" x14ac:dyDescent="0.25">
      <c r="B105" s="66" t="s">
        <v>265</v>
      </c>
      <c r="C105" s="64" t="s">
        <v>266</v>
      </c>
      <c r="D105" s="24"/>
      <c r="E105" s="24"/>
      <c r="F105" s="25">
        <f>+E105+D105</f>
        <v>0</v>
      </c>
      <c r="G105" s="24"/>
      <c r="H105" s="24"/>
      <c r="I105" s="25">
        <f>+H105+G105</f>
        <v>0</v>
      </c>
    </row>
    <row r="106" spans="2:9" x14ac:dyDescent="0.25">
      <c r="B106" s="66" t="s">
        <v>267</v>
      </c>
      <c r="C106" s="64" t="s">
        <v>268</v>
      </c>
      <c r="D106" s="24"/>
      <c r="E106" s="24"/>
      <c r="F106" s="25">
        <f>+E106+D106</f>
        <v>0</v>
      </c>
      <c r="G106" s="24"/>
      <c r="H106" s="24"/>
      <c r="I106" s="25">
        <f>+H106+G106</f>
        <v>0</v>
      </c>
    </row>
    <row r="107" spans="2:9" x14ac:dyDescent="0.25">
      <c r="B107" s="56" t="s">
        <v>269</v>
      </c>
      <c r="C107" s="65" t="s">
        <v>270</v>
      </c>
      <c r="D107" s="25">
        <f t="shared" ref="D107:I107" si="38">SUM(D102:D106)</f>
        <v>0</v>
      </c>
      <c r="E107" s="25">
        <f t="shared" si="38"/>
        <v>0</v>
      </c>
      <c r="F107" s="25">
        <f t="shared" si="38"/>
        <v>0</v>
      </c>
      <c r="G107" s="25">
        <f t="shared" ref="G107:H107" si="39">SUM(G102:G106)</f>
        <v>0</v>
      </c>
      <c r="H107" s="25">
        <f t="shared" si="39"/>
        <v>0</v>
      </c>
      <c r="I107" s="25">
        <f t="shared" si="38"/>
        <v>0</v>
      </c>
    </row>
    <row r="108" spans="2:9" x14ac:dyDescent="0.25">
      <c r="B108" s="78" t="s">
        <v>271</v>
      </c>
      <c r="C108" s="67" t="s">
        <v>272</v>
      </c>
      <c r="D108" s="69">
        <f t="shared" ref="D108:I108" si="40">+D107+D101+D100+D94+D82+D75+D74</f>
        <v>11395124</v>
      </c>
      <c r="E108" s="69">
        <f t="shared" si="40"/>
        <v>0</v>
      </c>
      <c r="F108" s="69">
        <f t="shared" si="40"/>
        <v>11395124</v>
      </c>
      <c r="G108" s="69">
        <f t="shared" si="40"/>
        <v>11584486</v>
      </c>
      <c r="H108" s="69">
        <f t="shared" si="40"/>
        <v>0</v>
      </c>
      <c r="I108" s="69">
        <f t="shared" si="40"/>
        <v>11584486</v>
      </c>
    </row>
    <row r="109" spans="2:9" x14ac:dyDescent="0.25">
      <c r="B109" s="79" t="s">
        <v>273</v>
      </c>
      <c r="C109" s="80"/>
      <c r="D109" s="81">
        <f>+D101+D94+D82+D74-D33</f>
        <v>-32940227</v>
      </c>
      <c r="E109" s="81">
        <f>+E101+E94+E82+E74-E33</f>
        <v>0</v>
      </c>
      <c r="F109" s="81">
        <f t="shared" ref="F109:F116" si="41">+E109+D109</f>
        <v>-32940227</v>
      </c>
      <c r="G109" s="81">
        <f>+G101+G94+G82+G74-G33</f>
        <v>-35279784</v>
      </c>
      <c r="H109" s="81">
        <f>+H101+H94+H82+H74-H33</f>
        <v>0</v>
      </c>
      <c r="I109" s="81">
        <f t="shared" ref="I109:I116" si="42">+H109+G109</f>
        <v>-35279784</v>
      </c>
    </row>
    <row r="110" spans="2:9" x14ac:dyDescent="0.25">
      <c r="B110" s="79" t="s">
        <v>274</v>
      </c>
      <c r="C110" s="80"/>
      <c r="D110" s="81">
        <f>+D107+D100+D75-D57</f>
        <v>-635000</v>
      </c>
      <c r="E110" s="81">
        <f>+E107+E100+E75-E57</f>
        <v>0</v>
      </c>
      <c r="F110" s="81">
        <f t="shared" si="41"/>
        <v>-635000</v>
      </c>
      <c r="G110" s="81">
        <f>+G107+G100+G75-G57</f>
        <v>-635000</v>
      </c>
      <c r="H110" s="81">
        <f>+H107+H100+H75-H57</f>
        <v>0</v>
      </c>
      <c r="I110" s="81">
        <f t="shared" si="42"/>
        <v>-635000</v>
      </c>
    </row>
    <row r="111" spans="2:9" hidden="1" x14ac:dyDescent="0.25">
      <c r="B111" s="57" t="s">
        <v>611</v>
      </c>
      <c r="C111" s="56" t="s">
        <v>282</v>
      </c>
      <c r="D111" s="24"/>
      <c r="E111" s="24"/>
      <c r="F111" s="25">
        <f t="shared" si="41"/>
        <v>0</v>
      </c>
      <c r="G111" s="24"/>
      <c r="H111" s="24"/>
      <c r="I111" s="25">
        <f t="shared" si="42"/>
        <v>0</v>
      </c>
    </row>
    <row r="112" spans="2:9" hidden="1" x14ac:dyDescent="0.25">
      <c r="B112" s="73" t="s">
        <v>612</v>
      </c>
      <c r="C112" s="56" t="s">
        <v>292</v>
      </c>
      <c r="D112" s="24"/>
      <c r="E112" s="24"/>
      <c r="F112" s="25">
        <f t="shared" si="41"/>
        <v>0</v>
      </c>
      <c r="G112" s="24"/>
      <c r="H112" s="24"/>
      <c r="I112" s="25">
        <f t="shared" si="42"/>
        <v>0</v>
      </c>
    </row>
    <row r="113" spans="1:9" x14ac:dyDescent="0.25">
      <c r="B113" s="53" t="s">
        <v>293</v>
      </c>
      <c r="C113" s="53" t="s">
        <v>294</v>
      </c>
      <c r="D113" s="24">
        <v>415477</v>
      </c>
      <c r="E113" s="24"/>
      <c r="F113" s="25">
        <f t="shared" si="41"/>
        <v>415477</v>
      </c>
      <c r="G113" s="24">
        <v>415477</v>
      </c>
      <c r="H113" s="24"/>
      <c r="I113" s="25">
        <f t="shared" si="42"/>
        <v>415477</v>
      </c>
    </row>
    <row r="114" spans="1:9" x14ac:dyDescent="0.25">
      <c r="B114" s="53" t="s">
        <v>295</v>
      </c>
      <c r="C114" s="53" t="s">
        <v>294</v>
      </c>
      <c r="D114" s="24">
        <v>0</v>
      </c>
      <c r="E114" s="24"/>
      <c r="F114" s="25">
        <f t="shared" si="41"/>
        <v>0</v>
      </c>
      <c r="G114" s="24">
        <v>0</v>
      </c>
      <c r="H114" s="24"/>
      <c r="I114" s="25">
        <f t="shared" si="42"/>
        <v>0</v>
      </c>
    </row>
    <row r="115" spans="1:9" x14ac:dyDescent="0.25">
      <c r="B115" s="53" t="s">
        <v>296</v>
      </c>
      <c r="C115" s="53" t="s">
        <v>297</v>
      </c>
      <c r="D115" s="24"/>
      <c r="E115" s="24"/>
      <c r="F115" s="25">
        <f t="shared" si="41"/>
        <v>0</v>
      </c>
      <c r="G115" s="24"/>
      <c r="H115" s="24"/>
      <c r="I115" s="25">
        <f t="shared" si="42"/>
        <v>0</v>
      </c>
    </row>
    <row r="116" spans="1:9" x14ac:dyDescent="0.25">
      <c r="A116" s="13" t="s">
        <v>331</v>
      </c>
      <c r="B116" s="53" t="s">
        <v>298</v>
      </c>
      <c r="C116" s="53" t="s">
        <v>297</v>
      </c>
      <c r="D116" s="24"/>
      <c r="E116" s="24"/>
      <c r="F116" s="25">
        <f t="shared" si="41"/>
        <v>0</v>
      </c>
      <c r="G116" s="24"/>
      <c r="H116" s="24"/>
      <c r="I116" s="25">
        <f t="shared" si="42"/>
        <v>0</v>
      </c>
    </row>
    <row r="117" spans="1:9" x14ac:dyDescent="0.25">
      <c r="A117" s="13" t="s">
        <v>623</v>
      </c>
      <c r="B117" s="56" t="s">
        <v>299</v>
      </c>
      <c r="C117" s="56" t="s">
        <v>300</v>
      </c>
      <c r="D117" s="25">
        <f t="shared" ref="D117:I117" si="43">SUM(D113:D116)</f>
        <v>415477</v>
      </c>
      <c r="E117" s="25">
        <f t="shared" si="43"/>
        <v>0</v>
      </c>
      <c r="F117" s="25">
        <f t="shared" si="43"/>
        <v>415477</v>
      </c>
      <c r="G117" s="25">
        <f>SUM(G113:G116)</f>
        <v>415477</v>
      </c>
      <c r="H117" s="25">
        <f t="shared" ref="H117" si="44">SUM(H113:H116)</f>
        <v>0</v>
      </c>
      <c r="I117" s="25">
        <f t="shared" si="43"/>
        <v>415477</v>
      </c>
    </row>
    <row r="118" spans="1:9" hidden="1" x14ac:dyDescent="0.25">
      <c r="A118"/>
      <c r="B118" s="71" t="s">
        <v>301</v>
      </c>
      <c r="C118" s="53" t="s">
        <v>302</v>
      </c>
      <c r="D118" s="24"/>
      <c r="E118" s="24"/>
      <c r="F118" s="25">
        <f t="shared" ref="F118:F125" si="45">+E118+D118</f>
        <v>0</v>
      </c>
      <c r="G118" s="24"/>
      <c r="H118" s="24"/>
      <c r="I118" s="25">
        <f t="shared" ref="I118:I125" si="46">+H118+G118</f>
        <v>0</v>
      </c>
    </row>
    <row r="119" spans="1:9" hidden="1" x14ac:dyDescent="0.25">
      <c r="B119" s="71" t="s">
        <v>303</v>
      </c>
      <c r="C119" s="53" t="s">
        <v>304</v>
      </c>
      <c r="D119" s="24"/>
      <c r="E119" s="24"/>
      <c r="F119" s="25">
        <f t="shared" si="45"/>
        <v>0</v>
      </c>
      <c r="G119" s="24"/>
      <c r="H119" s="24"/>
      <c r="I119" s="25">
        <f t="shared" si="46"/>
        <v>0</v>
      </c>
    </row>
    <row r="120" spans="1:9" x14ac:dyDescent="0.25">
      <c r="A120" s="30" t="s">
        <v>638</v>
      </c>
      <c r="B120" s="71" t="s">
        <v>305</v>
      </c>
      <c r="C120" s="53" t="s">
        <v>306</v>
      </c>
      <c r="D120" s="24">
        <v>33159750</v>
      </c>
      <c r="E120" s="24"/>
      <c r="F120" s="25">
        <f t="shared" si="45"/>
        <v>33159750</v>
      </c>
      <c r="G120" s="24">
        <v>35499307</v>
      </c>
      <c r="H120" s="24"/>
      <c r="I120" s="25">
        <f t="shared" si="46"/>
        <v>35499307</v>
      </c>
    </row>
    <row r="121" spans="1:9" s="222" customFormat="1" x14ac:dyDescent="0.25">
      <c r="B121" s="223" t="s">
        <v>625</v>
      </c>
      <c r="C121" s="136"/>
      <c r="D121" s="97">
        <f>7352444+1928969</f>
        <v>9281413</v>
      </c>
      <c r="E121" s="97"/>
      <c r="F121" s="125">
        <f t="shared" si="45"/>
        <v>9281413</v>
      </c>
      <c r="G121" s="97">
        <f>+G120-G122</f>
        <v>11620970</v>
      </c>
      <c r="H121" s="97"/>
      <c r="I121" s="125">
        <f t="shared" si="46"/>
        <v>11620970</v>
      </c>
    </row>
    <row r="122" spans="1:9" s="222" customFormat="1" x14ac:dyDescent="0.25">
      <c r="B122" s="224" t="s">
        <v>616</v>
      </c>
      <c r="C122" s="136"/>
      <c r="D122" s="97">
        <f>+D120-D121</f>
        <v>23878337</v>
      </c>
      <c r="E122" s="97">
        <f>+E120-E121</f>
        <v>0</v>
      </c>
      <c r="F122" s="125">
        <f t="shared" si="45"/>
        <v>23878337</v>
      </c>
      <c r="G122" s="97">
        <v>23878337</v>
      </c>
      <c r="H122" s="97">
        <f>+H120-H121</f>
        <v>0</v>
      </c>
      <c r="I122" s="125">
        <f t="shared" si="46"/>
        <v>23878337</v>
      </c>
    </row>
    <row r="123" spans="1:9" hidden="1" x14ac:dyDescent="0.25">
      <c r="B123" s="71" t="s">
        <v>307</v>
      </c>
      <c r="C123" s="53" t="s">
        <v>308</v>
      </c>
      <c r="D123" s="24"/>
      <c r="E123" s="24"/>
      <c r="F123" s="25">
        <f t="shared" si="45"/>
        <v>0</v>
      </c>
      <c r="G123" s="24"/>
      <c r="H123" s="24"/>
      <c r="I123" s="25">
        <f t="shared" si="46"/>
        <v>0</v>
      </c>
    </row>
    <row r="124" spans="1:9" hidden="1" x14ac:dyDescent="0.25">
      <c r="B124" s="66" t="s">
        <v>309</v>
      </c>
      <c r="C124" s="53" t="s">
        <v>310</v>
      </c>
      <c r="D124" s="24"/>
      <c r="E124" s="24"/>
      <c r="F124" s="25">
        <f t="shared" si="45"/>
        <v>0</v>
      </c>
      <c r="G124" s="24"/>
      <c r="H124" s="24"/>
      <c r="I124" s="25">
        <f t="shared" si="46"/>
        <v>0</v>
      </c>
    </row>
    <row r="125" spans="1:9" hidden="1" x14ac:dyDescent="0.25">
      <c r="B125" s="66" t="s">
        <v>311</v>
      </c>
      <c r="C125" s="53" t="s">
        <v>312</v>
      </c>
      <c r="D125" s="24"/>
      <c r="E125" s="24"/>
      <c r="F125" s="25">
        <f t="shared" si="45"/>
        <v>0</v>
      </c>
      <c r="G125" s="24"/>
      <c r="H125" s="24"/>
      <c r="I125" s="25">
        <f t="shared" si="46"/>
        <v>0</v>
      </c>
    </row>
    <row r="126" spans="1:9" x14ac:dyDescent="0.25">
      <c r="B126" s="57" t="s">
        <v>313</v>
      </c>
      <c r="C126" s="56" t="s">
        <v>314</v>
      </c>
      <c r="D126" s="25">
        <f>SUM(D118:D125)+D117+D112+D111-D121-D122</f>
        <v>33575227</v>
      </c>
      <c r="E126" s="25">
        <f>SUM(E118:E125)+E117+E112+E111-E121-E122</f>
        <v>0</v>
      </c>
      <c r="F126" s="25">
        <f>SUM(F118:F124)+F117+F112+F111-F121-F122</f>
        <v>33575227</v>
      </c>
      <c r="G126" s="25">
        <f>SUM(G118:G125)+G117+G112+G111-G121-G122</f>
        <v>35914784</v>
      </c>
      <c r="H126" s="25">
        <f>SUM(H118:H125)+H117+H112+H111-H121-H122</f>
        <v>0</v>
      </c>
      <c r="I126" s="25">
        <f>SUM(I118:I124)+I117+I112+I111-I121-I122</f>
        <v>35914784</v>
      </c>
    </row>
    <row r="127" spans="1:9" hidden="1" x14ac:dyDescent="0.25">
      <c r="B127" s="71" t="s">
        <v>315</v>
      </c>
      <c r="C127" s="53" t="s">
        <v>316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idden="1" x14ac:dyDescent="0.25">
      <c r="B128" s="66" t="s">
        <v>317</v>
      </c>
      <c r="C128" s="53" t="s">
        <v>318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idden="1" x14ac:dyDescent="0.25">
      <c r="B129" s="66" t="s">
        <v>319</v>
      </c>
      <c r="C129" s="53" t="s">
        <v>320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4" t="s">
        <v>321</v>
      </c>
      <c r="C130" s="75" t="s">
        <v>322</v>
      </c>
      <c r="D130" s="69">
        <f>+D128+D127+D126+D129</f>
        <v>33575227</v>
      </c>
      <c r="E130" s="69">
        <f>+E128+E127+E126+E129</f>
        <v>0</v>
      </c>
      <c r="F130" s="69">
        <f>+F129+F127+F126</f>
        <v>33575227</v>
      </c>
      <c r="G130" s="69">
        <f>+G128+G127+G126+G129</f>
        <v>35914784</v>
      </c>
      <c r="H130" s="69">
        <f>+H128+H127+H126+H129</f>
        <v>0</v>
      </c>
      <c r="I130" s="69">
        <f>+I129+I127+I126</f>
        <v>35914784</v>
      </c>
    </row>
    <row r="131" spans="2:9" x14ac:dyDescent="0.25">
      <c r="B131" s="28" t="s">
        <v>323</v>
      </c>
      <c r="C131" s="28" t="s">
        <v>324</v>
      </c>
      <c r="D131" s="29">
        <f t="shared" ref="D131:I131" si="47">+D108+D130</f>
        <v>44970351</v>
      </c>
      <c r="E131" s="29">
        <f t="shared" si="47"/>
        <v>0</v>
      </c>
      <c r="F131" s="29">
        <f t="shared" si="47"/>
        <v>44970351</v>
      </c>
      <c r="G131" s="29">
        <f t="shared" si="47"/>
        <v>47499270</v>
      </c>
      <c r="H131" s="29">
        <f t="shared" si="47"/>
        <v>0</v>
      </c>
      <c r="I131" s="29">
        <f t="shared" si="47"/>
        <v>47499270</v>
      </c>
    </row>
    <row r="132" spans="2:9" x14ac:dyDescent="0.25">
      <c r="B132" s="13"/>
      <c r="C132" s="13"/>
      <c r="D132" s="14"/>
      <c r="E132" s="14"/>
      <c r="F132" s="77"/>
      <c r="G132" s="14"/>
      <c r="H132" s="14"/>
      <c r="I132" s="77"/>
    </row>
    <row r="133" spans="2:9" x14ac:dyDescent="0.25">
      <c r="B133" s="26" t="s">
        <v>325</v>
      </c>
      <c r="C133" s="26"/>
      <c r="D133" s="25">
        <f t="shared" ref="D133:I133" si="48">+D108-D58</f>
        <v>-33575227</v>
      </c>
      <c r="E133" s="25">
        <f t="shared" si="48"/>
        <v>0</v>
      </c>
      <c r="F133" s="25">
        <f t="shared" si="48"/>
        <v>-33575227</v>
      </c>
      <c r="G133" s="25">
        <f t="shared" si="48"/>
        <v>-35914784</v>
      </c>
      <c r="H133" s="25">
        <f t="shared" si="48"/>
        <v>0</v>
      </c>
      <c r="I133" s="25">
        <f t="shared" si="48"/>
        <v>-35914784</v>
      </c>
    </row>
    <row r="134" spans="2:9" x14ac:dyDescent="0.25">
      <c r="B134" s="26" t="s">
        <v>326</v>
      </c>
      <c r="C134" s="26"/>
      <c r="D134" s="25">
        <f t="shared" ref="D134:I134" si="49">+D130-D63</f>
        <v>33575227</v>
      </c>
      <c r="E134" s="25">
        <f t="shared" si="49"/>
        <v>0</v>
      </c>
      <c r="F134" s="25">
        <f t="shared" si="49"/>
        <v>33575227</v>
      </c>
      <c r="G134" s="25">
        <f t="shared" si="49"/>
        <v>35914784</v>
      </c>
      <c r="H134" s="25">
        <f t="shared" si="49"/>
        <v>0</v>
      </c>
      <c r="I134" s="25">
        <f t="shared" si="49"/>
        <v>35914784</v>
      </c>
    </row>
    <row r="135" spans="2:9" x14ac:dyDescent="0.25">
      <c r="B135" s="13"/>
      <c r="C135" s="13"/>
      <c r="D135" s="14"/>
      <c r="E135" s="14"/>
      <c r="F135" s="77"/>
      <c r="G135" s="14"/>
      <c r="H135" s="14"/>
      <c r="I135" s="77"/>
    </row>
    <row r="136" spans="2:9" x14ac:dyDescent="0.25">
      <c r="B136" s="82" t="s">
        <v>329</v>
      </c>
      <c r="C136" s="13"/>
      <c r="D136" s="14">
        <f t="shared" ref="D136:I136" si="50">+D131-D64</f>
        <v>0</v>
      </c>
      <c r="E136" s="14">
        <f t="shared" si="50"/>
        <v>0</v>
      </c>
      <c r="F136" s="14">
        <f t="shared" si="50"/>
        <v>0</v>
      </c>
      <c r="G136" s="14">
        <f t="shared" si="50"/>
        <v>0</v>
      </c>
      <c r="H136" s="14">
        <f t="shared" si="50"/>
        <v>0</v>
      </c>
      <c r="I136" s="14">
        <f t="shared" si="50"/>
        <v>0</v>
      </c>
    </row>
    <row r="137" spans="2:9" x14ac:dyDescent="0.25">
      <c r="B137" s="13"/>
      <c r="C137" s="13"/>
      <c r="D137" s="14"/>
      <c r="E137" s="14"/>
      <c r="F137" s="77"/>
      <c r="G137" s="14"/>
      <c r="H137" s="14"/>
      <c r="I137" s="77"/>
    </row>
    <row r="138" spans="2:9" x14ac:dyDescent="0.25">
      <c r="B138" s="13"/>
      <c r="C138" s="13"/>
      <c r="D138" s="14"/>
      <c r="E138" s="14"/>
      <c r="F138" s="77"/>
      <c r="G138" s="14"/>
      <c r="H138" s="14"/>
      <c r="I138" s="77"/>
    </row>
    <row r="139" spans="2:9" x14ac:dyDescent="0.25">
      <c r="B139" s="13"/>
      <c r="C139" s="13"/>
      <c r="D139" s="14"/>
      <c r="E139" s="14"/>
      <c r="F139" s="77"/>
      <c r="G139" s="14"/>
      <c r="H139" s="14"/>
      <c r="I139" s="77"/>
    </row>
    <row r="140" spans="2:9" x14ac:dyDescent="0.25">
      <c r="B140" s="13"/>
      <c r="C140" s="13"/>
      <c r="D140" s="14"/>
      <c r="E140" s="14"/>
      <c r="F140" s="77"/>
      <c r="G140" s="14"/>
      <c r="H140" s="14"/>
      <c r="I140" s="77"/>
    </row>
    <row r="141" spans="2:9" x14ac:dyDescent="0.25">
      <c r="B141" s="13"/>
      <c r="C141" s="13"/>
      <c r="D141" s="14"/>
      <c r="E141" s="14"/>
      <c r="F141" s="77"/>
      <c r="G141" s="14"/>
      <c r="H141" s="14"/>
      <c r="I141" s="77"/>
    </row>
    <row r="142" spans="2:9" x14ac:dyDescent="0.25">
      <c r="B142" s="13"/>
      <c r="C142" s="13"/>
      <c r="D142" s="14"/>
      <c r="E142" s="14"/>
      <c r="F142" s="77"/>
      <c r="G142" s="14"/>
      <c r="H142" s="14"/>
      <c r="I142" s="77"/>
    </row>
    <row r="143" spans="2:9" x14ac:dyDescent="0.25">
      <c r="B143" s="13"/>
      <c r="C143" s="13"/>
      <c r="D143" s="14"/>
      <c r="E143" s="14"/>
      <c r="F143" s="77"/>
      <c r="G143" s="14"/>
      <c r="H143" s="14"/>
      <c r="I143" s="77"/>
    </row>
    <row r="144" spans="2:9" x14ac:dyDescent="0.25">
      <c r="B144" s="13"/>
      <c r="C144" s="13"/>
      <c r="D144" s="14"/>
      <c r="E144" s="14"/>
      <c r="F144" s="77"/>
      <c r="G144" s="14"/>
      <c r="H144" s="14"/>
      <c r="I144" s="77"/>
    </row>
    <row r="145" spans="2:9" x14ac:dyDescent="0.25">
      <c r="B145" s="13"/>
      <c r="C145" s="13"/>
      <c r="D145" s="14"/>
      <c r="E145" s="14"/>
      <c r="F145" s="77"/>
      <c r="G145" s="14"/>
      <c r="H145" s="14"/>
      <c r="I145" s="77"/>
    </row>
    <row r="146" spans="2:9" x14ac:dyDescent="0.25">
      <c r="B146" s="13"/>
      <c r="C146" s="13"/>
      <c r="D146" s="14"/>
      <c r="E146" s="14"/>
      <c r="F146" s="77"/>
      <c r="G146" s="14"/>
      <c r="H146" s="14"/>
      <c r="I146" s="77"/>
    </row>
    <row r="147" spans="2:9" x14ac:dyDescent="0.25">
      <c r="B147" s="13"/>
      <c r="C147" s="13"/>
      <c r="D147" s="14"/>
      <c r="E147" s="14"/>
      <c r="F147" s="77"/>
      <c r="G147" s="14"/>
      <c r="H147" s="14"/>
      <c r="I147" s="77"/>
    </row>
    <row r="148" spans="2:9" x14ac:dyDescent="0.25">
      <c r="B148" s="13"/>
      <c r="C148" s="13"/>
      <c r="D148" s="14"/>
      <c r="E148" s="14"/>
      <c r="F148" s="77"/>
      <c r="G148" s="14"/>
      <c r="H148" s="14"/>
      <c r="I148" s="77"/>
    </row>
    <row r="149" spans="2:9" x14ac:dyDescent="0.25">
      <c r="B149" s="13"/>
      <c r="C149" s="13"/>
      <c r="D149" s="14"/>
      <c r="E149" s="14"/>
      <c r="F149" s="77"/>
      <c r="G149" s="14"/>
      <c r="H149" s="14"/>
      <c r="I149" s="77"/>
    </row>
    <row r="150" spans="2:9" x14ac:dyDescent="0.25">
      <c r="B150" s="13"/>
      <c r="C150" s="13"/>
      <c r="D150" s="14"/>
      <c r="E150" s="14"/>
      <c r="F150" s="77"/>
      <c r="G150" s="14"/>
      <c r="H150" s="14"/>
      <c r="I150" s="77"/>
    </row>
    <row r="151" spans="2:9" x14ac:dyDescent="0.25">
      <c r="B151" s="13"/>
      <c r="C151" s="13"/>
      <c r="D151" s="14"/>
      <c r="E151" s="14"/>
      <c r="F151" s="77"/>
      <c r="G151" s="14"/>
      <c r="H151" s="14"/>
      <c r="I151" s="77"/>
    </row>
    <row r="152" spans="2:9" x14ac:dyDescent="0.25">
      <c r="B152" s="13"/>
      <c r="C152" s="13"/>
      <c r="D152" s="14"/>
      <c r="E152" s="14"/>
      <c r="F152" s="77"/>
      <c r="G152" s="14"/>
      <c r="H152" s="14"/>
      <c r="I152" s="77"/>
    </row>
    <row r="153" spans="2:9" x14ac:dyDescent="0.25">
      <c r="B153" s="13"/>
      <c r="C153" s="13"/>
      <c r="D153" s="14"/>
      <c r="E153" s="14"/>
      <c r="F153" s="77"/>
      <c r="G153" s="14"/>
      <c r="H153" s="14"/>
      <c r="I153" s="77"/>
    </row>
    <row r="154" spans="2:9" x14ac:dyDescent="0.25">
      <c r="B154" s="13"/>
      <c r="C154" s="13"/>
      <c r="D154" s="14"/>
      <c r="E154" s="14"/>
      <c r="F154" s="77"/>
      <c r="G154" s="14"/>
      <c r="H154" s="14"/>
      <c r="I154" s="77"/>
    </row>
    <row r="155" spans="2:9" x14ac:dyDescent="0.25">
      <c r="B155" s="13"/>
      <c r="C155" s="13"/>
      <c r="D155" s="14"/>
      <c r="E155" s="14"/>
      <c r="F155" s="77"/>
      <c r="G155" s="14"/>
      <c r="H155" s="14"/>
      <c r="I155" s="77"/>
    </row>
    <row r="156" spans="2:9" x14ac:dyDescent="0.25">
      <c r="B156" s="13"/>
      <c r="C156" s="13"/>
      <c r="D156" s="14"/>
      <c r="E156" s="14"/>
      <c r="F156" s="77"/>
      <c r="G156" s="14"/>
      <c r="H156" s="14"/>
      <c r="I156" s="77"/>
    </row>
    <row r="157" spans="2:9" x14ac:dyDescent="0.25">
      <c r="B157" s="13"/>
      <c r="C157" s="13"/>
      <c r="D157" s="14"/>
      <c r="E157" s="14"/>
      <c r="F157" s="77"/>
      <c r="G157" s="14"/>
      <c r="H157" s="14"/>
      <c r="I157" s="77"/>
    </row>
    <row r="158" spans="2:9" x14ac:dyDescent="0.25">
      <c r="B158" s="13"/>
      <c r="C158" s="13"/>
      <c r="D158" s="14"/>
      <c r="E158" s="14"/>
      <c r="F158" s="77"/>
      <c r="G158" s="14"/>
      <c r="H158" s="14"/>
      <c r="I158" s="77"/>
    </row>
    <row r="159" spans="2:9" x14ac:dyDescent="0.25">
      <c r="B159" s="13"/>
      <c r="C159" s="13"/>
      <c r="D159" s="14"/>
      <c r="E159" s="14"/>
      <c r="F159" s="77"/>
      <c r="G159" s="14"/>
      <c r="H159" s="14"/>
      <c r="I159" s="77"/>
    </row>
    <row r="160" spans="2:9" x14ac:dyDescent="0.25">
      <c r="B160" s="13"/>
      <c r="C160" s="13"/>
      <c r="D160" s="14"/>
      <c r="E160" s="14"/>
      <c r="F160" s="77"/>
      <c r="G160" s="14"/>
      <c r="H160" s="14"/>
      <c r="I160" s="77"/>
    </row>
    <row r="161" spans="2:9" x14ac:dyDescent="0.25">
      <c r="B161" s="13"/>
      <c r="C161" s="13"/>
      <c r="D161" s="14"/>
      <c r="E161" s="14"/>
      <c r="F161" s="77"/>
      <c r="G161" s="14"/>
      <c r="H161" s="14"/>
      <c r="I161" s="77"/>
    </row>
    <row r="162" spans="2:9" x14ac:dyDescent="0.25">
      <c r="B162" s="13"/>
      <c r="C162" s="13"/>
      <c r="D162" s="14"/>
      <c r="E162" s="14"/>
      <c r="F162" s="77"/>
      <c r="G162" s="14"/>
      <c r="H162" s="14"/>
      <c r="I162" s="77"/>
    </row>
    <row r="163" spans="2:9" x14ac:dyDescent="0.25">
      <c r="B163" s="13"/>
      <c r="C163" s="13"/>
      <c r="D163" s="14"/>
      <c r="E163" s="14"/>
      <c r="F163" s="77"/>
      <c r="G163" s="14"/>
      <c r="H163" s="14"/>
      <c r="I163" s="77"/>
    </row>
    <row r="164" spans="2:9" x14ac:dyDescent="0.25">
      <c r="B164" s="13"/>
      <c r="C164" s="13"/>
      <c r="D164" s="14"/>
      <c r="E164" s="14"/>
      <c r="F164" s="77"/>
      <c r="G164" s="14"/>
      <c r="H164" s="14"/>
      <c r="I164" s="77"/>
    </row>
    <row r="165" spans="2:9" x14ac:dyDescent="0.25">
      <c r="B165" s="13"/>
      <c r="C165" s="13"/>
      <c r="D165" s="14"/>
      <c r="E165" s="14"/>
      <c r="F165" s="77"/>
      <c r="G165" s="14"/>
      <c r="H165" s="14"/>
      <c r="I165" s="77"/>
    </row>
    <row r="166" spans="2:9" x14ac:dyDescent="0.25">
      <c r="B166" s="13"/>
      <c r="C166" s="13"/>
      <c r="D166" s="14"/>
      <c r="E166" s="14"/>
      <c r="F166" s="77"/>
      <c r="G166" s="14"/>
      <c r="H166" s="14"/>
      <c r="I166" s="77"/>
    </row>
    <row r="167" spans="2:9" x14ac:dyDescent="0.25">
      <c r="B167" s="13"/>
      <c r="C167" s="13"/>
      <c r="D167" s="14"/>
      <c r="E167" s="14"/>
      <c r="F167" s="77"/>
      <c r="G167" s="14"/>
      <c r="H167" s="14"/>
      <c r="I167" s="77"/>
    </row>
    <row r="168" spans="2:9" x14ac:dyDescent="0.25">
      <c r="B168" s="13"/>
      <c r="C168" s="13"/>
      <c r="D168" s="14"/>
      <c r="E168" s="14"/>
      <c r="F168" s="77"/>
      <c r="G168" s="14"/>
      <c r="H168" s="14"/>
      <c r="I168" s="77"/>
    </row>
    <row r="169" spans="2:9" x14ac:dyDescent="0.25">
      <c r="B169" s="13"/>
      <c r="C169" s="13"/>
      <c r="D169" s="14"/>
      <c r="E169" s="14"/>
      <c r="F169" s="77"/>
      <c r="G169" s="14"/>
      <c r="H169" s="14"/>
      <c r="I169" s="77"/>
    </row>
    <row r="170" spans="2:9" x14ac:dyDescent="0.25">
      <c r="B170" s="13"/>
      <c r="C170" s="13"/>
      <c r="D170" s="14"/>
      <c r="E170" s="14"/>
      <c r="F170" s="77"/>
      <c r="G170" s="14"/>
      <c r="H170" s="14"/>
      <c r="I170" s="77"/>
    </row>
    <row r="171" spans="2:9" x14ac:dyDescent="0.25">
      <c r="B171" s="13"/>
      <c r="C171" s="13"/>
      <c r="D171" s="14"/>
      <c r="E171" s="14"/>
      <c r="F171" s="77"/>
      <c r="G171" s="14"/>
      <c r="H171" s="14"/>
      <c r="I171" s="77"/>
    </row>
    <row r="172" spans="2:9" x14ac:dyDescent="0.25">
      <c r="B172" s="13"/>
      <c r="C172" s="13"/>
      <c r="D172" s="14"/>
      <c r="E172" s="14"/>
      <c r="F172" s="77"/>
      <c r="G172" s="14"/>
      <c r="H172" s="14"/>
      <c r="I172" s="77"/>
    </row>
    <row r="173" spans="2:9" x14ac:dyDescent="0.25">
      <c r="B173" s="13"/>
      <c r="C173" s="13"/>
      <c r="D173" s="14"/>
      <c r="E173" s="14"/>
      <c r="F173" s="77"/>
      <c r="G173" s="14"/>
      <c r="H173" s="14"/>
      <c r="I173" s="77"/>
    </row>
    <row r="174" spans="2:9" x14ac:dyDescent="0.25">
      <c r="B174" s="13"/>
      <c r="C174" s="13"/>
      <c r="D174" s="14"/>
      <c r="E174" s="14"/>
      <c r="F174" s="77"/>
      <c r="G174" s="14"/>
      <c r="H174" s="14"/>
      <c r="I174" s="77"/>
    </row>
    <row r="175" spans="2:9" x14ac:dyDescent="0.25">
      <c r="B175" s="13"/>
      <c r="C175" s="13"/>
      <c r="D175" s="14"/>
      <c r="E175" s="14"/>
      <c r="F175" s="77"/>
      <c r="G175" s="14"/>
      <c r="H175" s="14"/>
      <c r="I175" s="77"/>
    </row>
    <row r="176" spans="2:9" x14ac:dyDescent="0.25">
      <c r="B176" s="13"/>
      <c r="C176" s="13"/>
      <c r="D176" s="14"/>
      <c r="E176" s="14"/>
      <c r="F176" s="77"/>
      <c r="G176" s="14"/>
      <c r="H176" s="14"/>
      <c r="I176" s="77"/>
    </row>
    <row r="177" spans="2:9" x14ac:dyDescent="0.25">
      <c r="B177" s="13"/>
      <c r="C177" s="13"/>
      <c r="D177" s="14"/>
      <c r="E177" s="14"/>
      <c r="F177" s="77"/>
      <c r="G177" s="14"/>
      <c r="H177" s="14"/>
      <c r="I177" s="77"/>
    </row>
    <row r="178" spans="2:9" x14ac:dyDescent="0.25">
      <c r="B178" s="13"/>
      <c r="C178" s="13"/>
      <c r="D178" s="14"/>
      <c r="E178" s="14"/>
      <c r="F178" s="77"/>
      <c r="G178" s="14"/>
      <c r="H178" s="14"/>
      <c r="I178" s="77"/>
    </row>
    <row r="179" spans="2:9" x14ac:dyDescent="0.25">
      <c r="B179" s="13"/>
      <c r="C179" s="13"/>
      <c r="D179" s="14"/>
      <c r="E179" s="14"/>
      <c r="F179" s="77"/>
      <c r="G179" s="14"/>
      <c r="H179" s="14"/>
      <c r="I179" s="77"/>
    </row>
    <row r="180" spans="2:9" x14ac:dyDescent="0.25">
      <c r="B180" s="13"/>
      <c r="C180" s="13"/>
      <c r="D180" s="14"/>
      <c r="E180" s="14"/>
      <c r="F180" s="77"/>
      <c r="G180" s="14"/>
      <c r="H180" s="14"/>
      <c r="I180" s="77"/>
    </row>
    <row r="181" spans="2:9" x14ac:dyDescent="0.25">
      <c r="B181" s="13"/>
      <c r="C181" s="13"/>
      <c r="D181" s="14"/>
      <c r="E181" s="14"/>
      <c r="F181" s="77"/>
      <c r="G181" s="14"/>
      <c r="H181" s="14"/>
      <c r="I181" s="77"/>
    </row>
    <row r="182" spans="2:9" x14ac:dyDescent="0.25">
      <c r="B182" s="13"/>
      <c r="C182" s="13"/>
      <c r="D182" s="14"/>
      <c r="E182" s="14"/>
      <c r="F182" s="77"/>
      <c r="G182" s="14"/>
      <c r="H182" s="14"/>
      <c r="I182" s="77"/>
    </row>
    <row r="183" spans="2:9" x14ac:dyDescent="0.25">
      <c r="B183" s="13"/>
      <c r="C183" s="13"/>
      <c r="D183" s="14"/>
      <c r="E183" s="14"/>
      <c r="F183" s="77"/>
      <c r="G183" s="14"/>
      <c r="H183" s="14"/>
      <c r="I183" s="77"/>
    </row>
    <row r="184" spans="2:9" x14ac:dyDescent="0.25">
      <c r="B184" s="13"/>
      <c r="C184" s="13"/>
      <c r="D184" s="14"/>
      <c r="E184" s="14"/>
      <c r="F184" s="77"/>
      <c r="G184" s="14"/>
      <c r="H184" s="14"/>
      <c r="I184" s="77"/>
    </row>
    <row r="185" spans="2:9" x14ac:dyDescent="0.25">
      <c r="B185" s="13"/>
      <c r="C185" s="13"/>
      <c r="D185" s="14"/>
      <c r="E185" s="14"/>
      <c r="F185" s="77"/>
      <c r="G185" s="14"/>
      <c r="H185" s="14"/>
      <c r="I185" s="77"/>
    </row>
    <row r="186" spans="2:9" x14ac:dyDescent="0.25">
      <c r="B186" s="13"/>
      <c r="C186" s="13"/>
      <c r="D186" s="14"/>
      <c r="E186" s="14"/>
      <c r="F186" s="77"/>
      <c r="G186" s="14"/>
      <c r="H186" s="14"/>
      <c r="I186" s="77"/>
    </row>
    <row r="187" spans="2:9" x14ac:dyDescent="0.25">
      <c r="B187" s="13"/>
      <c r="C187" s="13"/>
      <c r="D187" s="14"/>
      <c r="E187" s="14"/>
      <c r="F187" s="77"/>
      <c r="G187" s="14"/>
      <c r="H187" s="14"/>
      <c r="I187" s="77"/>
    </row>
    <row r="188" spans="2:9" x14ac:dyDescent="0.25">
      <c r="B188" s="13"/>
      <c r="C188" s="13"/>
      <c r="D188" s="14"/>
      <c r="E188" s="14"/>
      <c r="F188" s="77"/>
      <c r="G188" s="14"/>
      <c r="H188" s="14"/>
      <c r="I188" s="77"/>
    </row>
    <row r="189" spans="2:9" x14ac:dyDescent="0.25">
      <c r="B189" s="13"/>
      <c r="C189" s="13"/>
      <c r="D189" s="14"/>
      <c r="E189" s="14"/>
      <c r="F189" s="77"/>
      <c r="G189" s="14"/>
      <c r="H189" s="14"/>
      <c r="I189" s="77"/>
    </row>
    <row r="190" spans="2:9" x14ac:dyDescent="0.25">
      <c r="B190" s="13"/>
      <c r="C190" s="13"/>
      <c r="D190" s="14"/>
      <c r="E190" s="14"/>
      <c r="F190" s="77"/>
      <c r="G190" s="14"/>
      <c r="H190" s="14"/>
      <c r="I190" s="77"/>
    </row>
    <row r="191" spans="2:9" x14ac:dyDescent="0.25">
      <c r="B191" s="13"/>
      <c r="C191" s="13"/>
      <c r="D191" s="14"/>
      <c r="E191" s="14"/>
      <c r="F191" s="77"/>
      <c r="G191" s="14"/>
      <c r="H191" s="14"/>
      <c r="I191" s="77"/>
    </row>
    <row r="192" spans="2:9" x14ac:dyDescent="0.25">
      <c r="B192" s="13"/>
      <c r="C192" s="13"/>
      <c r="D192" s="14"/>
      <c r="E192" s="14"/>
      <c r="F192" s="77"/>
      <c r="G192" s="14"/>
      <c r="H192" s="14"/>
      <c r="I192" s="77"/>
    </row>
    <row r="193" spans="2:9" x14ac:dyDescent="0.25">
      <c r="B193" s="13"/>
      <c r="C193" s="13"/>
      <c r="D193" s="14"/>
      <c r="E193" s="14"/>
      <c r="F193" s="77"/>
      <c r="G193" s="14"/>
      <c r="H193" s="14"/>
      <c r="I193" s="77"/>
    </row>
    <row r="194" spans="2:9" x14ac:dyDescent="0.25">
      <c r="B194" s="13"/>
      <c r="C194" s="13"/>
      <c r="D194" s="14"/>
      <c r="E194" s="14"/>
      <c r="F194" s="77"/>
      <c r="G194" s="14"/>
      <c r="H194" s="14"/>
      <c r="I194" s="77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56736111111111109" right="0.29652777777777778" top="0.59027777777777779" bottom="0.51180555555555551" header="0.51180555555555551" footer="0.31527777777777777"/>
  <pageSetup paperSize="9" scale="59" firstPageNumber="0" orientation="portrait" horizontalDpi="300" verticalDpi="300" r:id="rId1"/>
  <headerFooter alignWithMargins="0">
    <oddFooter>&amp;R&amp;P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P259"/>
  <sheetViews>
    <sheetView tabSelected="1" view="pageBreakPreview" zoomScaleSheetLayoutView="100" workbookViewId="0">
      <pane xSplit="3" ySplit="6" topLeftCell="D23" activePane="bottomRight" state="frozen"/>
      <selection activeCell="G2" sqref="G2"/>
      <selection pane="topRight" activeCell="G2" sqref="G2"/>
      <selection pane="bottomLeft" activeCell="G2" sqref="G2"/>
      <selection pane="bottomRight" activeCell="I2" sqref="I2"/>
    </sheetView>
  </sheetViews>
  <sheetFormatPr defaultColWidth="11.5703125" defaultRowHeight="15" x14ac:dyDescent="0.25"/>
  <cols>
    <col min="1" max="1" width="9.140625" style="159" customWidth="1"/>
    <col min="2" max="2" width="58.7109375" style="159" customWidth="1"/>
    <col min="3" max="3" width="8.42578125" style="159" customWidth="1"/>
    <col min="4" max="4" width="13.28515625" style="384" customWidth="1"/>
    <col min="5" max="5" width="14" style="384" customWidth="1"/>
    <col min="6" max="9" width="14.140625" style="159" customWidth="1"/>
    <col min="10" max="37" width="12.28515625" style="159" customWidth="1"/>
    <col min="38" max="38" width="14.42578125" style="159" bestFit="1" customWidth="1"/>
    <col min="39" max="39" width="9.85546875" style="159" bestFit="1" customWidth="1"/>
    <col min="40" max="198" width="9.140625" style="159" customWidth="1"/>
  </cols>
  <sheetData>
    <row r="1" spans="2:38" s="160" customFormat="1" ht="15.75" x14ac:dyDescent="0.25">
      <c r="D1" s="396"/>
      <c r="E1" s="396"/>
      <c r="I1" s="15" t="s">
        <v>918</v>
      </c>
      <c r="J1" s="27"/>
      <c r="K1" s="27"/>
      <c r="M1" s="15"/>
      <c r="N1" s="27"/>
      <c r="O1" s="15" t="str">
        <f>+I1</f>
        <v>15. melléklet</v>
      </c>
      <c r="P1" s="27"/>
      <c r="Q1" s="27"/>
      <c r="R1" s="27"/>
      <c r="S1" s="27"/>
      <c r="U1" s="15" t="str">
        <f>+I1</f>
        <v>15. melléklet</v>
      </c>
      <c r="V1" s="27"/>
      <c r="W1" s="27"/>
      <c r="X1" s="27"/>
      <c r="Y1" s="27"/>
      <c r="Z1" s="27"/>
      <c r="AA1" s="15" t="str">
        <f>+U1</f>
        <v>15. melléklet</v>
      </c>
      <c r="AC1" s="27"/>
      <c r="AD1" s="27"/>
      <c r="AE1" s="27"/>
      <c r="AF1" s="27"/>
      <c r="AG1" s="15" t="str">
        <f>+U1</f>
        <v>15. melléklet</v>
      </c>
      <c r="AH1" s="27"/>
      <c r="AI1" s="27"/>
      <c r="AJ1" s="27"/>
      <c r="AK1" s="161" t="str">
        <f>+AG1</f>
        <v>15. melléklet</v>
      </c>
    </row>
    <row r="2" spans="2:38" ht="18.75" x14ac:dyDescent="0.3">
      <c r="B2" s="489" t="s">
        <v>857</v>
      </c>
      <c r="C2" s="489"/>
      <c r="I2" s="16" t="s">
        <v>919</v>
      </c>
      <c r="M2" s="16"/>
      <c r="O2" s="15" t="str">
        <f>+I2</f>
        <v>a 4/2020.(III.19. ) önkormányzati rendelethez</v>
      </c>
      <c r="U2" s="15" t="str">
        <f>+I2</f>
        <v>a 4/2020.(III.19. ) önkormányzati rendelethez</v>
      </c>
      <c r="AA2" s="15" t="str">
        <f>+U2</f>
        <v>a 4/2020.(III.19. ) önkormányzati rendelethez</v>
      </c>
      <c r="AC2" s="15"/>
      <c r="AG2" s="16" t="str">
        <f>+U2</f>
        <v>a 4/2020.(III.19. ) önkormányzati rendelethez</v>
      </c>
      <c r="AK2" s="161" t="str">
        <f>+AG2</f>
        <v>a 4/2020.(III.19. ) önkormányzati rendelethez</v>
      </c>
    </row>
    <row r="3" spans="2:38" ht="56.25" customHeight="1" x14ac:dyDescent="0.25">
      <c r="B3" s="508" t="s">
        <v>871</v>
      </c>
      <c r="C3" s="509"/>
      <c r="D3" s="435"/>
      <c r="E3" s="435"/>
      <c r="F3" s="435"/>
      <c r="G3" s="435"/>
      <c r="H3" s="435"/>
      <c r="I3" s="435"/>
      <c r="J3" s="393"/>
      <c r="K3" s="393"/>
      <c r="L3" s="144"/>
      <c r="M3" s="144"/>
      <c r="N3" s="144"/>
      <c r="O3" s="144"/>
      <c r="P3" s="144"/>
      <c r="Q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</row>
    <row r="4" spans="2:38" s="165" customFormat="1" ht="12.75" x14ac:dyDescent="0.2">
      <c r="D4" s="397"/>
      <c r="E4" s="397"/>
      <c r="F4" s="144"/>
      <c r="G4" s="144"/>
      <c r="H4" s="144"/>
      <c r="I4" s="144"/>
      <c r="J4" s="502" t="s">
        <v>564</v>
      </c>
      <c r="K4" s="503"/>
      <c r="L4" s="502" t="s">
        <v>564</v>
      </c>
      <c r="M4" s="503"/>
      <c r="N4" s="502" t="s">
        <v>564</v>
      </c>
      <c r="O4" s="503"/>
      <c r="P4" s="502" t="s">
        <v>564</v>
      </c>
      <c r="Q4" s="503"/>
      <c r="R4" s="502" t="s">
        <v>564</v>
      </c>
      <c r="S4" s="503"/>
      <c r="T4" s="502" t="s">
        <v>564</v>
      </c>
      <c r="U4" s="503"/>
      <c r="V4" s="502" t="s">
        <v>564</v>
      </c>
      <c r="W4" s="503"/>
      <c r="X4" s="502" t="s">
        <v>562</v>
      </c>
      <c r="Y4" s="503"/>
      <c r="Z4" s="502" t="s">
        <v>562</v>
      </c>
      <c r="AA4" s="503"/>
      <c r="AB4" s="502" t="s">
        <v>562</v>
      </c>
      <c r="AC4" s="503"/>
      <c r="AD4" s="502" t="s">
        <v>562</v>
      </c>
      <c r="AE4" s="503"/>
      <c r="AF4" s="502" t="s">
        <v>562</v>
      </c>
      <c r="AG4" s="503"/>
      <c r="AH4" s="502" t="s">
        <v>562</v>
      </c>
      <c r="AI4" s="503"/>
      <c r="AJ4" s="502" t="s">
        <v>562</v>
      </c>
      <c r="AK4" s="503"/>
    </row>
    <row r="5" spans="2:38" s="168" customFormat="1" ht="26.25" customHeight="1" x14ac:dyDescent="0.25">
      <c r="D5" s="510" t="s">
        <v>10</v>
      </c>
      <c r="E5" s="510"/>
      <c r="F5" s="510"/>
      <c r="G5" s="510" t="s">
        <v>11</v>
      </c>
      <c r="H5" s="510"/>
      <c r="I5" s="510"/>
      <c r="J5" s="478" t="s">
        <v>565</v>
      </c>
      <c r="K5" s="409" t="s">
        <v>566</v>
      </c>
      <c r="L5" s="409" t="s">
        <v>565</v>
      </c>
      <c r="M5" s="409" t="s">
        <v>566</v>
      </c>
      <c r="N5" s="409" t="s">
        <v>565</v>
      </c>
      <c r="O5" s="409" t="s">
        <v>566</v>
      </c>
      <c r="P5" s="409" t="s">
        <v>565</v>
      </c>
      <c r="Q5" s="409" t="s">
        <v>566</v>
      </c>
      <c r="R5" s="409" t="s">
        <v>565</v>
      </c>
      <c r="S5" s="409" t="s">
        <v>566</v>
      </c>
      <c r="T5" s="409" t="s">
        <v>565</v>
      </c>
      <c r="U5" s="409" t="s">
        <v>566</v>
      </c>
      <c r="V5" s="409" t="s">
        <v>565</v>
      </c>
      <c r="W5" s="409" t="s">
        <v>566</v>
      </c>
      <c r="X5" s="409" t="s">
        <v>565</v>
      </c>
      <c r="Y5" s="409" t="s">
        <v>566</v>
      </c>
      <c r="Z5" s="409" t="s">
        <v>565</v>
      </c>
      <c r="AA5" s="409" t="s">
        <v>566</v>
      </c>
      <c r="AB5" s="409" t="s">
        <v>565</v>
      </c>
      <c r="AC5" s="409" t="s">
        <v>566</v>
      </c>
      <c r="AD5" s="409" t="s">
        <v>565</v>
      </c>
      <c r="AE5" s="409" t="s">
        <v>566</v>
      </c>
      <c r="AF5" s="409" t="s">
        <v>565</v>
      </c>
      <c r="AG5" s="409" t="s">
        <v>566</v>
      </c>
      <c r="AH5" s="409" t="s">
        <v>565</v>
      </c>
      <c r="AI5" s="448" t="s">
        <v>566</v>
      </c>
      <c r="AJ5" s="395" t="s">
        <v>565</v>
      </c>
      <c r="AK5" s="395" t="s">
        <v>566</v>
      </c>
    </row>
    <row r="6" spans="2:38" s="168" customFormat="1" ht="126" customHeight="1" x14ac:dyDescent="0.25">
      <c r="B6" s="488" t="s">
        <v>12</v>
      </c>
      <c r="C6" s="395" t="s">
        <v>38</v>
      </c>
      <c r="D6" s="398" t="s">
        <v>562</v>
      </c>
      <c r="E6" s="398" t="s">
        <v>564</v>
      </c>
      <c r="F6" s="390" t="s">
        <v>543</v>
      </c>
      <c r="G6" s="398" t="s">
        <v>562</v>
      </c>
      <c r="H6" s="398" t="s">
        <v>564</v>
      </c>
      <c r="I6" s="390" t="s">
        <v>543</v>
      </c>
      <c r="J6" s="504" t="s">
        <v>874</v>
      </c>
      <c r="K6" s="505"/>
      <c r="L6" s="504" t="s">
        <v>868</v>
      </c>
      <c r="M6" s="505"/>
      <c r="N6" s="504" t="s">
        <v>904</v>
      </c>
      <c r="O6" s="505"/>
      <c r="P6" s="504" t="s">
        <v>875</v>
      </c>
      <c r="Q6" s="505"/>
      <c r="R6" s="504" t="s">
        <v>885</v>
      </c>
      <c r="S6" s="505"/>
      <c r="T6" s="504" t="s">
        <v>876</v>
      </c>
      <c r="U6" s="505"/>
      <c r="V6" s="504" t="s">
        <v>884</v>
      </c>
      <c r="W6" s="505"/>
      <c r="X6" s="504" t="s">
        <v>883</v>
      </c>
      <c r="Y6" s="505"/>
      <c r="Z6" s="504" t="s">
        <v>877</v>
      </c>
      <c r="AA6" s="505"/>
      <c r="AB6" s="504" t="s">
        <v>878</v>
      </c>
      <c r="AC6" s="505"/>
      <c r="AD6" s="504" t="s">
        <v>879</v>
      </c>
      <c r="AE6" s="505"/>
      <c r="AF6" s="504" t="s">
        <v>882</v>
      </c>
      <c r="AG6" s="505"/>
      <c r="AH6" s="504" t="s">
        <v>881</v>
      </c>
      <c r="AI6" s="506"/>
      <c r="AJ6" s="507" t="s">
        <v>880</v>
      </c>
      <c r="AK6" s="507"/>
    </row>
    <row r="7" spans="2:38" x14ac:dyDescent="0.25">
      <c r="B7" s="487" t="s">
        <v>39</v>
      </c>
      <c r="C7" s="394" t="s">
        <v>40</v>
      </c>
      <c r="D7" s="399">
        <f>+Z7+AB7+AD7+AH7+AJ7+X7+AF7</f>
        <v>8733215</v>
      </c>
      <c r="E7" s="399">
        <f>+J7+L7+N7+P7+R7+T7+V7</f>
        <v>292275417</v>
      </c>
      <c r="F7" s="173">
        <f>+E7+D7</f>
        <v>301008632</v>
      </c>
      <c r="G7" s="399">
        <f>+AA7+AC7+AE7+AI7+AK7+Y7+AG7</f>
        <v>8733215</v>
      </c>
      <c r="H7" s="399">
        <f>+K7+M7+O7+Q7+S7+U7+W7</f>
        <v>108775417</v>
      </c>
      <c r="I7" s="173">
        <f>+H7+G7</f>
        <v>117508632</v>
      </c>
      <c r="J7" s="386">
        <f>609000-152471</f>
        <v>456529</v>
      </c>
      <c r="K7" s="386">
        <f>609000-152471</f>
        <v>456529</v>
      </c>
      <c r="L7" s="386">
        <f>6352000-3593252</f>
        <v>2758748</v>
      </c>
      <c r="M7" s="386">
        <f>6352000-3593252</f>
        <v>2758748</v>
      </c>
      <c r="N7" s="386">
        <v>8893000</v>
      </c>
      <c r="O7" s="386">
        <v>8893000</v>
      </c>
      <c r="P7" s="386">
        <f>35310000-8788753</f>
        <v>26521247</v>
      </c>
      <c r="Q7" s="386">
        <f>35310000-8788753</f>
        <v>26521247</v>
      </c>
      <c r="R7" s="386">
        <f>308000000-50661029-6046656*2</f>
        <v>245245659</v>
      </c>
      <c r="S7" s="386">
        <f>308000000-50661029-6046656*2-184000000</f>
        <v>61245659</v>
      </c>
      <c r="T7" s="386">
        <f>12011000-245000*18-1379040</f>
        <v>6221960</v>
      </c>
      <c r="U7" s="386">
        <f>12011000-245000*18-1379040</f>
        <v>6221960</v>
      </c>
      <c r="V7" s="386">
        <f>4149000-1970726</f>
        <v>2178274</v>
      </c>
      <c r="W7" s="386">
        <f>4149000-1970726+500000</f>
        <v>2678274</v>
      </c>
      <c r="X7" s="386">
        <f>10800000-3915902+31553</f>
        <v>6915651</v>
      </c>
      <c r="Y7" s="386">
        <f>10800000-3915902+31553</f>
        <v>6915651</v>
      </c>
      <c r="Z7" s="386">
        <v>0</v>
      </c>
      <c r="AA7" s="386"/>
      <c r="AB7" s="386">
        <v>0</v>
      </c>
      <c r="AC7" s="386"/>
      <c r="AD7" s="386"/>
      <c r="AE7" s="386"/>
      <c r="AF7" s="386"/>
      <c r="AG7" s="386"/>
      <c r="AH7" s="386"/>
      <c r="AI7" s="449"/>
      <c r="AJ7" s="386">
        <v>1817564</v>
      </c>
      <c r="AK7" s="386">
        <v>1817564</v>
      </c>
      <c r="AL7" s="384"/>
    </row>
    <row r="8" spans="2:38" x14ac:dyDescent="0.25">
      <c r="B8" s="176" t="s">
        <v>41</v>
      </c>
      <c r="C8" s="171" t="s">
        <v>42</v>
      </c>
      <c r="D8" s="399">
        <f>+Z8+AB8+AD8+AH8+AJ8+X8+AF8</f>
        <v>0</v>
      </c>
      <c r="E8" s="399">
        <f>+J8+L8+N8+P8+R8+T8+V8</f>
        <v>15277747</v>
      </c>
      <c r="F8" s="173">
        <f>+E8+D8</f>
        <v>15277747</v>
      </c>
      <c r="G8" s="399">
        <f>+AA8+AC8+AE8+AI8+AK8+Y8+AG8</f>
        <v>0</v>
      </c>
      <c r="H8" s="399">
        <f>+K8+M8+O8+Q8+S8+U8+W8</f>
        <v>15277747</v>
      </c>
      <c r="I8" s="173">
        <f>+H8+G8</f>
        <v>15277747</v>
      </c>
      <c r="J8" s="173">
        <v>0</v>
      </c>
      <c r="K8" s="173">
        <v>0</v>
      </c>
      <c r="L8" s="173">
        <f>6298000-1197751*3</f>
        <v>2704747</v>
      </c>
      <c r="M8" s="173">
        <f>6298000-1197751*3</f>
        <v>2704747</v>
      </c>
      <c r="N8" s="173">
        <v>6835000</v>
      </c>
      <c r="O8" s="173">
        <v>6835000</v>
      </c>
      <c r="P8" s="173"/>
      <c r="Q8" s="173"/>
      <c r="R8" s="173">
        <v>0</v>
      </c>
      <c r="S8" s="173">
        <v>0</v>
      </c>
      <c r="T8" s="173">
        <v>5738000</v>
      </c>
      <c r="U8" s="173">
        <v>5738000</v>
      </c>
      <c r="V8" s="173">
        <v>0</v>
      </c>
      <c r="W8" s="173">
        <v>0</v>
      </c>
      <c r="X8" s="173">
        <v>0</v>
      </c>
      <c r="Y8" s="173">
        <v>0</v>
      </c>
      <c r="Z8" s="173">
        <v>0</v>
      </c>
      <c r="AA8" s="173"/>
      <c r="AB8" s="173">
        <v>0</v>
      </c>
      <c r="AC8" s="173"/>
      <c r="AD8" s="173">
        <v>0</v>
      </c>
      <c r="AE8" s="173"/>
      <c r="AF8" s="173">
        <v>0</v>
      </c>
      <c r="AG8" s="173"/>
      <c r="AH8" s="173">
        <v>0</v>
      </c>
      <c r="AI8" s="450"/>
      <c r="AJ8" s="386">
        <v>0</v>
      </c>
      <c r="AK8" s="386">
        <v>0</v>
      </c>
      <c r="AL8" s="384"/>
    </row>
    <row r="9" spans="2:38" s="177" customFormat="1" ht="12.75" x14ac:dyDescent="0.2">
      <c r="B9" s="178" t="s">
        <v>43</v>
      </c>
      <c r="C9" s="179" t="s">
        <v>44</v>
      </c>
      <c r="D9" s="180">
        <f t="shared" ref="D9:I9" si="0">+D7+D8</f>
        <v>8733215</v>
      </c>
      <c r="E9" s="180">
        <f t="shared" si="0"/>
        <v>307553164</v>
      </c>
      <c r="F9" s="180">
        <f t="shared" si="0"/>
        <v>316286379</v>
      </c>
      <c r="G9" s="180">
        <f t="shared" si="0"/>
        <v>8733215</v>
      </c>
      <c r="H9" s="180">
        <f t="shared" si="0"/>
        <v>124053164</v>
      </c>
      <c r="I9" s="180">
        <f t="shared" si="0"/>
        <v>132786379</v>
      </c>
      <c r="J9" s="180">
        <f t="shared" ref="J9:AJ9" si="1">SUM(J7:J8)</f>
        <v>456529</v>
      </c>
      <c r="K9" s="180">
        <f>SUM(K7:K8)</f>
        <v>456529</v>
      </c>
      <c r="L9" s="180">
        <f t="shared" si="1"/>
        <v>5463495</v>
      </c>
      <c r="M9" s="180">
        <f>SUM(M7:M8)</f>
        <v>5463495</v>
      </c>
      <c r="N9" s="180">
        <f t="shared" si="1"/>
        <v>15728000</v>
      </c>
      <c r="O9" s="180">
        <f>SUM(O7:O8)</f>
        <v>15728000</v>
      </c>
      <c r="P9" s="180">
        <f t="shared" si="1"/>
        <v>26521247</v>
      </c>
      <c r="Q9" s="180">
        <f>SUM(Q7:Q8)</f>
        <v>26521247</v>
      </c>
      <c r="R9" s="180">
        <f t="shared" si="1"/>
        <v>245245659</v>
      </c>
      <c r="S9" s="180">
        <f>SUM(S7:S8)</f>
        <v>61245659</v>
      </c>
      <c r="T9" s="180">
        <f t="shared" si="1"/>
        <v>11959960</v>
      </c>
      <c r="U9" s="180">
        <f>SUM(U7:U8)</f>
        <v>11959960</v>
      </c>
      <c r="V9" s="180">
        <f t="shared" si="1"/>
        <v>2178274</v>
      </c>
      <c r="W9" s="180">
        <f>SUM(W7:W8)</f>
        <v>2678274</v>
      </c>
      <c r="X9" s="180">
        <f t="shared" si="1"/>
        <v>6915651</v>
      </c>
      <c r="Y9" s="180">
        <f>SUM(Y7:Y8)</f>
        <v>6915651</v>
      </c>
      <c r="Z9" s="180">
        <f t="shared" si="1"/>
        <v>0</v>
      </c>
      <c r="AA9" s="180"/>
      <c r="AB9" s="180">
        <f t="shared" si="1"/>
        <v>0</v>
      </c>
      <c r="AC9" s="180"/>
      <c r="AD9" s="180">
        <f t="shared" si="1"/>
        <v>0</v>
      </c>
      <c r="AE9" s="180"/>
      <c r="AF9" s="180">
        <f t="shared" si="1"/>
        <v>0</v>
      </c>
      <c r="AG9" s="180"/>
      <c r="AH9" s="180">
        <f t="shared" si="1"/>
        <v>0</v>
      </c>
      <c r="AI9" s="451"/>
      <c r="AJ9" s="454">
        <f t="shared" si="1"/>
        <v>1817564</v>
      </c>
      <c r="AK9" s="454">
        <f>SUM(AK7:AK8)</f>
        <v>1817564</v>
      </c>
      <c r="AL9" s="384"/>
    </row>
    <row r="10" spans="2:38" s="177" customFormat="1" ht="12.75" x14ac:dyDescent="0.2">
      <c r="B10" s="181" t="s">
        <v>591</v>
      </c>
      <c r="C10" s="179" t="s">
        <v>46</v>
      </c>
      <c r="D10" s="408">
        <f t="shared" ref="D10:D15" si="2">+Z10+AB10+AD10+AH10+AJ10+X10+AF10</f>
        <v>2379425</v>
      </c>
      <c r="E10" s="408">
        <f t="shared" ref="E10:E15" si="3">+J10+L10+N10+P10+R10+T10+V10</f>
        <v>72466621</v>
      </c>
      <c r="F10" s="182">
        <f t="shared" ref="F10:F15" si="4">+E10+D10</f>
        <v>74846046</v>
      </c>
      <c r="G10" s="408">
        <f t="shared" ref="G10:G15" si="5">+AA10+AC10+AE10+AI10+AK10+Y10+AG10</f>
        <v>2379425</v>
      </c>
      <c r="H10" s="408">
        <f t="shared" ref="H10:H15" si="6">+K10+M10+O10+Q10+S10+U10+W10</f>
        <v>23545370</v>
      </c>
      <c r="I10" s="182">
        <f t="shared" ref="I10:I15" si="7">+H10+G10</f>
        <v>25924795</v>
      </c>
      <c r="J10" s="182">
        <f>134000-29732</f>
        <v>104268</v>
      </c>
      <c r="K10" s="182">
        <f>134000-29732</f>
        <v>104268</v>
      </c>
      <c r="L10" s="182">
        <f>1398000+1700000-700684+233561*3</f>
        <v>3097999</v>
      </c>
      <c r="M10" s="182">
        <f>1398000+1700000-700684+233561*3</f>
        <v>3097999</v>
      </c>
      <c r="N10" s="182">
        <f>1957000+1845000</f>
        <v>3802000</v>
      </c>
      <c r="O10" s="182">
        <f>1957000+1845000</f>
        <v>3802000</v>
      </c>
      <c r="P10" s="182">
        <f>5990000-1655411</f>
        <v>4334589</v>
      </c>
      <c r="Q10" s="182">
        <f>5990000-1655411</f>
        <v>4334589</v>
      </c>
      <c r="R10" s="182">
        <f>67828000-9761863</f>
        <v>58066137</v>
      </c>
      <c r="S10" s="182">
        <f>67828000-9761863-49000000</f>
        <v>9066137</v>
      </c>
      <c r="T10" s="182">
        <f>2129000+1262000-47775*18</f>
        <v>2531050</v>
      </c>
      <c r="U10" s="182">
        <f>2129000+1262000-47775*18</f>
        <v>2531050</v>
      </c>
      <c r="V10" s="182">
        <f>913000-382422</f>
        <v>530578</v>
      </c>
      <c r="W10" s="182">
        <f>913000-382422+78749</f>
        <v>609327</v>
      </c>
      <c r="X10" s="182">
        <f>2376000-351000</f>
        <v>2025000</v>
      </c>
      <c r="Y10" s="182">
        <f>2376000-351000</f>
        <v>2025000</v>
      </c>
      <c r="Z10" s="182">
        <v>0</v>
      </c>
      <c r="AA10" s="182"/>
      <c r="AB10" s="182">
        <v>0</v>
      </c>
      <c r="AC10" s="182"/>
      <c r="AD10" s="182"/>
      <c r="AE10" s="182"/>
      <c r="AF10" s="182"/>
      <c r="AG10" s="182"/>
      <c r="AH10" s="182"/>
      <c r="AI10" s="452"/>
      <c r="AJ10" s="455">
        <v>354425</v>
      </c>
      <c r="AK10" s="455">
        <v>354425</v>
      </c>
      <c r="AL10" s="384"/>
    </row>
    <row r="11" spans="2:38" x14ac:dyDescent="0.25">
      <c r="B11" s="176" t="s">
        <v>47</v>
      </c>
      <c r="C11" s="171" t="s">
        <v>48</v>
      </c>
      <c r="D11" s="399">
        <f t="shared" si="2"/>
        <v>0</v>
      </c>
      <c r="E11" s="399">
        <f t="shared" si="3"/>
        <v>100000</v>
      </c>
      <c r="F11" s="172">
        <f t="shared" si="4"/>
        <v>100000</v>
      </c>
      <c r="G11" s="399">
        <f t="shared" si="5"/>
        <v>0</v>
      </c>
      <c r="H11" s="399">
        <f t="shared" si="6"/>
        <v>4000000</v>
      </c>
      <c r="I11" s="172">
        <f t="shared" si="7"/>
        <v>4000000</v>
      </c>
      <c r="J11" s="172"/>
      <c r="K11" s="172"/>
      <c r="L11" s="172"/>
      <c r="M11" s="172"/>
      <c r="N11" s="172"/>
      <c r="O11" s="172"/>
      <c r="P11" s="172"/>
      <c r="Q11" s="172">
        <v>2000000</v>
      </c>
      <c r="R11" s="172"/>
      <c r="S11" s="172">
        <v>1500000</v>
      </c>
      <c r="T11" s="172">
        <f>-76076+76076+100000</f>
        <v>100000</v>
      </c>
      <c r="U11" s="172">
        <f>500000</f>
        <v>500000</v>
      </c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453"/>
      <c r="AJ11" s="386"/>
      <c r="AK11" s="386"/>
      <c r="AL11" s="384"/>
    </row>
    <row r="12" spans="2:38" x14ac:dyDescent="0.25">
      <c r="B12" s="176" t="s">
        <v>49</v>
      </c>
      <c r="C12" s="171" t="s">
        <v>50</v>
      </c>
      <c r="D12" s="399">
        <f t="shared" si="2"/>
        <v>0</v>
      </c>
      <c r="E12" s="399">
        <f t="shared" si="3"/>
        <v>0</v>
      </c>
      <c r="F12" s="172">
        <f t="shared" si="4"/>
        <v>0</v>
      </c>
      <c r="G12" s="399">
        <f t="shared" si="5"/>
        <v>0</v>
      </c>
      <c r="H12" s="399">
        <f t="shared" si="6"/>
        <v>549000</v>
      </c>
      <c r="I12" s="172">
        <f t="shared" si="7"/>
        <v>549000</v>
      </c>
      <c r="J12" s="172"/>
      <c r="K12" s="172"/>
      <c r="L12" s="172"/>
      <c r="M12" s="172"/>
      <c r="N12" s="172"/>
      <c r="O12" s="172"/>
      <c r="P12" s="172"/>
      <c r="Q12" s="172"/>
      <c r="R12" s="172"/>
      <c r="S12" s="172">
        <f>504000+30000+15000</f>
        <v>549000</v>
      </c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453"/>
      <c r="AJ12" s="386"/>
      <c r="AK12" s="386"/>
      <c r="AL12" s="384"/>
    </row>
    <row r="13" spans="2:38" x14ac:dyDescent="0.25">
      <c r="B13" s="176" t="s">
        <v>51</v>
      </c>
      <c r="C13" s="171" t="s">
        <v>52</v>
      </c>
      <c r="D13" s="399">
        <f t="shared" si="2"/>
        <v>58682914</v>
      </c>
      <c r="E13" s="399">
        <f t="shared" si="3"/>
        <v>141290367</v>
      </c>
      <c r="F13" s="172">
        <f t="shared" si="4"/>
        <v>199973281</v>
      </c>
      <c r="G13" s="399">
        <f t="shared" si="5"/>
        <v>58682914</v>
      </c>
      <c r="H13" s="399">
        <f t="shared" si="6"/>
        <v>110117618</v>
      </c>
      <c r="I13" s="172">
        <f t="shared" si="7"/>
        <v>168800532</v>
      </c>
      <c r="J13" s="172">
        <v>479550</v>
      </c>
      <c r="K13" s="172">
        <v>479550</v>
      </c>
      <c r="L13" s="172">
        <f>9215000-5833588+6725702</f>
        <v>10107114</v>
      </c>
      <c r="M13" s="172">
        <f>9215000-5833588+6725702</f>
        <v>10107114</v>
      </c>
      <c r="N13" s="172">
        <v>9642000</v>
      </c>
      <c r="O13" s="172">
        <v>9642000</v>
      </c>
      <c r="P13" s="172">
        <f>74886000-10574766-66199-100000+3900000+823</f>
        <v>68045858</v>
      </c>
      <c r="Q13" s="172">
        <f>49375800+15095058-8000000</f>
        <v>56470858</v>
      </c>
      <c r="R13" s="172">
        <f>44656000-10167843+1870</f>
        <v>34490027</v>
      </c>
      <c r="S13" s="172">
        <f>20000000+12471027-17000000</f>
        <v>15471027</v>
      </c>
      <c r="T13" s="172">
        <f>29487000-10822417-487874-1127500-79076-100000+905799</f>
        <v>17775932</v>
      </c>
      <c r="U13" s="172">
        <f>29487000-10822417-487874-1127500-79076-100000+905799</f>
        <v>17775932</v>
      </c>
      <c r="V13" s="172">
        <f>2969000-2118000-101114</f>
        <v>749886</v>
      </c>
      <c r="W13" s="172">
        <v>171137</v>
      </c>
      <c r="X13" s="172">
        <f>16629000-11889000</f>
        <v>4740000</v>
      </c>
      <c r="Y13" s="172">
        <f>16629000-11889000</f>
        <v>4740000</v>
      </c>
      <c r="Z13" s="172">
        <f>3839000-6615350+2776350+2758952</f>
        <v>2758952</v>
      </c>
      <c r="AA13" s="172">
        <f>3839000-6615350+2776350+2758952</f>
        <v>2758952</v>
      </c>
      <c r="AB13" s="172">
        <f>3839000-1574800</f>
        <v>2264200</v>
      </c>
      <c r="AC13" s="172">
        <f>3839000-1574800</f>
        <v>2264200</v>
      </c>
      <c r="AD13" s="172">
        <f>31690000+300</f>
        <v>31690300</v>
      </c>
      <c r="AE13" s="172">
        <f>31690000+300</f>
        <v>31690300</v>
      </c>
      <c r="AF13" s="172">
        <f>14724000-3502000</f>
        <v>11222000</v>
      </c>
      <c r="AG13" s="172">
        <f>14724000-3502000</f>
        <v>11222000</v>
      </c>
      <c r="AH13" s="172">
        <f>4139000-1506007-300852</f>
        <v>2332141</v>
      </c>
      <c r="AI13" s="172">
        <f>4139000-1506007-300852</f>
        <v>2332141</v>
      </c>
      <c r="AJ13" s="386">
        <f>806069+2869252</f>
        <v>3675321</v>
      </c>
      <c r="AK13" s="386">
        <f>806069+2869252</f>
        <v>3675321</v>
      </c>
      <c r="AL13" s="384"/>
    </row>
    <row r="14" spans="2:38" x14ac:dyDescent="0.25">
      <c r="B14" s="176" t="s">
        <v>53</v>
      </c>
      <c r="C14" s="171" t="s">
        <v>54</v>
      </c>
      <c r="D14" s="399">
        <f t="shared" si="2"/>
        <v>0</v>
      </c>
      <c r="E14" s="399">
        <f t="shared" si="3"/>
        <v>41502959</v>
      </c>
      <c r="F14" s="172">
        <f t="shared" si="4"/>
        <v>41502959</v>
      </c>
      <c r="G14" s="399">
        <f t="shared" si="5"/>
        <v>0</v>
      </c>
      <c r="H14" s="399">
        <f t="shared" si="6"/>
        <v>5077959</v>
      </c>
      <c r="I14" s="172">
        <f t="shared" si="7"/>
        <v>5077959</v>
      </c>
      <c r="J14" s="172">
        <v>0</v>
      </c>
      <c r="K14" s="172">
        <v>0</v>
      </c>
      <c r="L14" s="172"/>
      <c r="M14" s="172"/>
      <c r="N14" s="172"/>
      <c r="O14" s="172"/>
      <c r="P14" s="172">
        <f>-66199+66199+100000</f>
        <v>100000</v>
      </c>
      <c r="Q14" s="172">
        <f>100000+1575000</f>
        <v>1675000</v>
      </c>
      <c r="R14" s="172">
        <f>43150000-2077555</f>
        <v>41072445</v>
      </c>
      <c r="S14" s="172">
        <f>43150000-2077555-38000000</f>
        <v>3072445</v>
      </c>
      <c r="T14" s="172">
        <f>525000-55697-44469-94320</f>
        <v>330514</v>
      </c>
      <c r="U14" s="172">
        <f>525000-55697-44469-94320</f>
        <v>330514</v>
      </c>
      <c r="V14" s="172"/>
      <c r="W14" s="172"/>
      <c r="X14" s="172"/>
      <c r="Y14" s="172"/>
      <c r="Z14" s="172"/>
      <c r="AA14" s="172"/>
      <c r="AB14" s="172"/>
      <c r="AC14" s="172"/>
      <c r="AD14" s="172"/>
      <c r="AE14" s="172"/>
      <c r="AF14" s="172"/>
      <c r="AG14" s="172"/>
      <c r="AH14" s="172"/>
      <c r="AI14" s="172"/>
      <c r="AJ14" s="386"/>
      <c r="AK14" s="386"/>
      <c r="AL14" s="384"/>
    </row>
    <row r="15" spans="2:38" x14ac:dyDescent="0.25">
      <c r="B15" s="176" t="s">
        <v>55</v>
      </c>
      <c r="C15" s="171" t="s">
        <v>56</v>
      </c>
      <c r="D15" s="399">
        <f t="shared" si="2"/>
        <v>16261346</v>
      </c>
      <c r="E15" s="399">
        <f t="shared" si="3"/>
        <v>45846495</v>
      </c>
      <c r="F15" s="172">
        <f t="shared" si="4"/>
        <v>62107841</v>
      </c>
      <c r="G15" s="399">
        <f t="shared" si="5"/>
        <v>35831346</v>
      </c>
      <c r="H15" s="399">
        <f t="shared" si="6"/>
        <v>98359252</v>
      </c>
      <c r="I15" s="172">
        <f t="shared" si="7"/>
        <v>134190598</v>
      </c>
      <c r="J15" s="172">
        <f>1283000+4750000-5817235</f>
        <v>215765</v>
      </c>
      <c r="K15" s="172">
        <f>1283000+4750000-5817235</f>
        <v>215765</v>
      </c>
      <c r="L15" s="172">
        <f>2488000-1596127</f>
        <v>891873</v>
      </c>
      <c r="M15" s="172">
        <f>2488000-1596127+61942757</f>
        <v>62834630</v>
      </c>
      <c r="N15" s="172">
        <v>2603000</v>
      </c>
      <c r="O15" s="172">
        <v>2603000</v>
      </c>
      <c r="P15" s="172">
        <f>20219000-2908527</f>
        <v>17310473</v>
      </c>
      <c r="Q15" s="172">
        <f>17310473</f>
        <v>17310473</v>
      </c>
      <c r="R15" s="172">
        <f>23707000-2705991</f>
        <v>21001009</v>
      </c>
      <c r="S15" s="172">
        <f>18001009+2970000-9000000</f>
        <v>11971009</v>
      </c>
      <c r="T15" s="172">
        <f>7962000-3074320-35519-1257926</f>
        <v>3594235</v>
      </c>
      <c r="U15" s="172">
        <f>7962000-3074320-35519-1257926-400000</f>
        <v>3194235</v>
      </c>
      <c r="V15" s="172">
        <f>802000-571860</f>
        <v>230140</v>
      </c>
      <c r="W15" s="172">
        <f>802000-571860</f>
        <v>230140</v>
      </c>
      <c r="X15" s="172">
        <f>4490000-2970000</f>
        <v>1520000</v>
      </c>
      <c r="Y15" s="172">
        <f>4490000-2970000</f>
        <v>1520000</v>
      </c>
      <c r="Z15" s="172">
        <f>1036000-1786145+750145+744917</f>
        <v>744917</v>
      </c>
      <c r="AA15" s="172">
        <f>1036000-1786145+750145+744917+10418000</f>
        <v>11162917</v>
      </c>
      <c r="AB15" s="172">
        <f>1036000-425196</f>
        <v>610804</v>
      </c>
      <c r="AC15" s="172">
        <f>1036000-425196</f>
        <v>610804</v>
      </c>
      <c r="AD15" s="172">
        <v>8556000</v>
      </c>
      <c r="AE15" s="172">
        <v>8556000</v>
      </c>
      <c r="AF15" s="172">
        <f>3975000-848070</f>
        <v>3126930</v>
      </c>
      <c r="AG15" s="172">
        <f>3975000-848070+9152000</f>
        <v>12278930</v>
      </c>
      <c r="AH15" s="172">
        <f>1117000-406641</f>
        <v>710359</v>
      </c>
      <c r="AI15" s="172">
        <f>1117000-406641</f>
        <v>710359</v>
      </c>
      <c r="AJ15" s="386">
        <f>217638+774698</f>
        <v>992336</v>
      </c>
      <c r="AK15" s="386">
        <f>217638+774698</f>
        <v>992336</v>
      </c>
      <c r="AL15" s="384"/>
    </row>
    <row r="16" spans="2:38" s="177" customFormat="1" ht="12.75" x14ac:dyDescent="0.2">
      <c r="B16" s="181" t="s">
        <v>57</v>
      </c>
      <c r="C16" s="179" t="s">
        <v>58</v>
      </c>
      <c r="D16" s="180">
        <f t="shared" ref="D16:AJ16" si="8">SUM(D11:D15)</f>
        <v>74944260</v>
      </c>
      <c r="E16" s="180">
        <f t="shared" si="8"/>
        <v>228739821</v>
      </c>
      <c r="F16" s="180">
        <f t="shared" si="8"/>
        <v>303684081</v>
      </c>
      <c r="G16" s="180">
        <f t="shared" si="8"/>
        <v>94514260</v>
      </c>
      <c r="H16" s="180">
        <f t="shared" si="8"/>
        <v>218103829</v>
      </c>
      <c r="I16" s="180">
        <f>SUM(I11:I15)</f>
        <v>312618089</v>
      </c>
      <c r="J16" s="180">
        <f t="shared" si="8"/>
        <v>695315</v>
      </c>
      <c r="K16" s="180">
        <f>SUM(K11:K15)</f>
        <v>695315</v>
      </c>
      <c r="L16" s="180">
        <f t="shared" si="8"/>
        <v>10998987</v>
      </c>
      <c r="M16" s="180">
        <f>SUM(M11:M15)</f>
        <v>72941744</v>
      </c>
      <c r="N16" s="180">
        <f t="shared" si="8"/>
        <v>12245000</v>
      </c>
      <c r="O16" s="180">
        <f>SUM(O11:O15)</f>
        <v>12245000</v>
      </c>
      <c r="P16" s="180">
        <f t="shared" si="8"/>
        <v>85456331</v>
      </c>
      <c r="Q16" s="180">
        <f>SUM(Q11:Q15)</f>
        <v>77456331</v>
      </c>
      <c r="R16" s="180">
        <f t="shared" si="8"/>
        <v>96563481</v>
      </c>
      <c r="S16" s="180">
        <f>SUM(S11:S15)</f>
        <v>32563481</v>
      </c>
      <c r="T16" s="180">
        <f t="shared" si="8"/>
        <v>21800681</v>
      </c>
      <c r="U16" s="180">
        <f>SUM(U11:U15)</f>
        <v>21800681</v>
      </c>
      <c r="V16" s="180">
        <f t="shared" si="8"/>
        <v>980026</v>
      </c>
      <c r="W16" s="180">
        <f>SUM(W11:W15)</f>
        <v>401277</v>
      </c>
      <c r="X16" s="180">
        <f t="shared" si="8"/>
        <v>6260000</v>
      </c>
      <c r="Y16" s="180">
        <f>SUM(Y11:Y15)</f>
        <v>6260000</v>
      </c>
      <c r="Z16" s="180">
        <f t="shared" si="8"/>
        <v>3503869</v>
      </c>
      <c r="AA16" s="180">
        <f>SUM(AA11:AA15)</f>
        <v>13921869</v>
      </c>
      <c r="AB16" s="180">
        <f t="shared" si="8"/>
        <v>2875004</v>
      </c>
      <c r="AC16" s="180">
        <f>SUM(AC11:AC15)</f>
        <v>2875004</v>
      </c>
      <c r="AD16" s="180">
        <f t="shared" si="8"/>
        <v>40246300</v>
      </c>
      <c r="AE16" s="180">
        <f>SUM(AE11:AE15)</f>
        <v>40246300</v>
      </c>
      <c r="AF16" s="180">
        <f t="shared" si="8"/>
        <v>14348930</v>
      </c>
      <c r="AG16" s="180">
        <f>SUM(AG11:AG15)</f>
        <v>23500930</v>
      </c>
      <c r="AH16" s="180">
        <f t="shared" si="8"/>
        <v>3042500</v>
      </c>
      <c r="AI16" s="180">
        <f>SUM(AI11:AI15)</f>
        <v>3042500</v>
      </c>
      <c r="AJ16" s="454">
        <f t="shared" si="8"/>
        <v>4667657</v>
      </c>
      <c r="AK16" s="454">
        <f>SUM(AK11:AK15)</f>
        <v>4667657</v>
      </c>
      <c r="AL16" s="384"/>
    </row>
    <row r="17" spans="2:38" s="177" customFormat="1" ht="12.75" x14ac:dyDescent="0.2">
      <c r="B17" s="184" t="s">
        <v>59</v>
      </c>
      <c r="C17" s="179" t="s">
        <v>60</v>
      </c>
      <c r="D17" s="401"/>
      <c r="E17" s="401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  <c r="AJ17" s="455"/>
      <c r="AK17" s="455"/>
      <c r="AL17" s="384"/>
    </row>
    <row r="18" spans="2:38" hidden="1" x14ac:dyDescent="0.25">
      <c r="B18" s="185" t="s">
        <v>61</v>
      </c>
      <c r="C18" s="171" t="s">
        <v>62</v>
      </c>
      <c r="D18" s="400"/>
      <c r="E18" s="400"/>
      <c r="F18" s="172"/>
      <c r="G18" s="172"/>
      <c r="H18" s="172"/>
      <c r="I18" s="172"/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386"/>
      <c r="AK18" s="386"/>
      <c r="AL18" s="384"/>
    </row>
    <row r="19" spans="2:38" x14ac:dyDescent="0.25">
      <c r="B19" s="185" t="s">
        <v>63</v>
      </c>
      <c r="C19" s="171" t="s">
        <v>64</v>
      </c>
      <c r="D19" s="399">
        <f>+Z19+AB19+AD19+AH19+AJ19+X19+AF19</f>
        <v>0</v>
      </c>
      <c r="E19" s="399">
        <f>+J19+L19+N19+P19+R19+T19+V19</f>
        <v>0</v>
      </c>
      <c r="F19" s="172">
        <f t="shared" ref="F19:F29" si="9">+E19+D19</f>
        <v>0</v>
      </c>
      <c r="G19" s="399">
        <f t="shared" ref="G19:G29" si="10">+AA19+AC19+AE19+AI19+AK19+Y19+AG19</f>
        <v>0</v>
      </c>
      <c r="H19" s="399">
        <f t="shared" ref="H19:H29" si="11">+K19+M19+O19+Q19+S19+U19+W19</f>
        <v>7524287</v>
      </c>
      <c r="I19" s="172">
        <f t="shared" ref="I19:I29" si="12">+H19+G19</f>
        <v>7524287</v>
      </c>
      <c r="J19" s="172"/>
      <c r="K19" s="172"/>
      <c r="L19" s="172"/>
      <c r="M19" s="344">
        <v>7524287</v>
      </c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/>
      <c r="Y19" s="172"/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386"/>
      <c r="AK19" s="386"/>
      <c r="AL19" s="384"/>
    </row>
    <row r="20" spans="2:38" hidden="1" x14ac:dyDescent="0.25">
      <c r="B20" s="185" t="s">
        <v>592</v>
      </c>
      <c r="C20" s="171" t="s">
        <v>66</v>
      </c>
      <c r="D20" s="400"/>
      <c r="E20" s="400"/>
      <c r="F20" s="172">
        <f t="shared" si="9"/>
        <v>0</v>
      </c>
      <c r="G20" s="399">
        <f t="shared" si="10"/>
        <v>0</v>
      </c>
      <c r="H20" s="399">
        <f t="shared" si="11"/>
        <v>0</v>
      </c>
      <c r="I20" s="172">
        <f t="shared" si="12"/>
        <v>0</v>
      </c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386"/>
      <c r="AK20" s="386"/>
      <c r="AL20" s="384"/>
    </row>
    <row r="21" spans="2:38" hidden="1" x14ac:dyDescent="0.25">
      <c r="B21" s="185" t="s">
        <v>593</v>
      </c>
      <c r="C21" s="171" t="s">
        <v>68</v>
      </c>
      <c r="D21" s="400"/>
      <c r="E21" s="400"/>
      <c r="F21" s="172">
        <f t="shared" si="9"/>
        <v>0</v>
      </c>
      <c r="G21" s="399">
        <f t="shared" si="10"/>
        <v>0</v>
      </c>
      <c r="H21" s="399">
        <f t="shared" si="11"/>
        <v>0</v>
      </c>
      <c r="I21" s="172">
        <f t="shared" si="12"/>
        <v>0</v>
      </c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  <c r="AH21" s="172"/>
      <c r="AI21" s="172"/>
      <c r="AJ21" s="386"/>
      <c r="AK21" s="386"/>
      <c r="AL21" s="384"/>
    </row>
    <row r="22" spans="2:38" hidden="1" x14ac:dyDescent="0.25">
      <c r="B22" s="185" t="s">
        <v>594</v>
      </c>
      <c r="C22" s="171" t="s">
        <v>70</v>
      </c>
      <c r="D22" s="400"/>
      <c r="E22" s="400"/>
      <c r="F22" s="172">
        <f t="shared" si="9"/>
        <v>0</v>
      </c>
      <c r="G22" s="399">
        <f t="shared" si="10"/>
        <v>0</v>
      </c>
      <c r="H22" s="399">
        <f t="shared" si="11"/>
        <v>0</v>
      </c>
      <c r="I22" s="172">
        <f t="shared" si="12"/>
        <v>0</v>
      </c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386"/>
      <c r="AK22" s="386"/>
      <c r="AL22" s="384"/>
    </row>
    <row r="23" spans="2:38" x14ac:dyDescent="0.25">
      <c r="B23" s="185" t="s">
        <v>71</v>
      </c>
      <c r="C23" s="171" t="s">
        <v>72</v>
      </c>
      <c r="D23" s="399">
        <f>+Z23+AB23+AD23+AH23+AJ23+X23+AF23</f>
        <v>0</v>
      </c>
      <c r="E23" s="399">
        <f>+J23+L23+N23+P23+R23+T23+V23</f>
        <v>14676993</v>
      </c>
      <c r="F23" s="172">
        <f t="shared" si="9"/>
        <v>14676993</v>
      </c>
      <c r="G23" s="399">
        <f t="shared" si="10"/>
        <v>0</v>
      </c>
      <c r="H23" s="399">
        <f t="shared" si="11"/>
        <v>14676993</v>
      </c>
      <c r="I23" s="172">
        <f t="shared" si="12"/>
        <v>14676993</v>
      </c>
      <c r="J23" s="172"/>
      <c r="K23" s="172"/>
      <c r="L23" s="352">
        <f>1431312*4</f>
        <v>5725248</v>
      </c>
      <c r="M23" s="352">
        <f>1431312*4</f>
        <v>5725248</v>
      </c>
      <c r="N23" s="172"/>
      <c r="O23" s="172"/>
      <c r="P23" s="172"/>
      <c r="Q23" s="172"/>
      <c r="R23" s="172">
        <f>528250*1.195*12</f>
        <v>7575105</v>
      </c>
      <c r="S23" s="172">
        <f>528250*1.195*12</f>
        <v>7575105</v>
      </c>
      <c r="T23" s="172">
        <f>114720*12</f>
        <v>1376640</v>
      </c>
      <c r="U23" s="172">
        <f>114720*12</f>
        <v>1376640</v>
      </c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386"/>
      <c r="AK23" s="386"/>
      <c r="AL23" s="384"/>
    </row>
    <row r="24" spans="2:38" hidden="1" x14ac:dyDescent="0.25">
      <c r="B24" s="185" t="s">
        <v>595</v>
      </c>
      <c r="C24" s="171" t="s">
        <v>74</v>
      </c>
      <c r="D24" s="400"/>
      <c r="E24" s="400"/>
      <c r="F24" s="172">
        <f t="shared" si="9"/>
        <v>0</v>
      </c>
      <c r="G24" s="399">
        <f t="shared" si="10"/>
        <v>0</v>
      </c>
      <c r="H24" s="399">
        <f t="shared" si="11"/>
        <v>0</v>
      </c>
      <c r="I24" s="172">
        <f t="shared" si="12"/>
        <v>0</v>
      </c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386"/>
      <c r="AK24" s="386"/>
      <c r="AL24" s="384"/>
    </row>
    <row r="25" spans="2:38" hidden="1" x14ac:dyDescent="0.25">
      <c r="B25" s="185" t="s">
        <v>596</v>
      </c>
      <c r="C25" s="171" t="s">
        <v>76</v>
      </c>
      <c r="D25" s="400"/>
      <c r="E25" s="400"/>
      <c r="F25" s="172">
        <f t="shared" si="9"/>
        <v>0</v>
      </c>
      <c r="G25" s="399">
        <f t="shared" si="10"/>
        <v>0</v>
      </c>
      <c r="H25" s="399">
        <f t="shared" si="11"/>
        <v>0</v>
      </c>
      <c r="I25" s="172">
        <f t="shared" si="12"/>
        <v>0</v>
      </c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172"/>
      <c r="AH25" s="172"/>
      <c r="AI25" s="172"/>
      <c r="AJ25" s="386"/>
      <c r="AK25" s="386"/>
      <c r="AL25" s="384"/>
    </row>
    <row r="26" spans="2:38" hidden="1" x14ac:dyDescent="0.25">
      <c r="B26" s="185" t="s">
        <v>77</v>
      </c>
      <c r="C26" s="171" t="s">
        <v>78</v>
      </c>
      <c r="D26" s="400"/>
      <c r="E26" s="400"/>
      <c r="F26" s="172">
        <f t="shared" si="9"/>
        <v>0</v>
      </c>
      <c r="G26" s="399">
        <f t="shared" si="10"/>
        <v>0</v>
      </c>
      <c r="H26" s="399">
        <f t="shared" si="11"/>
        <v>0</v>
      </c>
      <c r="I26" s="172">
        <f t="shared" si="12"/>
        <v>0</v>
      </c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386"/>
      <c r="AK26" s="386"/>
      <c r="AL26" s="384"/>
    </row>
    <row r="27" spans="2:38" hidden="1" x14ac:dyDescent="0.25">
      <c r="B27" s="186" t="s">
        <v>79</v>
      </c>
      <c r="C27" s="171" t="s">
        <v>80</v>
      </c>
      <c r="D27" s="400"/>
      <c r="E27" s="400"/>
      <c r="F27" s="172">
        <f t="shared" si="9"/>
        <v>0</v>
      </c>
      <c r="G27" s="399">
        <f t="shared" si="10"/>
        <v>0</v>
      </c>
      <c r="H27" s="399">
        <f t="shared" si="11"/>
        <v>0</v>
      </c>
      <c r="I27" s="172">
        <f t="shared" si="12"/>
        <v>0</v>
      </c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386"/>
      <c r="AK27" s="386"/>
      <c r="AL27" s="384"/>
    </row>
    <row r="28" spans="2:38" hidden="1" x14ac:dyDescent="0.25">
      <c r="B28" s="185" t="s">
        <v>81</v>
      </c>
      <c r="C28" s="171" t="s">
        <v>82</v>
      </c>
      <c r="D28" s="400"/>
      <c r="E28" s="400"/>
      <c r="F28" s="172">
        <f t="shared" si="9"/>
        <v>0</v>
      </c>
      <c r="G28" s="399">
        <f t="shared" si="10"/>
        <v>0</v>
      </c>
      <c r="H28" s="399">
        <f t="shared" si="11"/>
        <v>0</v>
      </c>
      <c r="I28" s="172">
        <f t="shared" si="12"/>
        <v>0</v>
      </c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386"/>
      <c r="AK28" s="386"/>
      <c r="AL28" s="384"/>
    </row>
    <row r="29" spans="2:38" x14ac:dyDescent="0.25">
      <c r="B29" s="185" t="s">
        <v>83</v>
      </c>
      <c r="C29" s="171" t="s">
        <v>84</v>
      </c>
      <c r="D29" s="399">
        <f>+Z29+AB29+AD29+AH29+AJ29+X29+AF29</f>
        <v>0</v>
      </c>
      <c r="E29" s="399">
        <f>+J29+L29+N29+P29+R29+T29+V29</f>
        <v>0</v>
      </c>
      <c r="F29" s="172">
        <f t="shared" si="9"/>
        <v>0</v>
      </c>
      <c r="G29" s="399">
        <f t="shared" si="10"/>
        <v>0</v>
      </c>
      <c r="H29" s="399">
        <f t="shared" si="11"/>
        <v>0</v>
      </c>
      <c r="I29" s="172">
        <f t="shared" si="12"/>
        <v>0</v>
      </c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/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386"/>
      <c r="AK29" s="386"/>
      <c r="AL29" s="384"/>
    </row>
    <row r="30" spans="2:38" hidden="1" x14ac:dyDescent="0.25">
      <c r="B30" s="186" t="s">
        <v>85</v>
      </c>
      <c r="C30" s="171" t="s">
        <v>86</v>
      </c>
      <c r="D30" s="400"/>
      <c r="E30" s="400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386"/>
      <c r="AK30" s="386"/>
      <c r="AL30" s="384"/>
    </row>
    <row r="31" spans="2:38" hidden="1" x14ac:dyDescent="0.25">
      <c r="B31" s="186" t="s">
        <v>87</v>
      </c>
      <c r="C31" s="171" t="s">
        <v>86</v>
      </c>
      <c r="D31" s="400"/>
      <c r="E31" s="400"/>
      <c r="F31" s="172"/>
      <c r="G31" s="172"/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386"/>
      <c r="AK31" s="386"/>
      <c r="AL31" s="384"/>
    </row>
    <row r="32" spans="2:38" s="177" customFormat="1" ht="15" customHeight="1" x14ac:dyDescent="0.2">
      <c r="B32" s="184" t="s">
        <v>88</v>
      </c>
      <c r="C32" s="179" t="s">
        <v>89</v>
      </c>
      <c r="D32" s="180">
        <f t="shared" ref="D32:I32" si="13">+D19+D23+D29</f>
        <v>0</v>
      </c>
      <c r="E32" s="180">
        <f t="shared" si="13"/>
        <v>14676993</v>
      </c>
      <c r="F32" s="180">
        <f t="shared" si="13"/>
        <v>14676993</v>
      </c>
      <c r="G32" s="180">
        <f t="shared" si="13"/>
        <v>0</v>
      </c>
      <c r="H32" s="180">
        <f t="shared" si="13"/>
        <v>22201280</v>
      </c>
      <c r="I32" s="180">
        <f t="shared" si="13"/>
        <v>22201280</v>
      </c>
      <c r="J32" s="180">
        <f t="shared" ref="J32:AJ32" si="14">SUM(J18:J31)</f>
        <v>0</v>
      </c>
      <c r="K32" s="180">
        <f>SUM(K18:K31)</f>
        <v>0</v>
      </c>
      <c r="L32" s="180">
        <f t="shared" si="14"/>
        <v>5725248</v>
      </c>
      <c r="M32" s="180">
        <f>SUM(M18:M31)</f>
        <v>13249535</v>
      </c>
      <c r="N32" s="180">
        <f t="shared" si="14"/>
        <v>0</v>
      </c>
      <c r="O32" s="180">
        <f>SUM(O18:O31)</f>
        <v>0</v>
      </c>
      <c r="P32" s="180">
        <f t="shared" si="14"/>
        <v>0</v>
      </c>
      <c r="Q32" s="180">
        <f>SUM(Q18:Q31)</f>
        <v>0</v>
      </c>
      <c r="R32" s="180">
        <f t="shared" si="14"/>
        <v>7575105</v>
      </c>
      <c r="S32" s="180">
        <f>SUM(S18:S31)</f>
        <v>7575105</v>
      </c>
      <c r="T32" s="180">
        <f t="shared" si="14"/>
        <v>1376640</v>
      </c>
      <c r="U32" s="180">
        <f>SUM(U18:U31)</f>
        <v>1376640</v>
      </c>
      <c r="V32" s="180">
        <f t="shared" si="14"/>
        <v>0</v>
      </c>
      <c r="W32" s="180">
        <f>SUM(W18:W31)</f>
        <v>0</v>
      </c>
      <c r="X32" s="180">
        <f t="shared" si="14"/>
        <v>0</v>
      </c>
      <c r="Y32" s="180">
        <f>SUM(Y18:Y31)</f>
        <v>0</v>
      </c>
      <c r="Z32" s="180">
        <f t="shared" si="14"/>
        <v>0</v>
      </c>
      <c r="AA32" s="180">
        <f>SUM(AA18:AA31)</f>
        <v>0</v>
      </c>
      <c r="AB32" s="180">
        <f t="shared" si="14"/>
        <v>0</v>
      </c>
      <c r="AC32" s="180">
        <f>SUM(AC18:AC31)</f>
        <v>0</v>
      </c>
      <c r="AD32" s="180">
        <f t="shared" si="14"/>
        <v>0</v>
      </c>
      <c r="AE32" s="180">
        <f>SUM(AE18:AE31)</f>
        <v>0</v>
      </c>
      <c r="AF32" s="180">
        <f t="shared" si="14"/>
        <v>0</v>
      </c>
      <c r="AG32" s="180">
        <f>SUM(AG18:AG31)</f>
        <v>0</v>
      </c>
      <c r="AH32" s="180">
        <f t="shared" si="14"/>
        <v>0</v>
      </c>
      <c r="AI32" s="180">
        <f>SUM(AI18:AI31)</f>
        <v>0</v>
      </c>
      <c r="AJ32" s="454">
        <f t="shared" si="14"/>
        <v>0</v>
      </c>
      <c r="AK32" s="454">
        <f>SUM(AK18:AK31)</f>
        <v>0</v>
      </c>
      <c r="AL32" s="384"/>
    </row>
    <row r="33" spans="2:38" x14ac:dyDescent="0.25">
      <c r="B33" s="187" t="s">
        <v>90</v>
      </c>
      <c r="C33" s="188" t="s">
        <v>91</v>
      </c>
      <c r="D33" s="189">
        <f>+D32+D17+D16+D10+D9</f>
        <v>86056900</v>
      </c>
      <c r="E33" s="189">
        <f>+E32+E17+E16+E10+E9</f>
        <v>623436599</v>
      </c>
      <c r="F33" s="189">
        <f t="shared" ref="F33:AJ33" si="15">+F32+F17+F16+F10+F9</f>
        <v>709493499</v>
      </c>
      <c r="G33" s="189">
        <f>+G32+G17+G16+G10+G9</f>
        <v>105626900</v>
      </c>
      <c r="H33" s="189">
        <f>+H32+H17+H16+H10+H9</f>
        <v>387903643</v>
      </c>
      <c r="I33" s="189">
        <f>+I32+I17+I16+I10+I9</f>
        <v>493530543</v>
      </c>
      <c r="J33" s="189">
        <f t="shared" si="15"/>
        <v>1256112</v>
      </c>
      <c r="K33" s="189">
        <f>+K32+K17+K16+K10+K9</f>
        <v>1256112</v>
      </c>
      <c r="L33" s="189">
        <f t="shared" si="15"/>
        <v>25285729</v>
      </c>
      <c r="M33" s="189">
        <f>+M32+M17+M16+M10+M9</f>
        <v>94752773</v>
      </c>
      <c r="N33" s="189">
        <f t="shared" si="15"/>
        <v>31775000</v>
      </c>
      <c r="O33" s="189">
        <f>+O32+O17+O16+O10+O9</f>
        <v>31775000</v>
      </c>
      <c r="P33" s="189">
        <f t="shared" si="15"/>
        <v>116312167</v>
      </c>
      <c r="Q33" s="189">
        <f>+Q32+Q17+Q16+Q10+Q9</f>
        <v>108312167</v>
      </c>
      <c r="R33" s="189">
        <f t="shared" si="15"/>
        <v>407450382</v>
      </c>
      <c r="S33" s="189">
        <f>+S32+S17+S16+S10+S9</f>
        <v>110450382</v>
      </c>
      <c r="T33" s="189">
        <f t="shared" si="15"/>
        <v>37668331</v>
      </c>
      <c r="U33" s="189">
        <f>+U32+U17+U16+U10+U9</f>
        <v>37668331</v>
      </c>
      <c r="V33" s="189">
        <f t="shared" si="15"/>
        <v>3688878</v>
      </c>
      <c r="W33" s="189">
        <f>+W32+W17+W16+W10+W9</f>
        <v>3688878</v>
      </c>
      <c r="X33" s="189">
        <f t="shared" si="15"/>
        <v>15200651</v>
      </c>
      <c r="Y33" s="189">
        <f>+Y32+Y17+Y16+Y10+Y9</f>
        <v>15200651</v>
      </c>
      <c r="Z33" s="189">
        <f t="shared" si="15"/>
        <v>3503869</v>
      </c>
      <c r="AA33" s="189">
        <f>+AA32+AA17+AA16+AA10+AA9</f>
        <v>13921869</v>
      </c>
      <c r="AB33" s="189">
        <f t="shared" si="15"/>
        <v>2875004</v>
      </c>
      <c r="AC33" s="189">
        <f>+AC32+AC17+AC16+AC10+AC9</f>
        <v>2875004</v>
      </c>
      <c r="AD33" s="189">
        <f t="shared" si="15"/>
        <v>40246300</v>
      </c>
      <c r="AE33" s="189">
        <f>+AE32+AE17+AE16+AE10+AE9</f>
        <v>40246300</v>
      </c>
      <c r="AF33" s="189">
        <f t="shared" si="15"/>
        <v>14348930</v>
      </c>
      <c r="AG33" s="189">
        <f>+AG32+AG17+AG16+AG10+AG9</f>
        <v>23500930</v>
      </c>
      <c r="AH33" s="189">
        <f t="shared" si="15"/>
        <v>3042500</v>
      </c>
      <c r="AI33" s="189">
        <f>+AI32+AI17+AI16+AI10+AI9</f>
        <v>3042500</v>
      </c>
      <c r="AJ33" s="456">
        <f t="shared" si="15"/>
        <v>6839646</v>
      </c>
      <c r="AK33" s="456">
        <f>+AK32+AK17+AK16+AK10+AK9</f>
        <v>6839646</v>
      </c>
      <c r="AL33" s="384"/>
    </row>
    <row r="34" spans="2:38" x14ac:dyDescent="0.25">
      <c r="B34" s="190" t="s">
        <v>92</v>
      </c>
      <c r="C34" s="171" t="s">
        <v>93</v>
      </c>
      <c r="D34" s="399">
        <f>+Z34+AB34+AD34+AH34+AJ34+X34+AF34</f>
        <v>0</v>
      </c>
      <c r="E34" s="399">
        <f>+J34+L34+N34+P34+R34+T34+V34</f>
        <v>0</v>
      </c>
      <c r="F34" s="172">
        <f t="shared" ref="F34:F40" si="16">+E34+D34</f>
        <v>0</v>
      </c>
      <c r="G34" s="399">
        <f t="shared" ref="G34:G40" si="17">+AA34+AC34+AE34+AI34+AK34+Y34+AG34</f>
        <v>0</v>
      </c>
      <c r="H34" s="399">
        <f t="shared" ref="H34:H40" si="18">+K34+M34+O34+Q34+S34+U34+W34</f>
        <v>0</v>
      </c>
      <c r="I34" s="172">
        <f t="shared" ref="I34:I40" si="19">+H34+G34</f>
        <v>0</v>
      </c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386"/>
      <c r="AK34" s="386"/>
      <c r="AL34" s="384"/>
    </row>
    <row r="35" spans="2:38" x14ac:dyDescent="0.25">
      <c r="B35" s="190" t="s">
        <v>94</v>
      </c>
      <c r="C35" s="171" t="s">
        <v>95</v>
      </c>
      <c r="D35" s="399">
        <f>+Z35+AB35+AD35+AH35+AJ35+X35+AF35</f>
        <v>0</v>
      </c>
      <c r="E35" s="399">
        <f>+J35+L35+N35+P35+R35+T35+V35</f>
        <v>0</v>
      </c>
      <c r="F35" s="172">
        <f t="shared" si="16"/>
        <v>0</v>
      </c>
      <c r="G35" s="399">
        <f t="shared" si="17"/>
        <v>129720112</v>
      </c>
      <c r="H35" s="399">
        <f t="shared" si="18"/>
        <v>221891739</v>
      </c>
      <c r="I35" s="172">
        <f t="shared" si="19"/>
        <v>351611851</v>
      </c>
      <c r="J35" s="172"/>
      <c r="K35" s="172"/>
      <c r="L35" s="172"/>
      <c r="M35" s="172">
        <f>+'5 Beruh kiad'!G13</f>
        <v>221891739</v>
      </c>
      <c r="N35" s="172"/>
      <c r="O35" s="172"/>
      <c r="P35" s="172"/>
      <c r="Q35" s="172"/>
      <c r="R35" s="172"/>
      <c r="S35" s="172"/>
      <c r="T35" s="172"/>
      <c r="U35" s="172"/>
      <c r="V35" s="172"/>
      <c r="W35" s="172"/>
      <c r="X35" s="172"/>
      <c r="Y35" s="172"/>
      <c r="Z35" s="172"/>
      <c r="AA35" s="172"/>
      <c r="AB35" s="172"/>
      <c r="AC35" s="172"/>
      <c r="AD35" s="172"/>
      <c r="AE35" s="172"/>
      <c r="AF35" s="172"/>
      <c r="AG35" s="172">
        <f>+'5 Beruh kiad'!F14</f>
        <v>129720112</v>
      </c>
      <c r="AH35" s="172"/>
      <c r="AI35" s="172"/>
      <c r="AJ35" s="386"/>
      <c r="AK35" s="386"/>
      <c r="AL35" s="384"/>
    </row>
    <row r="36" spans="2:38" x14ac:dyDescent="0.25">
      <c r="B36" s="190" t="s">
        <v>96</v>
      </c>
      <c r="C36" s="171" t="s">
        <v>97</v>
      </c>
      <c r="D36" s="399">
        <f>+Z36+AB36+AD36+AH36+AJ36+X36+AF36</f>
        <v>0</v>
      </c>
      <c r="E36" s="399">
        <f>+J36+L36+N36+P36+R36+T36+V36</f>
        <v>0</v>
      </c>
      <c r="F36" s="172">
        <f t="shared" si="16"/>
        <v>0</v>
      </c>
      <c r="G36" s="399">
        <f t="shared" si="17"/>
        <v>0</v>
      </c>
      <c r="H36" s="399">
        <f t="shared" si="18"/>
        <v>0</v>
      </c>
      <c r="I36" s="172">
        <f t="shared" si="19"/>
        <v>0</v>
      </c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386"/>
      <c r="AK36" s="386"/>
      <c r="AL36" s="384"/>
    </row>
    <row r="37" spans="2:38" x14ac:dyDescent="0.25">
      <c r="B37" s="190" t="s">
        <v>98</v>
      </c>
      <c r="C37" s="171" t="s">
        <v>99</v>
      </c>
      <c r="D37" s="399">
        <f>+Z37+AB37+AD37+AH37+AJ37+X37+AF37</f>
        <v>13620806</v>
      </c>
      <c r="E37" s="399">
        <f>+J37+L37+N37+P37+R37+T37+V37</f>
        <v>112161544</v>
      </c>
      <c r="F37" s="172">
        <f t="shared" si="16"/>
        <v>125782350</v>
      </c>
      <c r="G37" s="399">
        <f t="shared" si="17"/>
        <v>13620806</v>
      </c>
      <c r="H37" s="399">
        <f t="shared" si="18"/>
        <v>120768293</v>
      </c>
      <c r="I37" s="172">
        <f t="shared" si="19"/>
        <v>134389099</v>
      </c>
      <c r="J37" s="172">
        <f>+'5 Beruh kiad'!E22</f>
        <v>107040948</v>
      </c>
      <c r="K37" s="172">
        <f>+'5 Beruh kiad'!G22</f>
        <v>107420948</v>
      </c>
      <c r="L37" s="172"/>
      <c r="M37" s="172"/>
      <c r="N37" s="172"/>
      <c r="O37" s="172"/>
      <c r="P37" s="172">
        <f>+'5 Beruh kiad'!E24</f>
        <v>3782706</v>
      </c>
      <c r="Q37" s="172">
        <f>+'5 Beruh kiad'!G24</f>
        <v>3782706</v>
      </c>
      <c r="R37" s="172">
        <f>+'5 Beruh kiad'!E25</f>
        <v>1337890</v>
      </c>
      <c r="S37" s="172">
        <f>+'5 Beruh kiad'!G25</f>
        <v>1337890</v>
      </c>
      <c r="T37" s="172"/>
      <c r="U37" s="172"/>
      <c r="V37" s="172"/>
      <c r="W37" s="172">
        <f>+'5 Beruh kiad'!G26</f>
        <v>8226749</v>
      </c>
      <c r="X37" s="172"/>
      <c r="Y37" s="172"/>
      <c r="Z37" s="172"/>
      <c r="AA37" s="172"/>
      <c r="AB37" s="172"/>
      <c r="AC37" s="172"/>
      <c r="AD37" s="172"/>
      <c r="AE37" s="172"/>
      <c r="AF37" s="172"/>
      <c r="AG37" s="172">
        <f>+'5 Beruh kiad'!F21</f>
        <v>0</v>
      </c>
      <c r="AH37" s="172"/>
      <c r="AI37" s="172"/>
      <c r="AJ37" s="386">
        <f>+'5 Beruh kiad'!D28</f>
        <v>13620806</v>
      </c>
      <c r="AK37" s="386">
        <f>+'5 Beruh kiad'!F28</f>
        <v>13620806</v>
      </c>
      <c r="AL37" s="384"/>
    </row>
    <row r="38" spans="2:38" hidden="1" x14ac:dyDescent="0.25">
      <c r="B38" s="191" t="s">
        <v>100</v>
      </c>
      <c r="C38" s="171" t="s">
        <v>101</v>
      </c>
      <c r="D38" s="400"/>
      <c r="E38" s="400"/>
      <c r="F38" s="172">
        <f t="shared" si="16"/>
        <v>0</v>
      </c>
      <c r="G38" s="399">
        <f t="shared" si="17"/>
        <v>0</v>
      </c>
      <c r="H38" s="399">
        <f t="shared" si="18"/>
        <v>0</v>
      </c>
      <c r="I38" s="172">
        <f t="shared" si="19"/>
        <v>0</v>
      </c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386"/>
      <c r="AK38" s="386"/>
      <c r="AL38" s="384"/>
    </row>
    <row r="39" spans="2:38" hidden="1" x14ac:dyDescent="0.25">
      <c r="B39" s="191" t="s">
        <v>102</v>
      </c>
      <c r="C39" s="171" t="s">
        <v>103</v>
      </c>
      <c r="D39" s="400"/>
      <c r="E39" s="400"/>
      <c r="F39" s="172">
        <f t="shared" si="16"/>
        <v>0</v>
      </c>
      <c r="G39" s="399">
        <f t="shared" si="17"/>
        <v>0</v>
      </c>
      <c r="H39" s="399">
        <f t="shared" si="18"/>
        <v>0</v>
      </c>
      <c r="I39" s="172">
        <f t="shared" si="19"/>
        <v>0</v>
      </c>
      <c r="J39" s="172"/>
      <c r="K39" s="172"/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386"/>
      <c r="AK39" s="386"/>
      <c r="AL39" s="384"/>
    </row>
    <row r="40" spans="2:38" x14ac:dyDescent="0.25">
      <c r="B40" s="191" t="s">
        <v>104</v>
      </c>
      <c r="C40" s="171" t="s">
        <v>105</v>
      </c>
      <c r="D40" s="399">
        <f>+Z40+AB40+AD40+AH40+AJ40+X40+AF40</f>
        <v>3677618</v>
      </c>
      <c r="E40" s="399">
        <f>+J40+L40+N40+P40+R40+T40+V40</f>
        <v>30283437</v>
      </c>
      <c r="F40" s="172">
        <f t="shared" si="16"/>
        <v>33961055</v>
      </c>
      <c r="G40" s="399">
        <f t="shared" si="17"/>
        <v>28701977</v>
      </c>
      <c r="H40" s="399">
        <f t="shared" si="18"/>
        <v>32607259</v>
      </c>
      <c r="I40" s="172">
        <f t="shared" si="19"/>
        <v>61309236</v>
      </c>
      <c r="J40" s="172">
        <f>+'5 Beruh kiad'!E38</f>
        <v>28901056</v>
      </c>
      <c r="K40" s="172">
        <f>+'5 Beruh kiad'!G38</f>
        <v>29003656</v>
      </c>
      <c r="L40" s="172"/>
      <c r="M40" s="172">
        <f>+'5 Beruh kiad'!G36</f>
        <v>0</v>
      </c>
      <c r="N40" s="172"/>
      <c r="O40" s="172"/>
      <c r="P40" s="172">
        <f>+'5 Beruh kiad'!E42</f>
        <v>1021151</v>
      </c>
      <c r="Q40" s="172">
        <f>+'5 Beruh kiad'!G42</f>
        <v>1021151</v>
      </c>
      <c r="R40" s="172">
        <f>+'5 Beruh kiad'!E43</f>
        <v>361230</v>
      </c>
      <c r="S40" s="172">
        <f>+'5 Beruh kiad'!G43</f>
        <v>361230</v>
      </c>
      <c r="T40" s="172"/>
      <c r="U40" s="172"/>
      <c r="V40" s="172"/>
      <c r="W40" s="172">
        <f>+'5 Beruh kiad'!G40</f>
        <v>2221222</v>
      </c>
      <c r="X40" s="172"/>
      <c r="Y40" s="172"/>
      <c r="Z40" s="172"/>
      <c r="AA40" s="172"/>
      <c r="AB40" s="172"/>
      <c r="AC40" s="172"/>
      <c r="AD40" s="172"/>
      <c r="AE40" s="172"/>
      <c r="AF40" s="172"/>
      <c r="AG40" s="172">
        <f>+'5 Beruh kiad'!F35</f>
        <v>25024359</v>
      </c>
      <c r="AH40" s="172"/>
      <c r="AI40" s="172"/>
      <c r="AJ40" s="386">
        <f>+'5 Beruh kiad'!D44</f>
        <v>3677618</v>
      </c>
      <c r="AK40" s="386">
        <f>+'5 Beruh kiad'!F44</f>
        <v>3677618</v>
      </c>
      <c r="AL40" s="384"/>
    </row>
    <row r="41" spans="2:38" s="177" customFormat="1" ht="12.75" x14ac:dyDescent="0.2">
      <c r="B41" s="192" t="s">
        <v>106</v>
      </c>
      <c r="C41" s="179" t="s">
        <v>107</v>
      </c>
      <c r="D41" s="180">
        <f t="shared" ref="D41:AJ41" si="20">SUM(D34:D40)</f>
        <v>17298424</v>
      </c>
      <c r="E41" s="180">
        <f t="shared" si="20"/>
        <v>142444981</v>
      </c>
      <c r="F41" s="180">
        <f t="shared" si="20"/>
        <v>159743405</v>
      </c>
      <c r="G41" s="180">
        <f t="shared" si="20"/>
        <v>172042895</v>
      </c>
      <c r="H41" s="180">
        <f t="shared" si="20"/>
        <v>375267291</v>
      </c>
      <c r="I41" s="180">
        <f>SUM(I34:I40)</f>
        <v>547310186</v>
      </c>
      <c r="J41" s="180">
        <f t="shared" si="20"/>
        <v>135942004</v>
      </c>
      <c r="K41" s="180">
        <f>SUM(K34:K40)</f>
        <v>136424604</v>
      </c>
      <c r="L41" s="180">
        <f t="shared" si="20"/>
        <v>0</v>
      </c>
      <c r="M41" s="180">
        <f>SUM(M34:M40)</f>
        <v>221891739</v>
      </c>
      <c r="N41" s="180">
        <f t="shared" si="20"/>
        <v>0</v>
      </c>
      <c r="O41" s="180">
        <f>SUM(O34:O40)</f>
        <v>0</v>
      </c>
      <c r="P41" s="180">
        <f t="shared" si="20"/>
        <v>4803857</v>
      </c>
      <c r="Q41" s="180">
        <f>SUM(Q34:Q40)</f>
        <v>4803857</v>
      </c>
      <c r="R41" s="180">
        <f t="shared" si="20"/>
        <v>1699120</v>
      </c>
      <c r="S41" s="180">
        <f>SUM(S34:S40)</f>
        <v>1699120</v>
      </c>
      <c r="T41" s="180">
        <f t="shared" si="20"/>
        <v>0</v>
      </c>
      <c r="U41" s="180">
        <f>SUM(U34:U40)</f>
        <v>0</v>
      </c>
      <c r="V41" s="180">
        <f t="shared" si="20"/>
        <v>0</v>
      </c>
      <c r="W41" s="180">
        <f>SUM(W34:W40)</f>
        <v>10447971</v>
      </c>
      <c r="X41" s="180">
        <f t="shared" si="20"/>
        <v>0</v>
      </c>
      <c r="Y41" s="180">
        <f>SUM(Y34:Y40)</f>
        <v>0</v>
      </c>
      <c r="Z41" s="180">
        <f t="shared" si="20"/>
        <v>0</v>
      </c>
      <c r="AA41" s="180">
        <f>SUM(AA34:AA40)</f>
        <v>0</v>
      </c>
      <c r="AB41" s="180">
        <f t="shared" si="20"/>
        <v>0</v>
      </c>
      <c r="AC41" s="180">
        <f>SUM(AC34:AC40)</f>
        <v>0</v>
      </c>
      <c r="AD41" s="180">
        <f t="shared" si="20"/>
        <v>0</v>
      </c>
      <c r="AE41" s="180">
        <f>SUM(AE34:AE40)</f>
        <v>0</v>
      </c>
      <c r="AF41" s="180">
        <f t="shared" si="20"/>
        <v>0</v>
      </c>
      <c r="AG41" s="180">
        <f>SUM(AG34:AG40)</f>
        <v>154744471</v>
      </c>
      <c r="AH41" s="180">
        <f t="shared" si="20"/>
        <v>0</v>
      </c>
      <c r="AI41" s="180">
        <f>SUM(AI34:AI40)</f>
        <v>0</v>
      </c>
      <c r="AJ41" s="454">
        <f t="shared" si="20"/>
        <v>17298424</v>
      </c>
      <c r="AK41" s="454">
        <f>SUM(AK34:AK40)</f>
        <v>17298424</v>
      </c>
      <c r="AL41" s="384"/>
    </row>
    <row r="42" spans="2:38" x14ac:dyDescent="0.25">
      <c r="B42" s="193" t="s">
        <v>108</v>
      </c>
      <c r="C42" s="171" t="s">
        <v>109</v>
      </c>
      <c r="D42" s="399">
        <f>+Z42+AB42+AD42+AH42+AJ42+X42+AF42</f>
        <v>1528581677</v>
      </c>
      <c r="E42" s="399">
        <f>+J42+L42+N42+P42+R42+T42+V42</f>
        <v>425445732</v>
      </c>
      <c r="F42" s="172">
        <f>+E42+D42</f>
        <v>1954027409</v>
      </c>
      <c r="G42" s="399">
        <f>+AA42+AC42+AE42+AI42+AK42+Y42+AG42</f>
        <v>1254850796</v>
      </c>
      <c r="H42" s="399">
        <f>+K42+M42+O42+Q42+S42+U42+W42</f>
        <v>67293957</v>
      </c>
      <c r="I42" s="172">
        <f>+H42+G42</f>
        <v>1322144753</v>
      </c>
      <c r="J42" s="172"/>
      <c r="K42" s="172"/>
      <c r="L42" s="172">
        <f>+'5 Beruh kiad'!E54</f>
        <v>229416026</v>
      </c>
      <c r="M42" s="172"/>
      <c r="N42" s="172">
        <f>+'5 Beruh kiad'!E55</f>
        <v>120509000</v>
      </c>
      <c r="O42" s="172">
        <f>+'5 Beruh kiad'!G55</f>
        <v>0</v>
      </c>
      <c r="P42" s="172">
        <f>+'5 Beruh kiad'!E59</f>
        <v>3735706</v>
      </c>
      <c r="Q42" s="172">
        <f>+'5 Beruh kiad'!G59</f>
        <v>3735706</v>
      </c>
      <c r="R42" s="172"/>
      <c r="S42" s="172"/>
      <c r="T42" s="172"/>
      <c r="U42" s="172"/>
      <c r="V42" s="172">
        <f>+'5 Beruh kiad'!E60</f>
        <v>71785000</v>
      </c>
      <c r="W42" s="172">
        <f>+'5 Beruh kiad'!G60</f>
        <v>63558251</v>
      </c>
      <c r="X42" s="172">
        <f>+'5 Beruh kiad'!D62</f>
        <v>424126000</v>
      </c>
      <c r="Y42" s="172">
        <f>+'5 Beruh kiad'!F62</f>
        <v>424126000</v>
      </c>
      <c r="Z42" s="172">
        <f>+'5 Beruh kiad'!D52</f>
        <v>141226480</v>
      </c>
      <c r="AA42" s="172">
        <f>+'5 Beruh kiad'!F52</f>
        <v>141226480</v>
      </c>
      <c r="AB42" s="172">
        <f>+'5 Beruh kiad'!D53</f>
        <v>143051622</v>
      </c>
      <c r="AC42" s="172">
        <f>+'5 Beruh kiad'!F53</f>
        <v>143051622</v>
      </c>
      <c r="AD42" s="172">
        <f>+'5 Beruh kiad'!D51</f>
        <v>353700000</v>
      </c>
      <c r="AE42" s="172">
        <f>+'5 Beruh kiad'!F51</f>
        <v>209689231</v>
      </c>
      <c r="AF42" s="172">
        <f>+'5 Beruh kiad'!D48</f>
        <v>129720112</v>
      </c>
      <c r="AG42" s="172">
        <f>+'5 Beruh kiad'!F48</f>
        <v>0</v>
      </c>
      <c r="AH42" s="172">
        <f>+'5 Beruh kiad'!D57</f>
        <v>287338620</v>
      </c>
      <c r="AI42" s="172">
        <f>+'5 Beruh kiad'!F57</f>
        <v>287338620</v>
      </c>
      <c r="AJ42" s="386">
        <f>+'5 Beruh kiad'!D58</f>
        <v>49418843</v>
      </c>
      <c r="AK42" s="386">
        <f>+'5 Beruh kiad'!F58</f>
        <v>49418843</v>
      </c>
      <c r="AL42" s="384"/>
    </row>
    <row r="43" spans="2:38" x14ac:dyDescent="0.25">
      <c r="B43" s="193" t="s">
        <v>110</v>
      </c>
      <c r="C43" s="171" t="s">
        <v>111</v>
      </c>
      <c r="D43" s="399">
        <f>+Z43+AB43+AD43+AH43+AJ43+X43+AF43</f>
        <v>0</v>
      </c>
      <c r="E43" s="399">
        <f>+J43+L43+N43+P43+R43+T43+V43</f>
        <v>0</v>
      </c>
      <c r="F43" s="172">
        <f>+E43+D43</f>
        <v>0</v>
      </c>
      <c r="G43" s="399">
        <f>+AA43+AC43+AE43+AI43+AK43+Y43+AG43</f>
        <v>0</v>
      </c>
      <c r="H43" s="399">
        <f>+K43+M43+O43+Q43+S43+U43+W43</f>
        <v>0</v>
      </c>
      <c r="I43" s="172">
        <f>+H43+G43</f>
        <v>0</v>
      </c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386"/>
      <c r="AK43" s="386"/>
      <c r="AL43" s="384"/>
    </row>
    <row r="44" spans="2:38" x14ac:dyDescent="0.25">
      <c r="B44" s="193" t="s">
        <v>112</v>
      </c>
      <c r="C44" s="171" t="s">
        <v>113</v>
      </c>
      <c r="D44" s="399">
        <f>+Z44+AB44+AD44+AH44+AJ44+X44+AF44</f>
        <v>0</v>
      </c>
      <c r="E44" s="399">
        <f>+J44+L44+N44+P44+R44+T44+V44</f>
        <v>0</v>
      </c>
      <c r="F44" s="172">
        <f>+E44+D44</f>
        <v>0</v>
      </c>
      <c r="G44" s="399">
        <f>+AA44+AC44+AE44+AI44+AK44+Y44+AG44</f>
        <v>0</v>
      </c>
      <c r="H44" s="399">
        <f>+K44+M44+O44+Q44+S44+U44+W44</f>
        <v>0</v>
      </c>
      <c r="I44" s="172">
        <f>+H44+G44</f>
        <v>0</v>
      </c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/>
      <c r="Y44" s="172"/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386"/>
      <c r="AK44" s="386"/>
      <c r="AL44" s="384"/>
    </row>
    <row r="45" spans="2:38" x14ac:dyDescent="0.25">
      <c r="B45" s="193" t="s">
        <v>114</v>
      </c>
      <c r="C45" s="171" t="s">
        <v>115</v>
      </c>
      <c r="D45" s="399">
        <f>+Z45+AB45+AD45+AH45+AJ45+X45+AF45</f>
        <v>411869131</v>
      </c>
      <c r="E45" s="399">
        <f>+J45+L45+N45+P45+R45+T45+V45</f>
        <v>114870908</v>
      </c>
      <c r="F45" s="172">
        <f>+E45+D45</f>
        <v>526740039</v>
      </c>
      <c r="G45" s="399">
        <f>+AA45+AC45+AE45+AI45+AK45+Y45+AG45</f>
        <v>328391865</v>
      </c>
      <c r="H45" s="399">
        <f>+K45+M45+O45+Q45+S45+U45+W45</f>
        <v>18168929</v>
      </c>
      <c r="I45" s="172">
        <f>+H45+G45</f>
        <v>346560794</v>
      </c>
      <c r="J45" s="172"/>
      <c r="K45" s="172"/>
      <c r="L45" s="172">
        <f>+'5 Beruh kiad'!E80</f>
        <v>61942757</v>
      </c>
      <c r="M45" s="172">
        <f>+'5 Beruh kiad'!G80</f>
        <v>0</v>
      </c>
      <c r="N45" s="172">
        <f>+'5 Beruh kiad'!E81</f>
        <v>32538000</v>
      </c>
      <c r="O45" s="172">
        <f>+'5 Beruh kiad'!G81</f>
        <v>0</v>
      </c>
      <c r="P45" s="172">
        <f>+'5 Beruh kiad'!E86</f>
        <v>1008151</v>
      </c>
      <c r="Q45" s="172">
        <f>+'5 Beruh kiad'!G86</f>
        <v>1008151</v>
      </c>
      <c r="R45" s="172"/>
      <c r="S45" s="172"/>
      <c r="T45" s="172"/>
      <c r="U45" s="172"/>
      <c r="V45" s="172">
        <f>+'5 Beruh kiad'!E83</f>
        <v>19382000</v>
      </c>
      <c r="W45" s="172">
        <f>+'5 Beruh kiad'!G83</f>
        <v>17160778</v>
      </c>
      <c r="X45" s="172">
        <f>+'5 Beruh kiad'!D87</f>
        <v>114514000</v>
      </c>
      <c r="Y45" s="172">
        <f>+'5 Beruh kiad'!F87</f>
        <v>114514000</v>
      </c>
      <c r="Z45" s="172">
        <f>+'5 Beruh kiad'!D78</f>
        <v>38131140</v>
      </c>
      <c r="AA45" s="172">
        <f>+'5 Beruh kiad'!F78</f>
        <v>27713140</v>
      </c>
      <c r="AB45" s="172">
        <f>+'5 Beruh kiad'!D79</f>
        <v>38624118</v>
      </c>
      <c r="AC45" s="172">
        <f>+'5 Beruh kiad'!F79</f>
        <v>38624118</v>
      </c>
      <c r="AD45" s="172">
        <f>+'5 Beruh kiad'!D77</f>
        <v>95499000</v>
      </c>
      <c r="AE45" s="172">
        <f>+'5 Beruh kiad'!F77</f>
        <v>56616093</v>
      </c>
      <c r="AF45" s="172">
        <f>+'5 Beruh kiad'!D73</f>
        <v>34176359</v>
      </c>
      <c r="AG45" s="172">
        <f>+'5 Beruh kiad'!F73</f>
        <v>0</v>
      </c>
      <c r="AH45" s="172">
        <f>+'5 Beruh kiad'!D82</f>
        <v>77581427</v>
      </c>
      <c r="AI45" s="172">
        <f>+'5 Beruh kiad'!F82</f>
        <v>77581427</v>
      </c>
      <c r="AJ45" s="386">
        <f>+'5 Beruh kiad'!D85</f>
        <v>13343087</v>
      </c>
      <c r="AK45" s="386">
        <f>+'5 Beruh kiad'!F85</f>
        <v>13343087</v>
      </c>
      <c r="AL45" s="384"/>
    </row>
    <row r="46" spans="2:38" s="177" customFormat="1" ht="12.75" x14ac:dyDescent="0.2">
      <c r="B46" s="181" t="s">
        <v>116</v>
      </c>
      <c r="C46" s="179" t="s">
        <v>117</v>
      </c>
      <c r="D46" s="180">
        <f t="shared" ref="D46:I46" si="21">SUM(D42:D45)</f>
        <v>1940450808</v>
      </c>
      <c r="E46" s="180">
        <f t="shared" si="21"/>
        <v>540316640</v>
      </c>
      <c r="F46" s="180">
        <f t="shared" si="21"/>
        <v>2480767448</v>
      </c>
      <c r="G46" s="180">
        <f t="shared" si="21"/>
        <v>1583242661</v>
      </c>
      <c r="H46" s="180">
        <f t="shared" si="21"/>
        <v>85462886</v>
      </c>
      <c r="I46" s="180">
        <f t="shared" si="21"/>
        <v>1668705547</v>
      </c>
      <c r="J46" s="180">
        <f t="shared" ref="J46:AJ46" si="22">SUM(J42:J45)</f>
        <v>0</v>
      </c>
      <c r="K46" s="180">
        <f>SUM(K42:K45)</f>
        <v>0</v>
      </c>
      <c r="L46" s="180">
        <f t="shared" si="22"/>
        <v>291358783</v>
      </c>
      <c r="M46" s="180">
        <f>SUM(M42:M45)</f>
        <v>0</v>
      </c>
      <c r="N46" s="180">
        <f t="shared" si="22"/>
        <v>153047000</v>
      </c>
      <c r="O46" s="180">
        <f>SUM(O42:O45)</f>
        <v>0</v>
      </c>
      <c r="P46" s="180">
        <f t="shared" si="22"/>
        <v>4743857</v>
      </c>
      <c r="Q46" s="180">
        <f>SUM(Q42:Q45)</f>
        <v>4743857</v>
      </c>
      <c r="R46" s="180">
        <f t="shared" si="22"/>
        <v>0</v>
      </c>
      <c r="S46" s="180">
        <f>SUM(S42:S45)</f>
        <v>0</v>
      </c>
      <c r="T46" s="180">
        <f t="shared" si="22"/>
        <v>0</v>
      </c>
      <c r="U46" s="180">
        <f>SUM(U42:U45)</f>
        <v>0</v>
      </c>
      <c r="V46" s="180">
        <f t="shared" si="22"/>
        <v>91167000</v>
      </c>
      <c r="W46" s="180">
        <f>SUM(W42:W45)</f>
        <v>80719029</v>
      </c>
      <c r="X46" s="180">
        <f t="shared" si="22"/>
        <v>538640000</v>
      </c>
      <c r="Y46" s="180">
        <f>SUM(Y42:Y45)</f>
        <v>538640000</v>
      </c>
      <c r="Z46" s="180">
        <f t="shared" si="22"/>
        <v>179357620</v>
      </c>
      <c r="AA46" s="180">
        <f>SUM(AA42:AA45)</f>
        <v>168939620</v>
      </c>
      <c r="AB46" s="180">
        <f t="shared" si="22"/>
        <v>181675740</v>
      </c>
      <c r="AC46" s="180">
        <f>SUM(AC42:AC45)</f>
        <v>181675740</v>
      </c>
      <c r="AD46" s="180">
        <f t="shared" si="22"/>
        <v>449199000</v>
      </c>
      <c r="AE46" s="180">
        <f>SUM(AE42:AE45)</f>
        <v>266305324</v>
      </c>
      <c r="AF46" s="180">
        <f t="shared" si="22"/>
        <v>163896471</v>
      </c>
      <c r="AG46" s="180">
        <f>SUM(AG42:AG45)</f>
        <v>0</v>
      </c>
      <c r="AH46" s="180">
        <f t="shared" si="22"/>
        <v>364920047</v>
      </c>
      <c r="AI46" s="180">
        <f>SUM(AI42:AI45)</f>
        <v>364920047</v>
      </c>
      <c r="AJ46" s="454">
        <f t="shared" si="22"/>
        <v>62761930</v>
      </c>
      <c r="AK46" s="454">
        <f>SUM(AK42:AK45)</f>
        <v>62761930</v>
      </c>
      <c r="AL46" s="384"/>
    </row>
    <row r="47" spans="2:38" hidden="1" x14ac:dyDescent="0.25">
      <c r="B47" s="193" t="s">
        <v>597</v>
      </c>
      <c r="C47" s="171" t="s">
        <v>119</v>
      </c>
      <c r="D47" s="400"/>
      <c r="E47" s="400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386"/>
      <c r="AK47" s="386"/>
      <c r="AL47" s="384"/>
    </row>
    <row r="48" spans="2:38" hidden="1" x14ac:dyDescent="0.25">
      <c r="B48" s="193" t="s">
        <v>598</v>
      </c>
      <c r="C48" s="171" t="s">
        <v>121</v>
      </c>
      <c r="D48" s="400"/>
      <c r="E48" s="400"/>
      <c r="F48" s="172"/>
      <c r="G48" s="172"/>
      <c r="H48" s="172"/>
      <c r="I48" s="172"/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2"/>
      <c r="AA48" s="172"/>
      <c r="AB48" s="172"/>
      <c r="AC48" s="172"/>
      <c r="AD48" s="172"/>
      <c r="AE48" s="172"/>
      <c r="AF48" s="172"/>
      <c r="AG48" s="172"/>
      <c r="AH48" s="172"/>
      <c r="AI48" s="172"/>
      <c r="AJ48" s="386"/>
      <c r="AK48" s="386"/>
      <c r="AL48" s="384"/>
    </row>
    <row r="49" spans="2:38" ht="15.75" hidden="1" customHeight="1" x14ac:dyDescent="0.25">
      <c r="B49" s="193" t="s">
        <v>599</v>
      </c>
      <c r="C49" s="171" t="s">
        <v>123</v>
      </c>
      <c r="D49" s="400"/>
      <c r="E49" s="400"/>
      <c r="F49" s="172"/>
      <c r="G49" s="172"/>
      <c r="H49" s="172"/>
      <c r="I49" s="172"/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H49" s="172"/>
      <c r="AI49" s="172"/>
      <c r="AJ49" s="386"/>
      <c r="AK49" s="386"/>
      <c r="AL49" s="384"/>
    </row>
    <row r="50" spans="2:38" hidden="1" x14ac:dyDescent="0.25">
      <c r="B50" s="193" t="s">
        <v>124</v>
      </c>
      <c r="C50" s="171" t="s">
        <v>125</v>
      </c>
      <c r="D50" s="400"/>
      <c r="E50" s="400"/>
      <c r="F50" s="172"/>
      <c r="G50" s="172"/>
      <c r="H50" s="172"/>
      <c r="I50" s="172"/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H50" s="172"/>
      <c r="AI50" s="172"/>
      <c r="AJ50" s="386"/>
      <c r="AK50" s="386"/>
      <c r="AL50" s="384"/>
    </row>
    <row r="51" spans="2:38" ht="15" hidden="1" customHeight="1" x14ac:dyDescent="0.25">
      <c r="B51" s="193" t="s">
        <v>600</v>
      </c>
      <c r="C51" s="171" t="s">
        <v>127</v>
      </c>
      <c r="D51" s="400"/>
      <c r="E51" s="400"/>
      <c r="F51" s="172"/>
      <c r="G51" s="172"/>
      <c r="H51" s="172"/>
      <c r="I51" s="172"/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  <c r="AH51" s="172"/>
      <c r="AI51" s="172"/>
      <c r="AJ51" s="386"/>
      <c r="AK51" s="386"/>
      <c r="AL51" s="384"/>
    </row>
    <row r="52" spans="2:38" hidden="1" x14ac:dyDescent="0.25">
      <c r="B52" s="193" t="s">
        <v>601</v>
      </c>
      <c r="C52" s="171" t="s">
        <v>129</v>
      </c>
      <c r="D52" s="400"/>
      <c r="E52" s="400"/>
      <c r="F52" s="172"/>
      <c r="G52" s="172"/>
      <c r="H52" s="172"/>
      <c r="I52" s="172"/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2"/>
      <c r="AH52" s="172"/>
      <c r="AI52" s="172"/>
      <c r="AJ52" s="386"/>
      <c r="AK52" s="386"/>
      <c r="AL52" s="384"/>
    </row>
    <row r="53" spans="2:38" hidden="1" x14ac:dyDescent="0.25">
      <c r="B53" s="193" t="s">
        <v>130</v>
      </c>
      <c r="C53" s="171" t="s">
        <v>131</v>
      </c>
      <c r="D53" s="400"/>
      <c r="E53" s="400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172"/>
      <c r="Z53" s="172"/>
      <c r="AA53" s="172"/>
      <c r="AB53" s="172"/>
      <c r="AC53" s="172"/>
      <c r="AD53" s="172"/>
      <c r="AE53" s="172"/>
      <c r="AF53" s="172"/>
      <c r="AG53" s="172"/>
      <c r="AH53" s="172"/>
      <c r="AI53" s="172"/>
      <c r="AJ53" s="386"/>
      <c r="AK53" s="386"/>
      <c r="AL53" s="384"/>
    </row>
    <row r="54" spans="2:38" hidden="1" x14ac:dyDescent="0.25">
      <c r="B54" s="193" t="s">
        <v>132</v>
      </c>
      <c r="C54" s="171" t="s">
        <v>133</v>
      </c>
      <c r="D54" s="400"/>
      <c r="E54" s="400"/>
      <c r="F54" s="172"/>
      <c r="G54" s="172"/>
      <c r="H54" s="172"/>
      <c r="I54" s="172"/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2"/>
      <c r="AG54" s="172"/>
      <c r="AH54" s="172"/>
      <c r="AI54" s="172"/>
      <c r="AJ54" s="386"/>
      <c r="AK54" s="386"/>
      <c r="AL54" s="384"/>
    </row>
    <row r="55" spans="2:38" hidden="1" x14ac:dyDescent="0.25">
      <c r="B55" s="193" t="s">
        <v>134</v>
      </c>
      <c r="C55" s="171" t="s">
        <v>135</v>
      </c>
      <c r="D55" s="400"/>
      <c r="E55" s="400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2"/>
      <c r="X55" s="172"/>
      <c r="Y55" s="172"/>
      <c r="Z55" s="172"/>
      <c r="AA55" s="172"/>
      <c r="AB55" s="172"/>
      <c r="AC55" s="172"/>
      <c r="AD55" s="172"/>
      <c r="AE55" s="172"/>
      <c r="AF55" s="172"/>
      <c r="AG55" s="172"/>
      <c r="AH55" s="172"/>
      <c r="AI55" s="172"/>
      <c r="AJ55" s="386"/>
      <c r="AK55" s="386"/>
      <c r="AL55" s="384"/>
    </row>
    <row r="56" spans="2:38" s="177" customFormat="1" ht="12.75" x14ac:dyDescent="0.2">
      <c r="B56" s="184" t="s">
        <v>136</v>
      </c>
      <c r="C56" s="179" t="s">
        <v>137</v>
      </c>
      <c r="D56" s="401"/>
      <c r="E56" s="401"/>
      <c r="F56" s="180">
        <f>SUM(F47:F55)</f>
        <v>0</v>
      </c>
      <c r="G56" s="180">
        <f>SUM(G47:G55)</f>
        <v>0</v>
      </c>
      <c r="H56" s="180">
        <f>SUM(H47:H55)</f>
        <v>0</v>
      </c>
      <c r="I56" s="180">
        <f>SUM(I47:I55)</f>
        <v>0</v>
      </c>
      <c r="J56" s="180">
        <f t="shared" ref="J56:AJ56" si="23">SUM(J47:J55)</f>
        <v>0</v>
      </c>
      <c r="K56" s="180">
        <f>SUM(K47:K55)</f>
        <v>0</v>
      </c>
      <c r="L56" s="180">
        <f t="shared" si="23"/>
        <v>0</v>
      </c>
      <c r="M56" s="180">
        <f>SUM(M47:M55)</f>
        <v>0</v>
      </c>
      <c r="N56" s="180">
        <f t="shared" si="23"/>
        <v>0</v>
      </c>
      <c r="O56" s="180">
        <f>SUM(O47:O55)</f>
        <v>0</v>
      </c>
      <c r="P56" s="180">
        <f t="shared" si="23"/>
        <v>0</v>
      </c>
      <c r="Q56" s="180">
        <f>SUM(Q47:Q55)</f>
        <v>0</v>
      </c>
      <c r="R56" s="180">
        <f t="shared" si="23"/>
        <v>0</v>
      </c>
      <c r="S56" s="180">
        <f>SUM(S47:S55)</f>
        <v>0</v>
      </c>
      <c r="T56" s="180">
        <f t="shared" si="23"/>
        <v>0</v>
      </c>
      <c r="U56" s="180">
        <f>SUM(U47:U55)</f>
        <v>0</v>
      </c>
      <c r="V56" s="180">
        <f t="shared" si="23"/>
        <v>0</v>
      </c>
      <c r="W56" s="180">
        <f>SUM(W47:W55)</f>
        <v>0</v>
      </c>
      <c r="X56" s="180">
        <f t="shared" si="23"/>
        <v>0</v>
      </c>
      <c r="Y56" s="180">
        <f>SUM(Y47:Y55)</f>
        <v>0</v>
      </c>
      <c r="Z56" s="180">
        <f t="shared" si="23"/>
        <v>0</v>
      </c>
      <c r="AA56" s="180">
        <f>SUM(AA47:AA55)</f>
        <v>0</v>
      </c>
      <c r="AB56" s="180">
        <f t="shared" si="23"/>
        <v>0</v>
      </c>
      <c r="AC56" s="180">
        <f>SUM(AC47:AC55)</f>
        <v>0</v>
      </c>
      <c r="AD56" s="180">
        <f t="shared" si="23"/>
        <v>0</v>
      </c>
      <c r="AE56" s="180">
        <f>SUM(AE47:AE55)</f>
        <v>0</v>
      </c>
      <c r="AF56" s="180">
        <f t="shared" si="23"/>
        <v>0</v>
      </c>
      <c r="AG56" s="180">
        <f>SUM(AG47:AG55)</f>
        <v>0</v>
      </c>
      <c r="AH56" s="180">
        <f t="shared" si="23"/>
        <v>0</v>
      </c>
      <c r="AI56" s="180">
        <f>SUM(AI47:AI55)</f>
        <v>0</v>
      </c>
      <c r="AJ56" s="454">
        <f t="shared" si="23"/>
        <v>0</v>
      </c>
      <c r="AK56" s="454">
        <f>SUM(AK47:AK55)</f>
        <v>0</v>
      </c>
      <c r="AL56" s="384"/>
    </row>
    <row r="57" spans="2:38" x14ac:dyDescent="0.25">
      <c r="B57" s="187" t="s">
        <v>138</v>
      </c>
      <c r="C57" s="188" t="s">
        <v>139</v>
      </c>
      <c r="D57" s="189">
        <f t="shared" ref="D57:I57" si="24">+D56+D46+D41</f>
        <v>1957749232</v>
      </c>
      <c r="E57" s="189">
        <f t="shared" si="24"/>
        <v>682761621</v>
      </c>
      <c r="F57" s="189">
        <f t="shared" si="24"/>
        <v>2640510853</v>
      </c>
      <c r="G57" s="189">
        <f t="shared" si="24"/>
        <v>1755285556</v>
      </c>
      <c r="H57" s="189">
        <f t="shared" si="24"/>
        <v>460730177</v>
      </c>
      <c r="I57" s="189">
        <f t="shared" si="24"/>
        <v>2216015733</v>
      </c>
      <c r="J57" s="189">
        <f t="shared" ref="J57:AJ57" si="25">+J56+J46+J41</f>
        <v>135942004</v>
      </c>
      <c r="K57" s="189">
        <f>+K56+K46+K41</f>
        <v>136424604</v>
      </c>
      <c r="L57" s="189">
        <f t="shared" si="25"/>
        <v>291358783</v>
      </c>
      <c r="M57" s="189">
        <f>+M56+M46+M41</f>
        <v>221891739</v>
      </c>
      <c r="N57" s="189">
        <f t="shared" si="25"/>
        <v>153047000</v>
      </c>
      <c r="O57" s="189">
        <f>+O56+O46+O41</f>
        <v>0</v>
      </c>
      <c r="P57" s="189">
        <f t="shared" si="25"/>
        <v>9547714</v>
      </c>
      <c r="Q57" s="189">
        <f>+Q56+Q46+Q41</f>
        <v>9547714</v>
      </c>
      <c r="R57" s="189">
        <f t="shared" si="25"/>
        <v>1699120</v>
      </c>
      <c r="S57" s="189">
        <f>+S56+S46+S41</f>
        <v>1699120</v>
      </c>
      <c r="T57" s="189">
        <f t="shared" si="25"/>
        <v>0</v>
      </c>
      <c r="U57" s="189">
        <f>+U56+U46+U41</f>
        <v>0</v>
      </c>
      <c r="V57" s="189">
        <f t="shared" si="25"/>
        <v>91167000</v>
      </c>
      <c r="W57" s="189">
        <f>+W56+W46+W41</f>
        <v>91167000</v>
      </c>
      <c r="X57" s="189">
        <f t="shared" si="25"/>
        <v>538640000</v>
      </c>
      <c r="Y57" s="189">
        <f>+Y56+Y46+Y41</f>
        <v>538640000</v>
      </c>
      <c r="Z57" s="189">
        <f t="shared" si="25"/>
        <v>179357620</v>
      </c>
      <c r="AA57" s="189">
        <f>+AA56+AA46+AA41</f>
        <v>168939620</v>
      </c>
      <c r="AB57" s="189">
        <f t="shared" si="25"/>
        <v>181675740</v>
      </c>
      <c r="AC57" s="189">
        <f>+AC56+AC46+AC41</f>
        <v>181675740</v>
      </c>
      <c r="AD57" s="189">
        <f t="shared" si="25"/>
        <v>449199000</v>
      </c>
      <c r="AE57" s="189">
        <f>+AE56+AE46+AE41</f>
        <v>266305324</v>
      </c>
      <c r="AF57" s="189">
        <f t="shared" si="25"/>
        <v>163896471</v>
      </c>
      <c r="AG57" s="189">
        <f>+AG56+AG46+AG41</f>
        <v>154744471</v>
      </c>
      <c r="AH57" s="189">
        <f t="shared" si="25"/>
        <v>364920047</v>
      </c>
      <c r="AI57" s="189">
        <f>+AI56+AI46+AI41</f>
        <v>364920047</v>
      </c>
      <c r="AJ57" s="456">
        <f t="shared" si="25"/>
        <v>80060354</v>
      </c>
      <c r="AK57" s="456">
        <f>+AK56+AK46+AK41</f>
        <v>80060354</v>
      </c>
      <c r="AL57" s="384"/>
    </row>
    <row r="58" spans="2:38" x14ac:dyDescent="0.25">
      <c r="B58" s="194" t="s">
        <v>140</v>
      </c>
      <c r="C58" s="195" t="s">
        <v>141</v>
      </c>
      <c r="D58" s="196">
        <f t="shared" ref="D58:I58" si="26">+D56+D46+D41+D32+D17+D16+D10+D9</f>
        <v>2043806132</v>
      </c>
      <c r="E58" s="196">
        <f t="shared" si="26"/>
        <v>1306198220</v>
      </c>
      <c r="F58" s="196">
        <f t="shared" si="26"/>
        <v>3350004352</v>
      </c>
      <c r="G58" s="196">
        <f t="shared" si="26"/>
        <v>1860912456</v>
      </c>
      <c r="H58" s="196">
        <f t="shared" si="26"/>
        <v>848633820</v>
      </c>
      <c r="I58" s="196">
        <f t="shared" si="26"/>
        <v>2709546276</v>
      </c>
      <c r="J58" s="196">
        <f t="shared" ref="J58:AJ58" si="27">+J56+J46+J41+J32+J17+J16+J10+J9</f>
        <v>137198116</v>
      </c>
      <c r="K58" s="196">
        <f>+K56+K46+K41+K32+K17+K16+K10+K9</f>
        <v>137680716</v>
      </c>
      <c r="L58" s="196">
        <f t="shared" si="27"/>
        <v>316644512</v>
      </c>
      <c r="M58" s="196">
        <f>+M56+M46+M41+M32+M17+M16+M10+M9</f>
        <v>316644512</v>
      </c>
      <c r="N58" s="196">
        <f t="shared" si="27"/>
        <v>184822000</v>
      </c>
      <c r="O58" s="196">
        <f>+O56+O46+O41+O32+O17+O16+O10+O9</f>
        <v>31775000</v>
      </c>
      <c r="P58" s="196">
        <f t="shared" si="27"/>
        <v>125859881</v>
      </c>
      <c r="Q58" s="196">
        <f>+Q56+Q46+Q41+Q32+Q17+Q16+Q10+Q9</f>
        <v>117859881</v>
      </c>
      <c r="R58" s="196">
        <f t="shared" si="27"/>
        <v>409149502</v>
      </c>
      <c r="S58" s="196">
        <f>+S56+S46+S41+S32+S17+S16+S10+S9</f>
        <v>112149502</v>
      </c>
      <c r="T58" s="196">
        <f t="shared" si="27"/>
        <v>37668331</v>
      </c>
      <c r="U58" s="196">
        <f>+U56+U46+U41+U32+U17+U16+U10+U9</f>
        <v>37668331</v>
      </c>
      <c r="V58" s="196">
        <f t="shared" si="27"/>
        <v>94855878</v>
      </c>
      <c r="W58" s="196">
        <f>+W56+W46+W41+W32+W17+W16+W10+W9</f>
        <v>94855878</v>
      </c>
      <c r="X58" s="196">
        <f t="shared" si="27"/>
        <v>553840651</v>
      </c>
      <c r="Y58" s="196">
        <f>+Y56+Y46+Y41+Y32+Y17+Y16+Y10+Y9</f>
        <v>553840651</v>
      </c>
      <c r="Z58" s="196">
        <f t="shared" si="27"/>
        <v>182861489</v>
      </c>
      <c r="AA58" s="196">
        <f>+AA56+AA46+AA41+AA32+AA17+AA16+AA10+AA9</f>
        <v>182861489</v>
      </c>
      <c r="AB58" s="196">
        <f t="shared" si="27"/>
        <v>184550744</v>
      </c>
      <c r="AC58" s="196">
        <f>+AC56+AC46+AC41+AC32+AC17+AC16+AC10+AC9</f>
        <v>184550744</v>
      </c>
      <c r="AD58" s="196">
        <f t="shared" si="27"/>
        <v>489445300</v>
      </c>
      <c r="AE58" s="196">
        <f>+AE56+AE46+AE41+AE32+AE17+AE16+AE10+AE9</f>
        <v>306551624</v>
      </c>
      <c r="AF58" s="196">
        <f t="shared" si="27"/>
        <v>178245401</v>
      </c>
      <c r="AG58" s="196">
        <f>+AG56+AG46+AG41+AG32+AG17+AG16+AG10+AG9</f>
        <v>178245401</v>
      </c>
      <c r="AH58" s="196">
        <f t="shared" si="27"/>
        <v>367962547</v>
      </c>
      <c r="AI58" s="196">
        <f>+AI56+AI46+AI41+AI32+AI17+AI16+AI10+AI9</f>
        <v>367962547</v>
      </c>
      <c r="AJ58" s="457">
        <f t="shared" si="27"/>
        <v>86900000</v>
      </c>
      <c r="AK58" s="457">
        <f>+AK56+AK46+AK41+AK32+AK17+AK16+AK10+AK9</f>
        <v>86900000</v>
      </c>
      <c r="AL58" s="384"/>
    </row>
    <row r="59" spans="2:38" hidden="1" x14ac:dyDescent="0.25">
      <c r="B59" s="197" t="s">
        <v>602</v>
      </c>
      <c r="C59" s="176" t="s">
        <v>167</v>
      </c>
      <c r="D59" s="402"/>
      <c r="E59" s="402"/>
      <c r="F59" s="198"/>
      <c r="G59" s="198"/>
      <c r="H59" s="198"/>
      <c r="I59" s="198"/>
      <c r="J59" s="198"/>
      <c r="K59" s="198"/>
      <c r="L59" s="198"/>
      <c r="M59" s="198"/>
      <c r="N59" s="198"/>
      <c r="O59" s="198"/>
      <c r="P59" s="198"/>
      <c r="Q59" s="198"/>
      <c r="R59" s="198"/>
      <c r="S59" s="198"/>
      <c r="T59" s="198"/>
      <c r="U59" s="198"/>
      <c r="V59" s="198"/>
      <c r="W59" s="198"/>
      <c r="X59" s="198"/>
      <c r="Y59" s="198"/>
      <c r="Z59" s="198"/>
      <c r="AA59" s="198"/>
      <c r="AB59" s="198"/>
      <c r="AC59" s="198"/>
      <c r="AD59" s="198"/>
      <c r="AE59" s="198"/>
      <c r="AF59" s="198"/>
      <c r="AG59" s="198"/>
      <c r="AH59" s="198"/>
      <c r="AI59" s="198"/>
      <c r="AJ59" s="458"/>
      <c r="AK59" s="458"/>
      <c r="AL59" s="384"/>
    </row>
    <row r="60" spans="2:38" hidden="1" x14ac:dyDescent="0.25">
      <c r="B60" s="197" t="s">
        <v>168</v>
      </c>
      <c r="C60" s="176" t="s">
        <v>169</v>
      </c>
      <c r="D60" s="402"/>
      <c r="E60" s="402"/>
      <c r="F60" s="198"/>
      <c r="G60" s="198"/>
      <c r="H60" s="198"/>
      <c r="I60" s="198"/>
      <c r="J60" s="198"/>
      <c r="K60" s="198"/>
      <c r="L60" s="198"/>
      <c r="M60" s="198"/>
      <c r="N60" s="198"/>
      <c r="O60" s="198"/>
      <c r="P60" s="198"/>
      <c r="Q60" s="198"/>
      <c r="R60" s="198"/>
      <c r="S60" s="198"/>
      <c r="T60" s="198"/>
      <c r="U60" s="198"/>
      <c r="V60" s="198"/>
      <c r="W60" s="198"/>
      <c r="X60" s="198"/>
      <c r="Y60" s="198"/>
      <c r="Z60" s="198"/>
      <c r="AA60" s="198"/>
      <c r="AB60" s="198"/>
      <c r="AC60" s="198"/>
      <c r="AD60" s="198"/>
      <c r="AE60" s="198"/>
      <c r="AF60" s="198"/>
      <c r="AG60" s="198"/>
      <c r="AH60" s="198"/>
      <c r="AI60" s="198"/>
      <c r="AJ60" s="458"/>
      <c r="AK60" s="458"/>
      <c r="AL60" s="384"/>
    </row>
    <row r="61" spans="2:38" hidden="1" x14ac:dyDescent="0.25">
      <c r="B61" s="193" t="s">
        <v>170</v>
      </c>
      <c r="C61" s="176" t="s">
        <v>171</v>
      </c>
      <c r="D61" s="402"/>
      <c r="E61" s="402"/>
      <c r="F61" s="199"/>
      <c r="G61" s="199"/>
      <c r="H61" s="199"/>
      <c r="I61" s="199"/>
      <c r="J61" s="199"/>
      <c r="K61" s="199"/>
      <c r="L61" s="199"/>
      <c r="M61" s="199"/>
      <c r="N61" s="199"/>
      <c r="O61" s="199"/>
      <c r="P61" s="199"/>
      <c r="Q61" s="199"/>
      <c r="R61" s="199"/>
      <c r="S61" s="199"/>
      <c r="T61" s="199"/>
      <c r="U61" s="199"/>
      <c r="V61" s="199"/>
      <c r="W61" s="199"/>
      <c r="X61" s="199"/>
      <c r="Y61" s="199"/>
      <c r="Z61" s="199"/>
      <c r="AA61" s="199"/>
      <c r="AB61" s="199"/>
      <c r="AC61" s="199"/>
      <c r="AD61" s="199"/>
      <c r="AE61" s="199"/>
      <c r="AF61" s="199"/>
      <c r="AG61" s="199"/>
      <c r="AH61" s="199"/>
      <c r="AI61" s="199"/>
      <c r="AJ61" s="459"/>
      <c r="AK61" s="459"/>
      <c r="AL61" s="384"/>
    </row>
    <row r="62" spans="2:38" hidden="1" x14ac:dyDescent="0.25">
      <c r="B62" s="193" t="s">
        <v>172</v>
      </c>
      <c r="C62" s="176" t="s">
        <v>173</v>
      </c>
      <c r="D62" s="402"/>
      <c r="E62" s="402"/>
      <c r="F62" s="199"/>
      <c r="G62" s="199"/>
      <c r="H62" s="199"/>
      <c r="I62" s="199"/>
      <c r="J62" s="199"/>
      <c r="K62" s="199"/>
      <c r="L62" s="199"/>
      <c r="M62" s="199"/>
      <c r="N62" s="199"/>
      <c r="O62" s="199"/>
      <c r="P62" s="199"/>
      <c r="Q62" s="199"/>
      <c r="R62" s="199"/>
      <c r="S62" s="199"/>
      <c r="T62" s="199"/>
      <c r="U62" s="199"/>
      <c r="V62" s="199"/>
      <c r="W62" s="199"/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459"/>
      <c r="AK62" s="459"/>
      <c r="AL62" s="384"/>
    </row>
    <row r="63" spans="2:38" x14ac:dyDescent="0.25">
      <c r="B63" s="200" t="s">
        <v>174</v>
      </c>
      <c r="C63" s="201" t="s">
        <v>175</v>
      </c>
      <c r="D63" s="202">
        <f t="shared" ref="D63:I63" si="28">+D61+D60+D59</f>
        <v>0</v>
      </c>
      <c r="E63" s="202">
        <f t="shared" si="28"/>
        <v>0</v>
      </c>
      <c r="F63" s="202">
        <f t="shared" si="28"/>
        <v>0</v>
      </c>
      <c r="G63" s="202">
        <f t="shared" si="28"/>
        <v>0</v>
      </c>
      <c r="H63" s="202">
        <f t="shared" si="28"/>
        <v>0</v>
      </c>
      <c r="I63" s="202">
        <f t="shared" si="28"/>
        <v>0</v>
      </c>
      <c r="J63" s="202">
        <f t="shared" ref="J63:AJ63" si="29">+J61+J60+J59</f>
        <v>0</v>
      </c>
      <c r="K63" s="202">
        <f>+K61+K60+K59</f>
        <v>0</v>
      </c>
      <c r="L63" s="202">
        <f t="shared" si="29"/>
        <v>0</v>
      </c>
      <c r="M63" s="202">
        <f>+M61+M60+M59</f>
        <v>0</v>
      </c>
      <c r="N63" s="202">
        <f t="shared" si="29"/>
        <v>0</v>
      </c>
      <c r="O63" s="202">
        <f>+O61+O60+O59</f>
        <v>0</v>
      </c>
      <c r="P63" s="202">
        <f t="shared" si="29"/>
        <v>0</v>
      </c>
      <c r="Q63" s="202">
        <f>+Q61+Q60+Q59</f>
        <v>0</v>
      </c>
      <c r="R63" s="202">
        <f t="shared" si="29"/>
        <v>0</v>
      </c>
      <c r="S63" s="202">
        <f>+S61+S60+S59</f>
        <v>0</v>
      </c>
      <c r="T63" s="202">
        <f t="shared" si="29"/>
        <v>0</v>
      </c>
      <c r="U63" s="202">
        <f>+U61+U60+U59</f>
        <v>0</v>
      </c>
      <c r="V63" s="202">
        <f t="shared" si="29"/>
        <v>0</v>
      </c>
      <c r="W63" s="202">
        <f>+W61+W60+W59</f>
        <v>0</v>
      </c>
      <c r="X63" s="202">
        <f t="shared" si="29"/>
        <v>0</v>
      </c>
      <c r="Y63" s="202">
        <f>+Y61+Y60+Y59</f>
        <v>0</v>
      </c>
      <c r="Z63" s="202">
        <f t="shared" si="29"/>
        <v>0</v>
      </c>
      <c r="AA63" s="202">
        <f>+AA61+AA60+AA59</f>
        <v>0</v>
      </c>
      <c r="AB63" s="202">
        <f t="shared" si="29"/>
        <v>0</v>
      </c>
      <c r="AC63" s="202">
        <f>+AC61+AC60+AC59</f>
        <v>0</v>
      </c>
      <c r="AD63" s="202">
        <f t="shared" si="29"/>
        <v>0</v>
      </c>
      <c r="AE63" s="202">
        <f>+AE61+AE60+AE59</f>
        <v>0</v>
      </c>
      <c r="AF63" s="202">
        <f t="shared" si="29"/>
        <v>0</v>
      </c>
      <c r="AG63" s="202">
        <f>+AG61+AG60+AG59</f>
        <v>0</v>
      </c>
      <c r="AH63" s="202">
        <f t="shared" si="29"/>
        <v>0</v>
      </c>
      <c r="AI63" s="202">
        <f>+AI61+AI60+AI59</f>
        <v>0</v>
      </c>
      <c r="AJ63" s="460">
        <f t="shared" si="29"/>
        <v>0</v>
      </c>
      <c r="AK63" s="460">
        <f>+AK61+AK60+AK59</f>
        <v>0</v>
      </c>
      <c r="AL63" s="384"/>
    </row>
    <row r="64" spans="2:38" x14ac:dyDescent="0.25">
      <c r="B64" s="203" t="s">
        <v>176</v>
      </c>
      <c r="C64" s="203" t="s">
        <v>177</v>
      </c>
      <c r="D64" s="204">
        <f t="shared" ref="D64:I64" si="30">+D58+D63</f>
        <v>2043806132</v>
      </c>
      <c r="E64" s="204">
        <f t="shared" si="30"/>
        <v>1306198220</v>
      </c>
      <c r="F64" s="204">
        <f t="shared" si="30"/>
        <v>3350004352</v>
      </c>
      <c r="G64" s="204">
        <f t="shared" si="30"/>
        <v>1860912456</v>
      </c>
      <c r="H64" s="204">
        <f t="shared" si="30"/>
        <v>848633820</v>
      </c>
      <c r="I64" s="204">
        <f t="shared" si="30"/>
        <v>2709546276</v>
      </c>
      <c r="J64" s="204">
        <f t="shared" ref="J64:AJ64" si="31">+J58+J63</f>
        <v>137198116</v>
      </c>
      <c r="K64" s="204">
        <f>+K58+K63</f>
        <v>137680716</v>
      </c>
      <c r="L64" s="204">
        <f t="shared" si="31"/>
        <v>316644512</v>
      </c>
      <c r="M64" s="204">
        <f>+M58+M63</f>
        <v>316644512</v>
      </c>
      <c r="N64" s="204">
        <f t="shared" si="31"/>
        <v>184822000</v>
      </c>
      <c r="O64" s="204">
        <f>+O58+O63</f>
        <v>31775000</v>
      </c>
      <c r="P64" s="204">
        <f t="shared" si="31"/>
        <v>125859881</v>
      </c>
      <c r="Q64" s="204">
        <f>+Q58+Q63</f>
        <v>117859881</v>
      </c>
      <c r="R64" s="204">
        <f t="shared" si="31"/>
        <v>409149502</v>
      </c>
      <c r="S64" s="204">
        <f>+S58+S63</f>
        <v>112149502</v>
      </c>
      <c r="T64" s="204">
        <f t="shared" si="31"/>
        <v>37668331</v>
      </c>
      <c r="U64" s="204">
        <f>+U58+U63</f>
        <v>37668331</v>
      </c>
      <c r="V64" s="204">
        <f t="shared" si="31"/>
        <v>94855878</v>
      </c>
      <c r="W64" s="204">
        <f>+W58+W63</f>
        <v>94855878</v>
      </c>
      <c r="X64" s="204">
        <f t="shared" si="31"/>
        <v>553840651</v>
      </c>
      <c r="Y64" s="204">
        <f>+Y58+Y63</f>
        <v>553840651</v>
      </c>
      <c r="Z64" s="204">
        <f t="shared" si="31"/>
        <v>182861489</v>
      </c>
      <c r="AA64" s="204">
        <f>+AA58+AA63</f>
        <v>182861489</v>
      </c>
      <c r="AB64" s="204">
        <f t="shared" si="31"/>
        <v>184550744</v>
      </c>
      <c r="AC64" s="204">
        <f>+AC58+AC63</f>
        <v>184550744</v>
      </c>
      <c r="AD64" s="204">
        <f t="shared" si="31"/>
        <v>489445300</v>
      </c>
      <c r="AE64" s="204">
        <f>+AE58+AE63</f>
        <v>306551624</v>
      </c>
      <c r="AF64" s="204">
        <f t="shared" si="31"/>
        <v>178245401</v>
      </c>
      <c r="AG64" s="204">
        <f>+AG58+AG63</f>
        <v>178245401</v>
      </c>
      <c r="AH64" s="204">
        <f t="shared" si="31"/>
        <v>367962547</v>
      </c>
      <c r="AI64" s="204">
        <f>+AI58+AI63</f>
        <v>367962547</v>
      </c>
      <c r="AJ64" s="461">
        <f t="shared" si="31"/>
        <v>86900000</v>
      </c>
      <c r="AK64" s="461">
        <f>+AK58+AK63</f>
        <v>86900000</v>
      </c>
      <c r="AL64" s="384"/>
    </row>
    <row r="65" spans="2:38" s="159" customFormat="1" ht="12.75" x14ac:dyDescent="0.2">
      <c r="B65" s="205"/>
      <c r="C65" s="205"/>
      <c r="D65" s="206"/>
      <c r="E65" s="206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I65" s="206"/>
      <c r="AJ65" s="206"/>
      <c r="AK65" s="206"/>
      <c r="AL65" s="384"/>
    </row>
    <row r="66" spans="2:38" s="165" customFormat="1" ht="13.5" customHeight="1" x14ac:dyDescent="0.2">
      <c r="B66" s="166"/>
      <c r="D66" s="397"/>
      <c r="E66" s="397"/>
      <c r="G66" s="447"/>
      <c r="H66" s="447"/>
      <c r="I66" s="447"/>
      <c r="J66" s="447"/>
      <c r="K66" s="447"/>
      <c r="L66" s="447"/>
      <c r="M66" s="447"/>
      <c r="N66" s="447"/>
      <c r="O66" s="447"/>
      <c r="P66" s="447"/>
      <c r="Q66" s="447"/>
      <c r="R66" s="447"/>
      <c r="S66" s="447"/>
      <c r="T66" s="447"/>
      <c r="U66" s="447"/>
      <c r="V66" s="447"/>
      <c r="W66" s="447"/>
      <c r="X66" s="447"/>
      <c r="Y66" s="447"/>
      <c r="Z66" s="447"/>
      <c r="AA66" s="447"/>
      <c r="AB66" s="447"/>
      <c r="AC66" s="447"/>
      <c r="AD66" s="447"/>
      <c r="AE66" s="447"/>
      <c r="AF66" s="447"/>
      <c r="AG66" s="447"/>
      <c r="AH66" s="447"/>
      <c r="AI66" s="447"/>
      <c r="AJ66" s="447"/>
      <c r="AK66" s="447"/>
      <c r="AL66" s="384"/>
    </row>
    <row r="67" spans="2:38" s="168" customFormat="1" ht="117.75" hidden="1" customHeight="1" x14ac:dyDescent="0.2">
      <c r="B67" s="149" t="s">
        <v>12</v>
      </c>
      <c r="C67" s="392" t="s">
        <v>38</v>
      </c>
      <c r="D67" s="398" t="s">
        <v>562</v>
      </c>
      <c r="E67" s="398" t="s">
        <v>564</v>
      </c>
      <c r="F67" s="390" t="str">
        <f>+F6</f>
        <v>Összesen</v>
      </c>
      <c r="G67" s="390"/>
      <c r="H67" s="390"/>
      <c r="I67" s="390" t="str">
        <f>+I6</f>
        <v>Összesen</v>
      </c>
      <c r="J67" s="385" t="str">
        <f>+J6</f>
        <v>TOP-3.2.2-15-SO1-2016-00002 A barcsi fürdő gázmotoros energetikai fejlesztése     518</v>
      </c>
      <c r="K67" s="385">
        <f>+K6</f>
        <v>0</v>
      </c>
      <c r="L67" s="385" t="str">
        <f t="shared" ref="L67:AJ67" si="32">+L6</f>
        <v>Barcs Drávatamási kerékpárút 515</v>
      </c>
      <c r="M67" s="385">
        <f>+M6</f>
        <v>0</v>
      </c>
      <c r="N67" s="385" t="str">
        <f t="shared" si="32"/>
        <v>Barcs Drávaszentes kerékpárút 544</v>
      </c>
      <c r="O67" s="385">
        <f>+O6</f>
        <v>0</v>
      </c>
      <c r="P67" s="385" t="str">
        <f t="shared" si="32"/>
        <v>EFOP-1.5.3-16-2017-00055 ”Kultúrák összefogása a közösségért”        537</v>
      </c>
      <c r="Q67" s="385">
        <f>+Q6</f>
        <v>0</v>
      </c>
      <c r="R67" s="385" t="str">
        <f t="shared" si="32"/>
        <v>EFOP-1.4.2-16-2016-00004 Kezünkben a JÖVŐ- a barcsi járás integrált gyermek programja              531</v>
      </c>
      <c r="S67" s="385">
        <f>+S6</f>
        <v>0</v>
      </c>
      <c r="T67" s="385" t="str">
        <f t="shared" si="32"/>
        <v>TOP-5.1.2-15-SO1-2016-00001 Foglalkoztatási Paktum Barcs és térségében         525</v>
      </c>
      <c r="U67" s="385">
        <f>+U6</f>
        <v>0</v>
      </c>
      <c r="V67" s="385" t="str">
        <f t="shared" si="32"/>
        <v xml:space="preserve"> EFOP-2.1.2-16-2017-00004 A Barcsi járás integrált térségi gyerekprogramjához szükséges infrastruktúra kialakítása            538</v>
      </c>
      <c r="W67" s="385">
        <f>+W6</f>
        <v>0</v>
      </c>
      <c r="X67" s="385" t="str">
        <f t="shared" si="32"/>
        <v>TOP-1.1.1-16-SO1-2017-00005 Zöldmezős iparterület infrastrukturális fejlesztése Barcson           540</v>
      </c>
      <c r="Y67" s="385">
        <f>+Y6</f>
        <v>0</v>
      </c>
      <c r="Z67" s="385" t="str">
        <f t="shared" si="32"/>
        <v xml:space="preserve"> TOP-4.3.1-15-SO1-2016-00003 Barcs északnyugati városrész infrastrukturális fejlesztése    524</v>
      </c>
      <c r="AA67" s="385">
        <f>+AA6</f>
        <v>0</v>
      </c>
      <c r="AB67" s="385" t="str">
        <f t="shared" si="32"/>
        <v>TOP-4.3.1-15-SO1-2016-00002 Barcs Klapka utcai szegregátum rehabilitációja           517</v>
      </c>
      <c r="AC67" s="385">
        <f>+AC6</f>
        <v>0</v>
      </c>
      <c r="AD67" s="385" t="str">
        <f t="shared" si="32"/>
        <v>TOP-2.1.2-16-SO1-2017-00001 Zöld város fejlesztés Barcson         541</v>
      </c>
      <c r="AE67" s="385">
        <f>+AE6</f>
        <v>0</v>
      </c>
      <c r="AF67" s="385" t="str">
        <f t="shared" si="32"/>
        <v>TOP-3.1.1-15-SO1-2016-00009 Kerékpáros hálózat fejlesztése Barcson        516</v>
      </c>
      <c r="AG67" s="385">
        <f>+AG6</f>
        <v>0</v>
      </c>
      <c r="AH67" s="385" t="str">
        <f t="shared" si="32"/>
        <v>Barcs szennyvíztisztitó fejlesztés            530</v>
      </c>
      <c r="AI67" s="385">
        <f>+AI6</f>
        <v>0</v>
      </c>
      <c r="AJ67" s="385" t="str">
        <f t="shared" si="32"/>
        <v>TOP-7.1.1-16 -2016-00016 Közös Többszörös      529</v>
      </c>
      <c r="AK67" s="385">
        <f>+AK6</f>
        <v>0</v>
      </c>
      <c r="AL67" s="384"/>
    </row>
    <row r="68" spans="2:38" s="159" customFormat="1" ht="12.75" hidden="1" x14ac:dyDescent="0.2">
      <c r="B68" s="176" t="s">
        <v>603</v>
      </c>
      <c r="C68" s="191" t="s">
        <v>192</v>
      </c>
      <c r="D68" s="403"/>
      <c r="E68" s="403"/>
      <c r="F68" s="173"/>
      <c r="G68" s="173"/>
      <c r="H68" s="173"/>
      <c r="I68" s="173"/>
      <c r="J68" s="173"/>
      <c r="K68" s="173"/>
      <c r="L68" s="173"/>
      <c r="M68" s="173"/>
      <c r="N68" s="173"/>
      <c r="O68" s="173"/>
      <c r="P68" s="173"/>
      <c r="Q68" s="173"/>
      <c r="R68" s="173"/>
      <c r="S68" s="173"/>
      <c r="T68" s="173"/>
      <c r="U68" s="173"/>
      <c r="V68" s="173"/>
      <c r="W68" s="173"/>
      <c r="X68" s="173"/>
      <c r="Y68" s="173"/>
      <c r="Z68" s="173"/>
      <c r="AA68" s="173"/>
      <c r="AB68" s="173"/>
      <c r="AC68" s="173"/>
      <c r="AD68" s="173"/>
      <c r="AE68" s="173"/>
      <c r="AF68" s="173"/>
      <c r="AG68" s="173"/>
      <c r="AH68" s="173"/>
      <c r="AI68" s="173"/>
      <c r="AJ68" s="173"/>
      <c r="AK68" s="173"/>
      <c r="AL68" s="384"/>
    </row>
    <row r="69" spans="2:38" hidden="1" x14ac:dyDescent="0.25">
      <c r="B69" s="176" t="s">
        <v>193</v>
      </c>
      <c r="C69" s="191" t="s">
        <v>194</v>
      </c>
      <c r="D69" s="404"/>
      <c r="E69" s="404"/>
      <c r="F69" s="174"/>
      <c r="G69" s="174"/>
      <c r="H69" s="174"/>
      <c r="I69" s="174"/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74"/>
      <c r="AF69" s="174"/>
      <c r="AG69" s="174"/>
      <c r="AH69" s="174"/>
      <c r="AI69" s="174"/>
      <c r="AJ69" s="174"/>
      <c r="AK69" s="174"/>
      <c r="AL69" s="384"/>
    </row>
    <row r="70" spans="2:38" ht="27.75" hidden="1" customHeight="1" x14ac:dyDescent="0.25">
      <c r="B70" s="176" t="s">
        <v>604</v>
      </c>
      <c r="C70" s="191" t="s">
        <v>196</v>
      </c>
      <c r="D70" s="404"/>
      <c r="E70" s="404"/>
      <c r="F70" s="174"/>
      <c r="G70" s="174"/>
      <c r="H70" s="174"/>
      <c r="I70" s="174"/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H70" s="174"/>
      <c r="AI70" s="174"/>
      <c r="AJ70" s="174"/>
      <c r="AK70" s="174"/>
      <c r="AL70" s="384"/>
    </row>
    <row r="71" spans="2:38" ht="27.75" hidden="1" customHeight="1" x14ac:dyDescent="0.25">
      <c r="B71" s="176" t="s">
        <v>605</v>
      </c>
      <c r="C71" s="191" t="s">
        <v>198</v>
      </c>
      <c r="D71" s="404"/>
      <c r="E71" s="404"/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174"/>
      <c r="AG71" s="174"/>
      <c r="AH71" s="174"/>
      <c r="AI71" s="174"/>
      <c r="AJ71" s="174"/>
      <c r="AK71" s="174"/>
      <c r="AL71" s="384"/>
    </row>
    <row r="72" spans="2:38" ht="26.25" hidden="1" customHeight="1" x14ac:dyDescent="0.25">
      <c r="B72" s="176" t="s">
        <v>606</v>
      </c>
      <c r="C72" s="191" t="s">
        <v>200</v>
      </c>
      <c r="D72" s="412"/>
      <c r="E72" s="412"/>
      <c r="F72" s="174"/>
      <c r="G72" s="462"/>
      <c r="H72" s="462"/>
      <c r="I72" s="174"/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74"/>
      <c r="AF72" s="174"/>
      <c r="AG72" s="174"/>
      <c r="AH72" s="174"/>
      <c r="AI72" s="174"/>
      <c r="AJ72" s="462"/>
      <c r="AK72" s="462"/>
      <c r="AL72" s="384"/>
    </row>
    <row r="73" spans="2:38" x14ac:dyDescent="0.25">
      <c r="B73" s="176" t="s">
        <v>201</v>
      </c>
      <c r="C73" s="410" t="s">
        <v>202</v>
      </c>
      <c r="D73" s="413">
        <f>+Z73+AB73+AD73+AH73+AJ73+X73+AF73</f>
        <v>108191339</v>
      </c>
      <c r="E73" s="413">
        <f>+J73+L73+N73+P73+R73+T73+V73</f>
        <v>599335473</v>
      </c>
      <c r="F73" s="453">
        <f>+E73+D73</f>
        <v>707526812</v>
      </c>
      <c r="G73" s="413">
        <f>+AA73+AC73+AE73+AI73+AK73+Y73+AG73</f>
        <v>108191339</v>
      </c>
      <c r="H73" s="413">
        <f>+K73+M73+O73+Q73+S73+U73+W73</f>
        <v>117236473</v>
      </c>
      <c r="I73" s="411">
        <f>+H73+G73</f>
        <v>225427812</v>
      </c>
      <c r="J73" s="172"/>
      <c r="K73" s="172"/>
      <c r="L73" s="172"/>
      <c r="M73" s="172"/>
      <c r="N73" s="172">
        <f>+'4 Átvett és Felh bev'!E43</f>
        <v>157099000</v>
      </c>
      <c r="O73" s="172">
        <f>+'4 Átvett és Felh bev'!G43</f>
        <v>0</v>
      </c>
      <c r="P73" s="172">
        <f>+'4 Átvett és Felh bev'!E18</f>
        <v>50847755</v>
      </c>
      <c r="Q73" s="172">
        <f>+'4 Átvett és Felh bev'!G18</f>
        <v>42847755</v>
      </c>
      <c r="R73" s="172">
        <f>+'4 Átvett és Felh bev'!E19</f>
        <v>357799225</v>
      </c>
      <c r="S73" s="172">
        <f>+'4 Átvett és Felh bev'!G19</f>
        <v>60799225</v>
      </c>
      <c r="T73" s="172"/>
      <c r="U73" s="172"/>
      <c r="V73" s="172">
        <f>+'4 Átvett és Felh bev'!E42</f>
        <v>33589493</v>
      </c>
      <c r="W73" s="172">
        <f>+'4 Átvett és Felh bev'!G42</f>
        <v>13589493</v>
      </c>
      <c r="X73" s="172"/>
      <c r="Y73" s="172"/>
      <c r="Z73" s="172">
        <f>+'4 Átvett és Felh bev'!D45</f>
        <v>3503869</v>
      </c>
      <c r="AA73" s="172">
        <f>+'4 Átvett és Felh bev'!F45</f>
        <v>3503869</v>
      </c>
      <c r="AB73" s="172">
        <f>+'4 Átvett és Felh bev'!D46</f>
        <v>9750329</v>
      </c>
      <c r="AC73" s="172">
        <f>+'4 Átvett és Felh bev'!F46</f>
        <v>9750329</v>
      </c>
      <c r="AD73" s="172"/>
      <c r="AE73" s="172"/>
      <c r="AF73" s="172"/>
      <c r="AG73" s="172"/>
      <c r="AH73" s="172">
        <f>+'4 Átvett és Felh bev'!D48</f>
        <v>94937141</v>
      </c>
      <c r="AI73" s="172">
        <f>+'4 Átvett és Felh bev'!F48</f>
        <v>94937141</v>
      </c>
      <c r="AJ73" s="386"/>
      <c r="AK73" s="386"/>
      <c r="AL73" s="384"/>
    </row>
    <row r="74" spans="2:38" s="177" customFormat="1" ht="12.75" x14ac:dyDescent="0.2">
      <c r="B74" s="181" t="s">
        <v>203</v>
      </c>
      <c r="C74" s="192" t="s">
        <v>204</v>
      </c>
      <c r="D74" s="207">
        <f>+D73+D72+D71+D70+D69+D68</f>
        <v>108191339</v>
      </c>
      <c r="E74" s="207">
        <f>+E73+E72+E71+E70+E69+E68</f>
        <v>599335473</v>
      </c>
      <c r="F74" s="180">
        <f>+F73+F72+F71+F70+F69+F68</f>
        <v>707526812</v>
      </c>
      <c r="G74" s="467">
        <f>+AA74+AC74+AE74+AI74+AK74+Y74+AG74</f>
        <v>108191339</v>
      </c>
      <c r="H74" s="467">
        <f>+K74+M74+O74+Q74+S74+U74+W74</f>
        <v>117236473</v>
      </c>
      <c r="I74" s="180">
        <f>+I73+I72+I71+I70+I69+I68</f>
        <v>225427812</v>
      </c>
      <c r="J74" s="180">
        <f t="shared" ref="J74:AJ74" si="33">+J73+J72+J71+J70+J69+J68</f>
        <v>0</v>
      </c>
      <c r="K74" s="180">
        <f>+K73+K72+K71+K70+K69+K68</f>
        <v>0</v>
      </c>
      <c r="L74" s="180">
        <f t="shared" si="33"/>
        <v>0</v>
      </c>
      <c r="M74" s="180">
        <f>+M73+M72+M71+M70+M69+M68</f>
        <v>0</v>
      </c>
      <c r="N74" s="180">
        <f t="shared" si="33"/>
        <v>157099000</v>
      </c>
      <c r="O74" s="180">
        <f>+O73+O72+O71+O70+O69+O68</f>
        <v>0</v>
      </c>
      <c r="P74" s="180">
        <f t="shared" si="33"/>
        <v>50847755</v>
      </c>
      <c r="Q74" s="180">
        <f>+Q73+Q72+Q71+Q70+Q69+Q68</f>
        <v>42847755</v>
      </c>
      <c r="R74" s="180">
        <f t="shared" si="33"/>
        <v>357799225</v>
      </c>
      <c r="S74" s="180">
        <f>+S73+S72+S71+S70+S69+S68</f>
        <v>60799225</v>
      </c>
      <c r="T74" s="180">
        <f t="shared" si="33"/>
        <v>0</v>
      </c>
      <c r="U74" s="180">
        <f>+U73+U72+U71+U70+U69+U68</f>
        <v>0</v>
      </c>
      <c r="V74" s="180">
        <f t="shared" si="33"/>
        <v>33589493</v>
      </c>
      <c r="W74" s="180">
        <f>+W73+W72+W71+W70+W69+W68</f>
        <v>13589493</v>
      </c>
      <c r="X74" s="180">
        <f t="shared" si="33"/>
        <v>0</v>
      </c>
      <c r="Y74" s="180">
        <f>+Y73+Y72+Y71+Y70+Y69+Y68</f>
        <v>0</v>
      </c>
      <c r="Z74" s="180">
        <f t="shared" si="33"/>
        <v>3503869</v>
      </c>
      <c r="AA74" s="180">
        <f>+AA73+AA72+AA71+AA70+AA69+AA68</f>
        <v>3503869</v>
      </c>
      <c r="AB74" s="180">
        <f t="shared" si="33"/>
        <v>9750329</v>
      </c>
      <c r="AC74" s="180">
        <f>+AC73+AC72+AC71+AC70+AC69+AC68</f>
        <v>9750329</v>
      </c>
      <c r="AD74" s="180">
        <f t="shared" si="33"/>
        <v>0</v>
      </c>
      <c r="AE74" s="180">
        <f>+AE73+AE72+AE71+AE70+AE69+AE68</f>
        <v>0</v>
      </c>
      <c r="AF74" s="180">
        <f t="shared" si="33"/>
        <v>0</v>
      </c>
      <c r="AG74" s="180">
        <f>+AG73+AG72+AG71+AG70+AG69+AG68</f>
        <v>0</v>
      </c>
      <c r="AH74" s="180">
        <f t="shared" si="33"/>
        <v>94937141</v>
      </c>
      <c r="AI74" s="180">
        <f>+AI73+AI72+AI71+AI70+AI69+AI68</f>
        <v>94937141</v>
      </c>
      <c r="AJ74" s="454">
        <f t="shared" si="33"/>
        <v>0</v>
      </c>
      <c r="AK74" s="454">
        <f>+AK73+AK72+AK71+AK70+AK69+AK68</f>
        <v>0</v>
      </c>
      <c r="AL74" s="384"/>
    </row>
    <row r="75" spans="2:38" s="177" customFormat="1" ht="12.75" x14ac:dyDescent="0.2">
      <c r="B75" s="181" t="s">
        <v>205</v>
      </c>
      <c r="C75" s="192" t="s">
        <v>206</v>
      </c>
      <c r="D75" s="408">
        <f>+Z75+AB75+AD75+AH75+AJ75+X75+AF75</f>
        <v>198478930</v>
      </c>
      <c r="E75" s="408">
        <f>+J75+L75+N75+P75+R75+T75+V75</f>
        <v>49356000</v>
      </c>
      <c r="F75" s="391">
        <f>+E75+D75</f>
        <v>247834930</v>
      </c>
      <c r="G75" s="466">
        <f>+AA75+AC75+AE75+AI75+AK75+Y75+AG75</f>
        <v>104389930</v>
      </c>
      <c r="H75" s="466">
        <f>+K75+M75+O75+Q75+S75+U75+W75</f>
        <v>0</v>
      </c>
      <c r="I75" s="391">
        <f>+H75+G75</f>
        <v>104389930</v>
      </c>
      <c r="J75" s="182"/>
      <c r="K75" s="182"/>
      <c r="L75" s="182">
        <f>+'4 Átvett és Felh bev'!D37</f>
        <v>30874000</v>
      </c>
      <c r="M75" s="182">
        <f>+'4 Átvett és Felh bev'!F37</f>
        <v>0</v>
      </c>
      <c r="N75" s="182">
        <f>+'4 Átvett és Felh bev'!D38</f>
        <v>18482000</v>
      </c>
      <c r="O75" s="182">
        <f>+'4 Átvett és Felh bev'!F38</f>
        <v>0</v>
      </c>
      <c r="P75" s="182"/>
      <c r="Q75" s="182"/>
      <c r="R75" s="182"/>
      <c r="S75" s="182"/>
      <c r="T75" s="182"/>
      <c r="U75" s="182"/>
      <c r="V75" s="182"/>
      <c r="W75" s="182"/>
      <c r="X75" s="182"/>
      <c r="Y75" s="182"/>
      <c r="Z75" s="182"/>
      <c r="AA75" s="182"/>
      <c r="AB75" s="182"/>
      <c r="AC75" s="182"/>
      <c r="AD75" s="182"/>
      <c r="AE75" s="182"/>
      <c r="AF75" s="182">
        <f>+'4 Átvett és Felh bev'!D44</f>
        <v>17489930</v>
      </c>
      <c r="AG75" s="182">
        <f>+'4 Átvett és Felh bev'!F44</f>
        <v>17489930</v>
      </c>
      <c r="AH75" s="389">
        <f>+'4 Átvett és Felh bev'!D39</f>
        <v>94089000</v>
      </c>
      <c r="AI75" s="389">
        <f>+'4 Átvett és Felh bev'!F39</f>
        <v>0</v>
      </c>
      <c r="AJ75" s="463">
        <f>+'4 Átvett és Felh bev'!D47</f>
        <v>86900000</v>
      </c>
      <c r="AK75" s="463">
        <f>+'4 Átvett és Felh bev'!F47</f>
        <v>86900000</v>
      </c>
      <c r="AL75" s="384"/>
    </row>
    <row r="76" spans="2:38" ht="15" hidden="1" customHeight="1" x14ac:dyDescent="0.25">
      <c r="B76" s="176" t="s">
        <v>207</v>
      </c>
      <c r="C76" s="191" t="s">
        <v>208</v>
      </c>
      <c r="D76" s="404"/>
      <c r="E76" s="404"/>
      <c r="F76" s="391"/>
      <c r="G76" s="391"/>
      <c r="H76" s="391"/>
      <c r="I76" s="391"/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72"/>
      <c r="V76" s="172"/>
      <c r="W76" s="172"/>
      <c r="X76" s="172"/>
      <c r="Y76" s="172"/>
      <c r="Z76" s="172"/>
      <c r="AA76" s="172"/>
      <c r="AB76" s="172"/>
      <c r="AC76" s="172"/>
      <c r="AD76" s="172"/>
      <c r="AE76" s="172"/>
      <c r="AF76" s="172"/>
      <c r="AG76" s="172"/>
      <c r="AH76" s="172"/>
      <c r="AI76" s="172"/>
      <c r="AJ76" s="386"/>
      <c r="AK76" s="386"/>
      <c r="AL76" s="384"/>
    </row>
    <row r="77" spans="2:38" ht="15" hidden="1" customHeight="1" x14ac:dyDescent="0.25">
      <c r="B77" s="176" t="s">
        <v>209</v>
      </c>
      <c r="C77" s="191" t="s">
        <v>210</v>
      </c>
      <c r="D77" s="404"/>
      <c r="E77" s="404"/>
      <c r="F77" s="391"/>
      <c r="G77" s="391"/>
      <c r="H77" s="391"/>
      <c r="I77" s="391"/>
      <c r="J77" s="172"/>
      <c r="K77" s="172"/>
      <c r="L77" s="172"/>
      <c r="M77" s="172"/>
      <c r="N77" s="172"/>
      <c r="O77" s="172"/>
      <c r="P77" s="172"/>
      <c r="Q77" s="172"/>
      <c r="R77" s="172"/>
      <c r="S77" s="172"/>
      <c r="T77" s="172"/>
      <c r="U77" s="172"/>
      <c r="V77" s="172"/>
      <c r="W77" s="172"/>
      <c r="X77" s="172"/>
      <c r="Y77" s="172"/>
      <c r="Z77" s="172"/>
      <c r="AA77" s="172"/>
      <c r="AB77" s="172"/>
      <c r="AC77" s="172"/>
      <c r="AD77" s="172"/>
      <c r="AE77" s="172"/>
      <c r="AF77" s="172"/>
      <c r="AG77" s="172"/>
      <c r="AH77" s="172"/>
      <c r="AI77" s="172"/>
      <c r="AJ77" s="386"/>
      <c r="AK77" s="386"/>
      <c r="AL77" s="384"/>
    </row>
    <row r="78" spans="2:38" ht="15" hidden="1" customHeight="1" x14ac:dyDescent="0.25">
      <c r="B78" s="176" t="s">
        <v>211</v>
      </c>
      <c r="C78" s="191" t="s">
        <v>212</v>
      </c>
      <c r="D78" s="404"/>
      <c r="E78" s="404"/>
      <c r="F78" s="391"/>
      <c r="G78" s="391"/>
      <c r="H78" s="391"/>
      <c r="I78" s="391"/>
      <c r="J78" s="172"/>
      <c r="K78" s="172"/>
      <c r="L78" s="172"/>
      <c r="M78" s="172"/>
      <c r="N78" s="172"/>
      <c r="O78" s="172"/>
      <c r="P78" s="172"/>
      <c r="Q78" s="172"/>
      <c r="R78" s="172"/>
      <c r="S78" s="172"/>
      <c r="T78" s="172"/>
      <c r="U78" s="172"/>
      <c r="V78" s="172"/>
      <c r="W78" s="172"/>
      <c r="X78" s="172"/>
      <c r="Y78" s="172"/>
      <c r="Z78" s="172"/>
      <c r="AA78" s="172"/>
      <c r="AB78" s="172"/>
      <c r="AC78" s="172"/>
      <c r="AD78" s="172"/>
      <c r="AE78" s="172"/>
      <c r="AF78" s="172"/>
      <c r="AG78" s="172"/>
      <c r="AH78" s="172"/>
      <c r="AI78" s="172"/>
      <c r="AJ78" s="386"/>
      <c r="AK78" s="386"/>
      <c r="AL78" s="384"/>
    </row>
    <row r="79" spans="2:38" ht="15" hidden="1" customHeight="1" x14ac:dyDescent="0.25">
      <c r="B79" s="176" t="s">
        <v>213</v>
      </c>
      <c r="C79" s="191" t="s">
        <v>214</v>
      </c>
      <c r="D79" s="404"/>
      <c r="E79" s="404"/>
      <c r="F79" s="391"/>
      <c r="G79" s="391"/>
      <c r="H79" s="391"/>
      <c r="I79" s="391"/>
      <c r="J79" s="172"/>
      <c r="K79" s="172"/>
      <c r="L79" s="172"/>
      <c r="M79" s="172"/>
      <c r="N79" s="172"/>
      <c r="O79" s="172"/>
      <c r="P79" s="172"/>
      <c r="Q79" s="172"/>
      <c r="R79" s="172"/>
      <c r="S79" s="172"/>
      <c r="T79" s="172"/>
      <c r="U79" s="172"/>
      <c r="V79" s="172"/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/>
      <c r="AH79" s="172"/>
      <c r="AI79" s="172"/>
      <c r="AJ79" s="386"/>
      <c r="AK79" s="386"/>
      <c r="AL79" s="384"/>
    </row>
    <row r="80" spans="2:38" ht="15" hidden="1" customHeight="1" x14ac:dyDescent="0.25">
      <c r="B80" s="176" t="s">
        <v>215</v>
      </c>
      <c r="C80" s="191" t="s">
        <v>216</v>
      </c>
      <c r="D80" s="404"/>
      <c r="E80" s="404"/>
      <c r="F80" s="391"/>
      <c r="G80" s="391"/>
      <c r="H80" s="391"/>
      <c r="I80" s="391"/>
      <c r="J80" s="172"/>
      <c r="K80" s="172"/>
      <c r="L80" s="172"/>
      <c r="M80" s="172"/>
      <c r="N80" s="172"/>
      <c r="O80" s="172"/>
      <c r="P80" s="172"/>
      <c r="Q80" s="172"/>
      <c r="R80" s="172"/>
      <c r="S80" s="172"/>
      <c r="T80" s="172"/>
      <c r="U80" s="172"/>
      <c r="V80" s="172"/>
      <c r="W80" s="172"/>
      <c r="X80" s="172"/>
      <c r="Y80" s="172"/>
      <c r="Z80" s="172"/>
      <c r="AA80" s="172"/>
      <c r="AB80" s="172"/>
      <c r="AC80" s="172"/>
      <c r="AD80" s="172"/>
      <c r="AE80" s="172"/>
      <c r="AF80" s="172"/>
      <c r="AG80" s="172"/>
      <c r="AH80" s="172"/>
      <c r="AI80" s="172"/>
      <c r="AJ80" s="386"/>
      <c r="AK80" s="386"/>
      <c r="AL80" s="384"/>
    </row>
    <row r="81" spans="2:38" ht="15" hidden="1" customHeight="1" x14ac:dyDescent="0.25">
      <c r="B81" s="176" t="s">
        <v>217</v>
      </c>
      <c r="C81" s="191" t="s">
        <v>218</v>
      </c>
      <c r="D81" s="404"/>
      <c r="E81" s="404"/>
      <c r="F81" s="391"/>
      <c r="G81" s="391"/>
      <c r="H81" s="391"/>
      <c r="I81" s="391"/>
      <c r="J81" s="172"/>
      <c r="K81" s="172"/>
      <c r="L81" s="172"/>
      <c r="M81" s="172"/>
      <c r="N81" s="172"/>
      <c r="O81" s="172"/>
      <c r="P81" s="172"/>
      <c r="Q81" s="172"/>
      <c r="R81" s="172"/>
      <c r="S81" s="172"/>
      <c r="T81" s="172"/>
      <c r="U81" s="172"/>
      <c r="V81" s="172"/>
      <c r="W81" s="172"/>
      <c r="X81" s="172"/>
      <c r="Y81" s="172"/>
      <c r="Z81" s="172"/>
      <c r="AA81" s="172"/>
      <c r="AB81" s="172"/>
      <c r="AC81" s="172"/>
      <c r="AD81" s="172"/>
      <c r="AE81" s="172"/>
      <c r="AF81" s="172"/>
      <c r="AG81" s="172"/>
      <c r="AH81" s="172"/>
      <c r="AI81" s="172"/>
      <c r="AJ81" s="386"/>
      <c r="AK81" s="386"/>
      <c r="AL81" s="384"/>
    </row>
    <row r="82" spans="2:38" s="177" customFormat="1" ht="12.75" x14ac:dyDescent="0.2">
      <c r="B82" s="181" t="s">
        <v>219</v>
      </c>
      <c r="C82" s="192" t="s">
        <v>220</v>
      </c>
      <c r="D82" s="405"/>
      <c r="E82" s="405"/>
      <c r="F82" s="391">
        <f>SUM(J82:AJ82)</f>
        <v>0</v>
      </c>
      <c r="G82" s="391"/>
      <c r="H82" s="391"/>
      <c r="I82" s="391">
        <f>SUM(M82:AM82)</f>
        <v>0</v>
      </c>
      <c r="J82" s="180"/>
      <c r="K82" s="180"/>
      <c r="L82" s="180"/>
      <c r="M82" s="180"/>
      <c r="N82" s="180"/>
      <c r="O82" s="180"/>
      <c r="P82" s="180"/>
      <c r="Q82" s="180"/>
      <c r="R82" s="180"/>
      <c r="S82" s="180"/>
      <c r="T82" s="180"/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  <c r="AH82" s="180"/>
      <c r="AI82" s="180"/>
      <c r="AJ82" s="454"/>
      <c r="AK82" s="454"/>
      <c r="AL82" s="384"/>
    </row>
    <row r="83" spans="2:38" hidden="1" x14ac:dyDescent="0.25">
      <c r="B83" s="193" t="s">
        <v>607</v>
      </c>
      <c r="C83" s="191" t="s">
        <v>222</v>
      </c>
      <c r="D83" s="404"/>
      <c r="E83" s="404"/>
      <c r="F83" s="391"/>
      <c r="G83" s="391"/>
      <c r="H83" s="391"/>
      <c r="I83" s="391"/>
      <c r="J83" s="172"/>
      <c r="K83" s="172"/>
      <c r="L83" s="172"/>
      <c r="M83" s="172"/>
      <c r="N83" s="172"/>
      <c r="O83" s="172"/>
      <c r="P83" s="172"/>
      <c r="Q83" s="172"/>
      <c r="R83" s="172"/>
      <c r="S83" s="172"/>
      <c r="T83" s="172"/>
      <c r="U83" s="172"/>
      <c r="V83" s="172"/>
      <c r="W83" s="172"/>
      <c r="X83" s="172"/>
      <c r="Y83" s="172"/>
      <c r="Z83" s="172"/>
      <c r="AA83" s="172"/>
      <c r="AB83" s="172"/>
      <c r="AC83" s="172"/>
      <c r="AD83" s="172"/>
      <c r="AE83" s="172"/>
      <c r="AF83" s="172"/>
      <c r="AG83" s="172"/>
      <c r="AH83" s="172"/>
      <c r="AI83" s="172"/>
      <c r="AJ83" s="386"/>
      <c r="AK83" s="386"/>
      <c r="AL83" s="384"/>
    </row>
    <row r="84" spans="2:38" hidden="1" x14ac:dyDescent="0.25">
      <c r="B84" s="193" t="s">
        <v>223</v>
      </c>
      <c r="C84" s="191" t="s">
        <v>224</v>
      </c>
      <c r="D84" s="404"/>
      <c r="E84" s="404"/>
      <c r="F84" s="391"/>
      <c r="G84" s="391"/>
      <c r="H84" s="391"/>
      <c r="I84" s="391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2"/>
      <c r="U84" s="172"/>
      <c r="V84" s="172"/>
      <c r="W84" s="172"/>
      <c r="X84" s="172"/>
      <c r="Y84" s="172"/>
      <c r="Z84" s="172"/>
      <c r="AA84" s="172"/>
      <c r="AB84" s="172"/>
      <c r="AC84" s="172"/>
      <c r="AD84" s="172"/>
      <c r="AE84" s="172"/>
      <c r="AF84" s="172"/>
      <c r="AG84" s="172"/>
      <c r="AH84" s="172"/>
      <c r="AI84" s="172"/>
      <c r="AJ84" s="386"/>
      <c r="AK84" s="386"/>
      <c r="AL84" s="384"/>
    </row>
    <row r="85" spans="2:38" hidden="1" x14ac:dyDescent="0.25">
      <c r="B85" s="193" t="s">
        <v>225</v>
      </c>
      <c r="C85" s="191" t="s">
        <v>226</v>
      </c>
      <c r="D85" s="404"/>
      <c r="E85" s="404"/>
      <c r="F85" s="391"/>
      <c r="G85" s="391"/>
      <c r="H85" s="391"/>
      <c r="I85" s="391"/>
      <c r="J85" s="172"/>
      <c r="K85" s="172"/>
      <c r="L85" s="172"/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AG85" s="172"/>
      <c r="AH85" s="172"/>
      <c r="AI85" s="172"/>
      <c r="AJ85" s="386"/>
      <c r="AK85" s="386"/>
      <c r="AL85" s="384"/>
    </row>
    <row r="86" spans="2:38" ht="15" hidden="1" customHeight="1" x14ac:dyDescent="0.25">
      <c r="B86" s="193" t="s">
        <v>227</v>
      </c>
      <c r="C86" s="191" t="s">
        <v>228</v>
      </c>
      <c r="D86" s="404"/>
      <c r="E86" s="404"/>
      <c r="F86" s="391"/>
      <c r="G86" s="391"/>
      <c r="H86" s="391"/>
      <c r="I86" s="391"/>
      <c r="J86" s="172"/>
      <c r="K86" s="172"/>
      <c r="L86" s="172"/>
      <c r="M86" s="172"/>
      <c r="N86" s="172"/>
      <c r="O86" s="172"/>
      <c r="P86" s="172"/>
      <c r="Q86" s="172"/>
      <c r="R86" s="172"/>
      <c r="S86" s="172"/>
      <c r="T86" s="172"/>
      <c r="U86" s="172"/>
      <c r="V86" s="172"/>
      <c r="W86" s="172"/>
      <c r="X86" s="172"/>
      <c r="Y86" s="172"/>
      <c r="Z86" s="172"/>
      <c r="AA86" s="172"/>
      <c r="AB86" s="172"/>
      <c r="AC86" s="172"/>
      <c r="AD86" s="172"/>
      <c r="AE86" s="172"/>
      <c r="AF86" s="172"/>
      <c r="AG86" s="172"/>
      <c r="AH86" s="172"/>
      <c r="AI86" s="172"/>
      <c r="AJ86" s="386"/>
      <c r="AK86" s="386"/>
      <c r="AL86" s="384"/>
    </row>
    <row r="87" spans="2:38" ht="15" hidden="1" customHeight="1" x14ac:dyDescent="0.25">
      <c r="B87" s="193" t="s">
        <v>229</v>
      </c>
      <c r="C87" s="191" t="s">
        <v>230</v>
      </c>
      <c r="D87" s="404"/>
      <c r="E87" s="404"/>
      <c r="F87" s="391"/>
      <c r="G87" s="391"/>
      <c r="H87" s="391"/>
      <c r="I87" s="391"/>
      <c r="J87" s="172"/>
      <c r="K87" s="172"/>
      <c r="L87" s="172"/>
      <c r="M87" s="172"/>
      <c r="N87" s="172"/>
      <c r="O87" s="172"/>
      <c r="P87" s="172"/>
      <c r="Q87" s="172"/>
      <c r="R87" s="172"/>
      <c r="S87" s="172"/>
      <c r="T87" s="172"/>
      <c r="U87" s="172"/>
      <c r="V87" s="172"/>
      <c r="W87" s="172"/>
      <c r="X87" s="172"/>
      <c r="Y87" s="172"/>
      <c r="Z87" s="172"/>
      <c r="AA87" s="172"/>
      <c r="AB87" s="172"/>
      <c r="AC87" s="172"/>
      <c r="AD87" s="172"/>
      <c r="AE87" s="172"/>
      <c r="AF87" s="172"/>
      <c r="AG87" s="172"/>
      <c r="AH87" s="172"/>
      <c r="AI87" s="172"/>
      <c r="AJ87" s="386"/>
      <c r="AK87" s="386"/>
      <c r="AL87" s="384"/>
    </row>
    <row r="88" spans="2:38" hidden="1" x14ac:dyDescent="0.25">
      <c r="B88" s="193" t="s">
        <v>231</v>
      </c>
      <c r="C88" s="191" t="s">
        <v>232</v>
      </c>
      <c r="D88" s="404"/>
      <c r="E88" s="404"/>
      <c r="F88" s="391"/>
      <c r="G88" s="391"/>
      <c r="H88" s="391"/>
      <c r="I88" s="391"/>
      <c r="J88" s="172"/>
      <c r="K88" s="172"/>
      <c r="L88" s="172"/>
      <c r="M88" s="172"/>
      <c r="N88" s="172"/>
      <c r="O88" s="172"/>
      <c r="P88" s="172"/>
      <c r="Q88" s="172"/>
      <c r="R88" s="172"/>
      <c r="S88" s="172"/>
      <c r="T88" s="172"/>
      <c r="U88" s="172"/>
      <c r="V88" s="172"/>
      <c r="W88" s="172"/>
      <c r="X88" s="172"/>
      <c r="Y88" s="172"/>
      <c r="Z88" s="172"/>
      <c r="AA88" s="172"/>
      <c r="AB88" s="172"/>
      <c r="AC88" s="172"/>
      <c r="AD88" s="172"/>
      <c r="AE88" s="172"/>
      <c r="AF88" s="172"/>
      <c r="AG88" s="172"/>
      <c r="AH88" s="172"/>
      <c r="AI88" s="172"/>
      <c r="AJ88" s="386"/>
      <c r="AK88" s="386"/>
      <c r="AL88" s="384"/>
    </row>
    <row r="89" spans="2:38" hidden="1" x14ac:dyDescent="0.25">
      <c r="B89" s="193" t="s">
        <v>233</v>
      </c>
      <c r="C89" s="191" t="s">
        <v>234</v>
      </c>
      <c r="D89" s="404"/>
      <c r="E89" s="404"/>
      <c r="F89" s="391"/>
      <c r="G89" s="391"/>
      <c r="H89" s="391"/>
      <c r="I89" s="391"/>
      <c r="J89" s="172"/>
      <c r="K89" s="172"/>
      <c r="L89" s="172"/>
      <c r="M89" s="172"/>
      <c r="N89" s="172"/>
      <c r="O89" s="172"/>
      <c r="P89" s="172"/>
      <c r="Q89" s="172"/>
      <c r="R89" s="172"/>
      <c r="S89" s="172"/>
      <c r="T89" s="172"/>
      <c r="U89" s="172"/>
      <c r="V89" s="172"/>
      <c r="W89" s="172"/>
      <c r="X89" s="172"/>
      <c r="Y89" s="172"/>
      <c r="Z89" s="172"/>
      <c r="AA89" s="172"/>
      <c r="AB89" s="172"/>
      <c r="AC89" s="172"/>
      <c r="AD89" s="172"/>
      <c r="AE89" s="172"/>
      <c r="AF89" s="172"/>
      <c r="AG89" s="172"/>
      <c r="AH89" s="172"/>
      <c r="AI89" s="172"/>
      <c r="AJ89" s="386"/>
      <c r="AK89" s="386"/>
      <c r="AL89" s="384"/>
    </row>
    <row r="90" spans="2:38" hidden="1" x14ac:dyDescent="0.25">
      <c r="B90" s="193" t="s">
        <v>235</v>
      </c>
      <c r="C90" s="191" t="s">
        <v>236</v>
      </c>
      <c r="D90" s="404"/>
      <c r="E90" s="404"/>
      <c r="F90" s="391"/>
      <c r="G90" s="391"/>
      <c r="H90" s="391"/>
      <c r="I90" s="391"/>
      <c r="J90" s="172"/>
      <c r="K90" s="172"/>
      <c r="L90" s="172"/>
      <c r="M90" s="172"/>
      <c r="N90" s="172"/>
      <c r="O90" s="172"/>
      <c r="P90" s="172"/>
      <c r="Q90" s="172"/>
      <c r="R90" s="172"/>
      <c r="S90" s="172"/>
      <c r="T90" s="172"/>
      <c r="U90" s="172"/>
      <c r="V90" s="172"/>
      <c r="W90" s="172"/>
      <c r="X90" s="172"/>
      <c r="Y90" s="172"/>
      <c r="Z90" s="172"/>
      <c r="AA90" s="172"/>
      <c r="AB90" s="172"/>
      <c r="AC90" s="172"/>
      <c r="AD90" s="172"/>
      <c r="AE90" s="172"/>
      <c r="AF90" s="172"/>
      <c r="AG90" s="172"/>
      <c r="AH90" s="172"/>
      <c r="AI90" s="172"/>
      <c r="AJ90" s="386"/>
      <c r="AK90" s="386"/>
      <c r="AL90" s="384"/>
    </row>
    <row r="91" spans="2:38" hidden="1" x14ac:dyDescent="0.25">
      <c r="B91" s="193" t="s">
        <v>237</v>
      </c>
      <c r="C91" s="191" t="s">
        <v>238</v>
      </c>
      <c r="D91" s="404"/>
      <c r="E91" s="404"/>
      <c r="F91" s="391"/>
      <c r="G91" s="391"/>
      <c r="H91" s="391"/>
      <c r="I91" s="391"/>
      <c r="J91" s="172"/>
      <c r="K91" s="172"/>
      <c r="L91" s="172"/>
      <c r="M91" s="172"/>
      <c r="N91" s="172"/>
      <c r="O91" s="172"/>
      <c r="P91" s="172"/>
      <c r="Q91" s="172"/>
      <c r="R91" s="172"/>
      <c r="S91" s="172"/>
      <c r="T91" s="172"/>
      <c r="U91" s="172"/>
      <c r="V91" s="172"/>
      <c r="W91" s="172"/>
      <c r="X91" s="172"/>
      <c r="Y91" s="172"/>
      <c r="Z91" s="172"/>
      <c r="AA91" s="172"/>
      <c r="AB91" s="172"/>
      <c r="AC91" s="172"/>
      <c r="AD91" s="172"/>
      <c r="AE91" s="172"/>
      <c r="AF91" s="172"/>
      <c r="AG91" s="172"/>
      <c r="AH91" s="172"/>
      <c r="AI91" s="172"/>
      <c r="AJ91" s="386"/>
      <c r="AK91" s="386"/>
      <c r="AL91" s="384"/>
    </row>
    <row r="92" spans="2:38" hidden="1" x14ac:dyDescent="0.25">
      <c r="B92" s="193" t="s">
        <v>239</v>
      </c>
      <c r="C92" s="191" t="s">
        <v>240</v>
      </c>
      <c r="D92" s="404"/>
      <c r="E92" s="404"/>
      <c r="F92" s="391"/>
      <c r="G92" s="391"/>
      <c r="H92" s="391"/>
      <c r="I92" s="391"/>
      <c r="J92" s="172"/>
      <c r="K92" s="172"/>
      <c r="L92" s="172"/>
      <c r="M92" s="172"/>
      <c r="N92" s="172"/>
      <c r="O92" s="172"/>
      <c r="P92" s="172"/>
      <c r="Q92" s="172"/>
      <c r="R92" s="172"/>
      <c r="S92" s="172"/>
      <c r="T92" s="172"/>
      <c r="U92" s="172"/>
      <c r="V92" s="172"/>
      <c r="W92" s="172"/>
      <c r="X92" s="172"/>
      <c r="Y92" s="172"/>
      <c r="Z92" s="172"/>
      <c r="AA92" s="172"/>
      <c r="AB92" s="172"/>
      <c r="AC92" s="172"/>
      <c r="AD92" s="172"/>
      <c r="AE92" s="172"/>
      <c r="AF92" s="172"/>
      <c r="AG92" s="172"/>
      <c r="AH92" s="172"/>
      <c r="AI92" s="172"/>
      <c r="AJ92" s="386"/>
      <c r="AK92" s="386"/>
      <c r="AL92" s="384"/>
    </row>
    <row r="93" spans="2:38" hidden="1" x14ac:dyDescent="0.25">
      <c r="B93" s="193" t="s">
        <v>241</v>
      </c>
      <c r="C93" s="191" t="s">
        <v>242</v>
      </c>
      <c r="D93" s="404"/>
      <c r="E93" s="404"/>
      <c r="F93" s="391"/>
      <c r="G93" s="391"/>
      <c r="H93" s="391"/>
      <c r="I93" s="391"/>
      <c r="J93" s="172"/>
      <c r="K93" s="172"/>
      <c r="L93" s="172"/>
      <c r="M93" s="172"/>
      <c r="N93" s="172"/>
      <c r="O93" s="172"/>
      <c r="P93" s="172"/>
      <c r="Q93" s="172"/>
      <c r="R93" s="172"/>
      <c r="S93" s="172"/>
      <c r="T93" s="172"/>
      <c r="U93" s="172"/>
      <c r="V93" s="172"/>
      <c r="W93" s="172"/>
      <c r="X93" s="172"/>
      <c r="Y93" s="172"/>
      <c r="Z93" s="172"/>
      <c r="AA93" s="172"/>
      <c r="AB93" s="172"/>
      <c r="AC93" s="172"/>
      <c r="AD93" s="172"/>
      <c r="AE93" s="172"/>
      <c r="AF93" s="172"/>
      <c r="AG93" s="172"/>
      <c r="AH93" s="172"/>
      <c r="AI93" s="172"/>
      <c r="AJ93" s="386"/>
      <c r="AK93" s="386"/>
      <c r="AL93" s="384"/>
    </row>
    <row r="94" spans="2:38" s="177" customFormat="1" ht="12.75" x14ac:dyDescent="0.2">
      <c r="B94" s="184" t="s">
        <v>243</v>
      </c>
      <c r="C94" s="192" t="s">
        <v>244</v>
      </c>
      <c r="D94" s="405"/>
      <c r="E94" s="405"/>
      <c r="F94" s="391">
        <f>SUM(J94:AJ94)</f>
        <v>0</v>
      </c>
      <c r="G94" s="391"/>
      <c r="H94" s="391"/>
      <c r="I94" s="391">
        <f>SUM(M94:AM94)</f>
        <v>0</v>
      </c>
      <c r="J94" s="180">
        <f t="shared" ref="J94:AJ94" si="34">SUM(J83:J93)</f>
        <v>0</v>
      </c>
      <c r="K94" s="180">
        <f>SUM(K83:K93)</f>
        <v>0</v>
      </c>
      <c r="L94" s="180">
        <f t="shared" si="34"/>
        <v>0</v>
      </c>
      <c r="M94" s="180">
        <f>SUM(M83:M93)</f>
        <v>0</v>
      </c>
      <c r="N94" s="180">
        <f t="shared" si="34"/>
        <v>0</v>
      </c>
      <c r="O94" s="180">
        <f>SUM(O83:O93)</f>
        <v>0</v>
      </c>
      <c r="P94" s="180">
        <f t="shared" si="34"/>
        <v>0</v>
      </c>
      <c r="Q94" s="180">
        <f>SUM(Q83:Q93)</f>
        <v>0</v>
      </c>
      <c r="R94" s="180">
        <f t="shared" si="34"/>
        <v>0</v>
      </c>
      <c r="S94" s="180"/>
      <c r="T94" s="180">
        <f t="shared" si="34"/>
        <v>0</v>
      </c>
      <c r="U94" s="180">
        <f>SUM(U83:U93)</f>
        <v>0</v>
      </c>
      <c r="V94" s="180">
        <f t="shared" si="34"/>
        <v>0</v>
      </c>
      <c r="W94" s="180"/>
      <c r="X94" s="180">
        <f t="shared" si="34"/>
        <v>0</v>
      </c>
      <c r="Y94" s="180">
        <f>SUM(Y83:Y93)</f>
        <v>0</v>
      </c>
      <c r="Z94" s="180">
        <f t="shared" si="34"/>
        <v>0</v>
      </c>
      <c r="AA94" s="180"/>
      <c r="AB94" s="180">
        <f t="shared" si="34"/>
        <v>0</v>
      </c>
      <c r="AC94" s="180">
        <f>SUM(AC83:AC93)</f>
        <v>0</v>
      </c>
      <c r="AD94" s="180">
        <f t="shared" si="34"/>
        <v>0</v>
      </c>
      <c r="AE94" s="180">
        <f>SUM(AE83:AE93)</f>
        <v>0</v>
      </c>
      <c r="AF94" s="180">
        <f t="shared" si="34"/>
        <v>0</v>
      </c>
      <c r="AG94" s="180">
        <f>SUM(AG83:AG93)</f>
        <v>0</v>
      </c>
      <c r="AH94" s="180">
        <f t="shared" si="34"/>
        <v>0</v>
      </c>
      <c r="AI94" s="180">
        <f>SUM(AI83:AI93)</f>
        <v>0</v>
      </c>
      <c r="AJ94" s="454">
        <f t="shared" si="34"/>
        <v>0</v>
      </c>
      <c r="AK94" s="454"/>
      <c r="AL94" s="384"/>
    </row>
    <row r="95" spans="2:38" hidden="1" x14ac:dyDescent="0.25">
      <c r="B95" s="193" t="s">
        <v>245</v>
      </c>
      <c r="C95" s="191" t="s">
        <v>246</v>
      </c>
      <c r="D95" s="404"/>
      <c r="E95" s="404"/>
      <c r="F95" s="391"/>
      <c r="G95" s="391"/>
      <c r="H95" s="391"/>
      <c r="I95" s="391"/>
      <c r="J95" s="172"/>
      <c r="K95" s="172"/>
      <c r="L95" s="172"/>
      <c r="M95" s="172"/>
      <c r="N95" s="172"/>
      <c r="O95" s="172"/>
      <c r="P95" s="172"/>
      <c r="Q95" s="172"/>
      <c r="R95" s="172"/>
      <c r="S95" s="172"/>
      <c r="T95" s="172"/>
      <c r="U95" s="172"/>
      <c r="V95" s="172"/>
      <c r="W95" s="172"/>
      <c r="X95" s="172"/>
      <c r="Y95" s="172"/>
      <c r="Z95" s="172"/>
      <c r="AA95" s="172"/>
      <c r="AB95" s="172"/>
      <c r="AC95" s="172"/>
      <c r="AD95" s="172"/>
      <c r="AE95" s="172"/>
      <c r="AF95" s="172"/>
      <c r="AG95" s="172"/>
      <c r="AH95" s="172"/>
      <c r="AI95" s="172"/>
      <c r="AJ95" s="386"/>
      <c r="AK95" s="386"/>
      <c r="AL95" s="384"/>
    </row>
    <row r="96" spans="2:38" hidden="1" x14ac:dyDescent="0.25">
      <c r="B96" s="193" t="s">
        <v>247</v>
      </c>
      <c r="C96" s="191" t="s">
        <v>248</v>
      </c>
      <c r="D96" s="404"/>
      <c r="E96" s="404"/>
      <c r="F96" s="391"/>
      <c r="G96" s="391"/>
      <c r="H96" s="391"/>
      <c r="I96" s="391"/>
      <c r="J96" s="172"/>
      <c r="K96" s="172"/>
      <c r="L96" s="172"/>
      <c r="M96" s="172"/>
      <c r="N96" s="172"/>
      <c r="O96" s="172"/>
      <c r="P96" s="172"/>
      <c r="Q96" s="172"/>
      <c r="R96" s="172"/>
      <c r="S96" s="172"/>
      <c r="T96" s="172"/>
      <c r="U96" s="172"/>
      <c r="V96" s="172"/>
      <c r="W96" s="172"/>
      <c r="X96" s="172"/>
      <c r="Y96" s="172"/>
      <c r="Z96" s="172"/>
      <c r="AA96" s="172"/>
      <c r="AB96" s="172"/>
      <c r="AC96" s="172"/>
      <c r="AD96" s="172"/>
      <c r="AE96" s="172"/>
      <c r="AF96" s="172"/>
      <c r="AG96" s="172"/>
      <c r="AH96" s="172"/>
      <c r="AI96" s="172"/>
      <c r="AJ96" s="386"/>
      <c r="AK96" s="386"/>
      <c r="AL96" s="384"/>
    </row>
    <row r="97" spans="2:38" hidden="1" x14ac:dyDescent="0.25">
      <c r="B97" s="193" t="s">
        <v>249</v>
      </c>
      <c r="C97" s="191" t="s">
        <v>250</v>
      </c>
      <c r="D97" s="404"/>
      <c r="E97" s="404"/>
      <c r="F97" s="391"/>
      <c r="G97" s="391"/>
      <c r="H97" s="391"/>
      <c r="I97" s="391"/>
      <c r="J97" s="172"/>
      <c r="K97" s="172"/>
      <c r="L97" s="172"/>
      <c r="M97" s="172"/>
      <c r="N97" s="172"/>
      <c r="O97" s="172"/>
      <c r="P97" s="172"/>
      <c r="Q97" s="172"/>
      <c r="R97" s="172"/>
      <c r="S97" s="172"/>
      <c r="T97" s="172"/>
      <c r="U97" s="172"/>
      <c r="V97" s="172"/>
      <c r="W97" s="172"/>
      <c r="X97" s="172"/>
      <c r="Y97" s="172"/>
      <c r="Z97" s="172"/>
      <c r="AA97" s="172"/>
      <c r="AB97" s="172"/>
      <c r="AC97" s="172"/>
      <c r="AD97" s="172"/>
      <c r="AE97" s="172"/>
      <c r="AF97" s="172"/>
      <c r="AG97" s="172"/>
      <c r="AH97" s="172"/>
      <c r="AI97" s="172"/>
      <c r="AJ97" s="386"/>
      <c r="AK97" s="386"/>
      <c r="AL97" s="384"/>
    </row>
    <row r="98" spans="2:38" hidden="1" x14ac:dyDescent="0.25">
      <c r="B98" s="193" t="s">
        <v>251</v>
      </c>
      <c r="C98" s="191" t="s">
        <v>252</v>
      </c>
      <c r="D98" s="404"/>
      <c r="E98" s="404"/>
      <c r="F98" s="391"/>
      <c r="G98" s="391"/>
      <c r="H98" s="391"/>
      <c r="I98" s="391"/>
      <c r="J98" s="172"/>
      <c r="K98" s="172"/>
      <c r="L98" s="172"/>
      <c r="M98" s="172"/>
      <c r="N98" s="172"/>
      <c r="O98" s="172"/>
      <c r="P98" s="172"/>
      <c r="Q98" s="172"/>
      <c r="R98" s="172"/>
      <c r="S98" s="172"/>
      <c r="T98" s="172"/>
      <c r="U98" s="172"/>
      <c r="V98" s="172"/>
      <c r="W98" s="172"/>
      <c r="X98" s="172"/>
      <c r="Y98" s="172"/>
      <c r="Z98" s="172"/>
      <c r="AA98" s="172"/>
      <c r="AB98" s="172"/>
      <c r="AC98" s="172"/>
      <c r="AD98" s="172"/>
      <c r="AE98" s="172"/>
      <c r="AF98" s="172"/>
      <c r="AG98" s="172"/>
      <c r="AH98" s="172"/>
      <c r="AI98" s="172"/>
      <c r="AJ98" s="386"/>
      <c r="AK98" s="386"/>
      <c r="AL98" s="384"/>
    </row>
    <row r="99" spans="2:38" hidden="1" x14ac:dyDescent="0.25">
      <c r="B99" s="193" t="s">
        <v>253</v>
      </c>
      <c r="C99" s="191" t="s">
        <v>254</v>
      </c>
      <c r="D99" s="404"/>
      <c r="E99" s="404"/>
      <c r="F99" s="391"/>
      <c r="G99" s="391"/>
      <c r="H99" s="391"/>
      <c r="I99" s="391"/>
      <c r="J99" s="172"/>
      <c r="K99" s="172"/>
      <c r="L99" s="172"/>
      <c r="M99" s="172"/>
      <c r="N99" s="172"/>
      <c r="O99" s="172"/>
      <c r="P99" s="172"/>
      <c r="Q99" s="172"/>
      <c r="R99" s="172"/>
      <c r="S99" s="172"/>
      <c r="T99" s="172"/>
      <c r="U99" s="172"/>
      <c r="V99" s="172"/>
      <c r="W99" s="172"/>
      <c r="X99" s="172"/>
      <c r="Y99" s="172"/>
      <c r="Z99" s="172"/>
      <c r="AA99" s="172"/>
      <c r="AB99" s="172"/>
      <c r="AC99" s="172"/>
      <c r="AD99" s="172"/>
      <c r="AE99" s="172"/>
      <c r="AF99" s="172"/>
      <c r="AG99" s="172"/>
      <c r="AH99" s="172"/>
      <c r="AI99" s="172"/>
      <c r="AJ99" s="386"/>
      <c r="AK99" s="386"/>
      <c r="AL99" s="384"/>
    </row>
    <row r="100" spans="2:38" s="177" customFormat="1" ht="12.75" x14ac:dyDescent="0.2">
      <c r="B100" s="181" t="s">
        <v>255</v>
      </c>
      <c r="C100" s="192" t="s">
        <v>256</v>
      </c>
      <c r="D100" s="405"/>
      <c r="E100" s="405"/>
      <c r="F100" s="391">
        <f>SUM(J100:AJ100)</f>
        <v>0</v>
      </c>
      <c r="G100" s="391"/>
      <c r="H100" s="391"/>
      <c r="I100" s="391">
        <f>SUM(M100:AM100)</f>
        <v>0</v>
      </c>
      <c r="J100" s="180">
        <f t="shared" ref="J100:AJ100" si="35">SUM(J95:J99)</f>
        <v>0</v>
      </c>
      <c r="K100" s="180">
        <f>SUM(K95:K99)</f>
        <v>0</v>
      </c>
      <c r="L100" s="180">
        <f t="shared" si="35"/>
        <v>0</v>
      </c>
      <c r="M100" s="180"/>
      <c r="N100" s="180">
        <f t="shared" si="35"/>
        <v>0</v>
      </c>
      <c r="O100" s="180">
        <f>SUM(O95:O99)</f>
        <v>0</v>
      </c>
      <c r="P100" s="180">
        <f t="shared" si="35"/>
        <v>0</v>
      </c>
      <c r="Q100" s="180">
        <f>SUM(Q95:Q99)</f>
        <v>0</v>
      </c>
      <c r="R100" s="180">
        <f t="shared" si="35"/>
        <v>0</v>
      </c>
      <c r="S100" s="180"/>
      <c r="T100" s="180">
        <f t="shared" si="35"/>
        <v>0</v>
      </c>
      <c r="U100" s="180">
        <f>SUM(U95:U99)</f>
        <v>0</v>
      </c>
      <c r="V100" s="180">
        <f t="shared" si="35"/>
        <v>0</v>
      </c>
      <c r="W100" s="180"/>
      <c r="X100" s="180">
        <f t="shared" si="35"/>
        <v>0</v>
      </c>
      <c r="Y100" s="180">
        <f>SUM(Y95:Y99)</f>
        <v>0</v>
      </c>
      <c r="Z100" s="180">
        <f t="shared" si="35"/>
        <v>0</v>
      </c>
      <c r="AA100" s="180"/>
      <c r="AB100" s="180">
        <f t="shared" si="35"/>
        <v>0</v>
      </c>
      <c r="AC100" s="180">
        <f>SUM(AC95:AC99)</f>
        <v>0</v>
      </c>
      <c r="AD100" s="180">
        <f t="shared" si="35"/>
        <v>0</v>
      </c>
      <c r="AE100" s="180">
        <f>SUM(AE95:AE99)</f>
        <v>0</v>
      </c>
      <c r="AF100" s="180">
        <f t="shared" si="35"/>
        <v>0</v>
      </c>
      <c r="AG100" s="180">
        <f>SUM(AG95:AG99)</f>
        <v>0</v>
      </c>
      <c r="AH100" s="180">
        <f t="shared" si="35"/>
        <v>0</v>
      </c>
      <c r="AI100" s="180">
        <f>SUM(AI95:AI99)</f>
        <v>0</v>
      </c>
      <c r="AJ100" s="454">
        <f t="shared" si="35"/>
        <v>0</v>
      </c>
      <c r="AK100" s="454"/>
      <c r="AL100" s="384"/>
    </row>
    <row r="101" spans="2:38" s="177" customFormat="1" ht="12.75" x14ac:dyDescent="0.2">
      <c r="B101" s="181" t="s">
        <v>257</v>
      </c>
      <c r="C101" s="192" t="s">
        <v>258</v>
      </c>
      <c r="D101" s="405"/>
      <c r="E101" s="405"/>
      <c r="F101" s="391">
        <f>SUM(J101:AJ101)</f>
        <v>0</v>
      </c>
      <c r="G101" s="391"/>
      <c r="H101" s="391"/>
      <c r="I101" s="391">
        <f>SUM(M101:AM101)</f>
        <v>0</v>
      </c>
      <c r="J101" s="182"/>
      <c r="K101" s="182"/>
      <c r="L101" s="182"/>
      <c r="M101" s="182"/>
      <c r="N101" s="182"/>
      <c r="O101" s="182"/>
      <c r="P101" s="182"/>
      <c r="Q101" s="182"/>
      <c r="R101" s="182"/>
      <c r="S101" s="182"/>
      <c r="T101" s="182"/>
      <c r="U101" s="182"/>
      <c r="V101" s="182"/>
      <c r="W101" s="182"/>
      <c r="X101" s="182"/>
      <c r="Y101" s="182"/>
      <c r="Z101" s="182"/>
      <c r="AA101" s="182"/>
      <c r="AB101" s="182"/>
      <c r="AC101" s="182"/>
      <c r="AD101" s="182"/>
      <c r="AE101" s="182"/>
      <c r="AF101" s="182"/>
      <c r="AG101" s="182"/>
      <c r="AH101" s="182"/>
      <c r="AI101" s="182"/>
      <c r="AJ101" s="455"/>
      <c r="AK101" s="455"/>
      <c r="AL101" s="384"/>
    </row>
    <row r="102" spans="2:38" ht="27" hidden="1" customHeight="1" x14ac:dyDescent="0.25">
      <c r="B102" s="193" t="s">
        <v>608</v>
      </c>
      <c r="C102" s="191" t="s">
        <v>260</v>
      </c>
      <c r="D102" s="404"/>
      <c r="E102" s="404"/>
      <c r="F102" s="391"/>
      <c r="G102" s="391"/>
      <c r="H102" s="391"/>
      <c r="I102" s="391"/>
      <c r="J102" s="172"/>
      <c r="K102" s="172"/>
      <c r="L102" s="172"/>
      <c r="M102" s="172"/>
      <c r="N102" s="172"/>
      <c r="O102" s="172"/>
      <c r="P102" s="172"/>
      <c r="Q102" s="172"/>
      <c r="R102" s="172"/>
      <c r="S102" s="172"/>
      <c r="T102" s="172"/>
      <c r="U102" s="172"/>
      <c r="V102" s="172"/>
      <c r="W102" s="172"/>
      <c r="X102" s="172"/>
      <c r="Y102" s="172"/>
      <c r="Z102" s="172"/>
      <c r="AA102" s="172"/>
      <c r="AB102" s="172"/>
      <c r="AC102" s="172"/>
      <c r="AD102" s="172"/>
      <c r="AE102" s="172"/>
      <c r="AF102" s="172"/>
      <c r="AG102" s="172"/>
      <c r="AH102" s="172"/>
      <c r="AI102" s="172"/>
      <c r="AJ102" s="386"/>
      <c r="AK102" s="386"/>
      <c r="AL102" s="384"/>
    </row>
    <row r="103" spans="2:38" hidden="1" x14ac:dyDescent="0.25">
      <c r="B103" s="176" t="s">
        <v>609</v>
      </c>
      <c r="C103" s="191" t="s">
        <v>262</v>
      </c>
      <c r="D103" s="404"/>
      <c r="E103" s="404"/>
      <c r="F103" s="391"/>
      <c r="G103" s="391"/>
      <c r="H103" s="391"/>
      <c r="I103" s="391"/>
      <c r="J103" s="172"/>
      <c r="K103" s="172"/>
      <c r="L103" s="172"/>
      <c r="M103" s="172"/>
      <c r="N103" s="172"/>
      <c r="O103" s="172"/>
      <c r="P103" s="172"/>
      <c r="Q103" s="172"/>
      <c r="R103" s="172"/>
      <c r="S103" s="172"/>
      <c r="T103" s="172"/>
      <c r="U103" s="172"/>
      <c r="V103" s="172"/>
      <c r="W103" s="172"/>
      <c r="X103" s="172"/>
      <c r="Y103" s="172"/>
      <c r="Z103" s="172"/>
      <c r="AA103" s="172"/>
      <c r="AB103" s="172"/>
      <c r="AC103" s="172"/>
      <c r="AD103" s="172"/>
      <c r="AE103" s="172"/>
      <c r="AF103" s="172"/>
      <c r="AG103" s="172"/>
      <c r="AH103" s="172"/>
      <c r="AI103" s="172"/>
      <c r="AJ103" s="386"/>
      <c r="AK103" s="386"/>
      <c r="AL103" s="384"/>
    </row>
    <row r="104" spans="2:38" ht="27" hidden="1" customHeight="1" x14ac:dyDescent="0.25">
      <c r="B104" s="193" t="s">
        <v>263</v>
      </c>
      <c r="C104" s="191" t="s">
        <v>264</v>
      </c>
      <c r="D104" s="404"/>
      <c r="E104" s="404"/>
      <c r="F104" s="391"/>
      <c r="G104" s="391"/>
      <c r="H104" s="391"/>
      <c r="I104" s="391"/>
      <c r="J104" s="172"/>
      <c r="K104" s="172"/>
      <c r="L104" s="172"/>
      <c r="M104" s="172"/>
      <c r="N104" s="172"/>
      <c r="O104" s="172"/>
      <c r="P104" s="172"/>
      <c r="Q104" s="172"/>
      <c r="R104" s="172"/>
      <c r="S104" s="172"/>
      <c r="T104" s="172"/>
      <c r="U104" s="172"/>
      <c r="V104" s="172"/>
      <c r="W104" s="172"/>
      <c r="X104" s="172"/>
      <c r="Y104" s="172"/>
      <c r="Z104" s="172"/>
      <c r="AA104" s="172"/>
      <c r="AB104" s="172"/>
      <c r="AC104" s="172"/>
      <c r="AD104" s="172"/>
      <c r="AE104" s="172"/>
      <c r="AF104" s="172"/>
      <c r="AG104" s="172"/>
      <c r="AH104" s="172"/>
      <c r="AI104" s="172"/>
      <c r="AJ104" s="386"/>
      <c r="AK104" s="386"/>
      <c r="AL104" s="384"/>
    </row>
    <row r="105" spans="2:38" ht="27" hidden="1" customHeight="1" x14ac:dyDescent="0.25">
      <c r="B105" s="193" t="s">
        <v>610</v>
      </c>
      <c r="C105" s="191" t="s">
        <v>266</v>
      </c>
      <c r="D105" s="404"/>
      <c r="E105" s="404"/>
      <c r="F105" s="391"/>
      <c r="G105" s="391"/>
      <c r="H105" s="391"/>
      <c r="I105" s="391"/>
      <c r="J105" s="172"/>
      <c r="K105" s="172"/>
      <c r="L105" s="172"/>
      <c r="M105" s="172"/>
      <c r="N105" s="172"/>
      <c r="O105" s="172"/>
      <c r="P105" s="172"/>
      <c r="Q105" s="172"/>
      <c r="R105" s="172"/>
      <c r="S105" s="172"/>
      <c r="T105" s="172"/>
      <c r="U105" s="172"/>
      <c r="V105" s="172"/>
      <c r="W105" s="172"/>
      <c r="X105" s="172"/>
      <c r="Y105" s="172"/>
      <c r="Z105" s="172"/>
      <c r="AA105" s="172"/>
      <c r="AB105" s="172"/>
      <c r="AC105" s="172"/>
      <c r="AD105" s="172"/>
      <c r="AE105" s="172"/>
      <c r="AF105" s="172"/>
      <c r="AG105" s="172"/>
      <c r="AH105" s="172"/>
      <c r="AI105" s="172"/>
      <c r="AJ105" s="386"/>
      <c r="AK105" s="386"/>
      <c r="AL105" s="384"/>
    </row>
    <row r="106" spans="2:38" ht="15" hidden="1" customHeight="1" x14ac:dyDescent="0.25">
      <c r="B106" s="193" t="s">
        <v>267</v>
      </c>
      <c r="C106" s="191" t="s">
        <v>268</v>
      </c>
      <c r="D106" s="404"/>
      <c r="E106" s="404"/>
      <c r="F106" s="391"/>
      <c r="G106" s="391"/>
      <c r="H106" s="391"/>
      <c r="I106" s="391"/>
      <c r="J106" s="172"/>
      <c r="K106" s="172"/>
      <c r="L106" s="172"/>
      <c r="M106" s="172"/>
      <c r="N106" s="172"/>
      <c r="O106" s="172"/>
      <c r="P106" s="172"/>
      <c r="Q106" s="172"/>
      <c r="R106" s="172"/>
      <c r="S106" s="172"/>
      <c r="T106" s="172"/>
      <c r="U106" s="172"/>
      <c r="V106" s="172"/>
      <c r="W106" s="172"/>
      <c r="X106" s="172"/>
      <c r="Y106" s="172"/>
      <c r="Z106" s="172"/>
      <c r="AA106" s="172"/>
      <c r="AB106" s="172"/>
      <c r="AC106" s="172"/>
      <c r="AD106" s="172"/>
      <c r="AE106" s="172"/>
      <c r="AF106" s="172"/>
      <c r="AG106" s="172"/>
      <c r="AH106" s="172"/>
      <c r="AI106" s="172"/>
      <c r="AJ106" s="386"/>
      <c r="AK106" s="386"/>
      <c r="AL106" s="384"/>
    </row>
    <row r="107" spans="2:38" s="177" customFormat="1" ht="12.75" x14ac:dyDescent="0.2">
      <c r="B107" s="181" t="s">
        <v>269</v>
      </c>
      <c r="C107" s="192" t="s">
        <v>270</v>
      </c>
      <c r="D107" s="405"/>
      <c r="E107" s="405"/>
      <c r="F107" s="391">
        <f>SUM(J107:AJ107)</f>
        <v>0</v>
      </c>
      <c r="G107" s="391"/>
      <c r="H107" s="391"/>
      <c r="I107" s="391">
        <f>SUM(M107:AM107)</f>
        <v>0</v>
      </c>
      <c r="J107" s="180">
        <f t="shared" ref="J107:AJ107" si="36">SUM(J102:J106)</f>
        <v>0</v>
      </c>
      <c r="K107" s="180">
        <f>SUM(K102:K106)</f>
        <v>0</v>
      </c>
      <c r="L107" s="180">
        <f t="shared" si="36"/>
        <v>0</v>
      </c>
      <c r="M107" s="180"/>
      <c r="N107" s="180">
        <f t="shared" si="36"/>
        <v>0</v>
      </c>
      <c r="O107" s="180"/>
      <c r="P107" s="180">
        <f t="shared" si="36"/>
        <v>0</v>
      </c>
      <c r="Q107" s="180"/>
      <c r="R107" s="180">
        <f t="shared" si="36"/>
        <v>0</v>
      </c>
      <c r="S107" s="180"/>
      <c r="T107" s="180">
        <f t="shared" si="36"/>
        <v>0</v>
      </c>
      <c r="U107" s="180">
        <f>SUM(U102:U106)</f>
        <v>0</v>
      </c>
      <c r="V107" s="180">
        <f t="shared" si="36"/>
        <v>0</v>
      </c>
      <c r="W107" s="180"/>
      <c r="X107" s="180">
        <f t="shared" si="36"/>
        <v>0</v>
      </c>
      <c r="Y107" s="180">
        <f>SUM(Y102:Y106)</f>
        <v>0</v>
      </c>
      <c r="Z107" s="180">
        <f t="shared" si="36"/>
        <v>0</v>
      </c>
      <c r="AA107" s="180"/>
      <c r="AB107" s="180">
        <f t="shared" si="36"/>
        <v>0</v>
      </c>
      <c r="AC107" s="180">
        <f>SUM(AC102:AC106)</f>
        <v>0</v>
      </c>
      <c r="AD107" s="180">
        <f t="shared" si="36"/>
        <v>0</v>
      </c>
      <c r="AE107" s="180">
        <f>SUM(AE102:AE106)</f>
        <v>0</v>
      </c>
      <c r="AF107" s="180">
        <f t="shared" si="36"/>
        <v>0</v>
      </c>
      <c r="AG107" s="180">
        <f>SUM(AG102:AG106)</f>
        <v>0</v>
      </c>
      <c r="AH107" s="180">
        <f t="shared" si="36"/>
        <v>0</v>
      </c>
      <c r="AI107" s="180">
        <f>SUM(AI102:AI106)</f>
        <v>0</v>
      </c>
      <c r="AJ107" s="454">
        <f t="shared" si="36"/>
        <v>0</v>
      </c>
      <c r="AK107" s="454"/>
      <c r="AL107" s="384"/>
    </row>
    <row r="108" spans="2:38" x14ac:dyDescent="0.25">
      <c r="B108" s="208" t="s">
        <v>271</v>
      </c>
      <c r="C108" s="194" t="s">
        <v>272</v>
      </c>
      <c r="D108" s="196">
        <f t="shared" ref="D108:AK108" si="37">+D107+D101+D100+D94+D82+D75+D74</f>
        <v>306670269</v>
      </c>
      <c r="E108" s="196">
        <f t="shared" si="37"/>
        <v>648691473</v>
      </c>
      <c r="F108" s="196">
        <f t="shared" si="37"/>
        <v>955361742</v>
      </c>
      <c r="G108" s="196">
        <f t="shared" si="37"/>
        <v>212581269</v>
      </c>
      <c r="H108" s="196">
        <f t="shared" si="37"/>
        <v>117236473</v>
      </c>
      <c r="I108" s="196">
        <f>+I107+I101+I100+I94+I82+I75+I74</f>
        <v>329817742</v>
      </c>
      <c r="J108" s="196">
        <f t="shared" si="37"/>
        <v>0</v>
      </c>
      <c r="K108" s="196">
        <f t="shared" si="37"/>
        <v>0</v>
      </c>
      <c r="L108" s="196">
        <f t="shared" si="37"/>
        <v>30874000</v>
      </c>
      <c r="M108" s="196">
        <f t="shared" si="37"/>
        <v>0</v>
      </c>
      <c r="N108" s="196">
        <f t="shared" si="37"/>
        <v>175581000</v>
      </c>
      <c r="O108" s="196">
        <f t="shared" si="37"/>
        <v>0</v>
      </c>
      <c r="P108" s="196">
        <f t="shared" si="37"/>
        <v>50847755</v>
      </c>
      <c r="Q108" s="196">
        <f t="shared" si="37"/>
        <v>42847755</v>
      </c>
      <c r="R108" s="196">
        <f t="shared" si="37"/>
        <v>357799225</v>
      </c>
      <c r="S108" s="196">
        <f t="shared" si="37"/>
        <v>60799225</v>
      </c>
      <c r="T108" s="196">
        <f t="shared" si="37"/>
        <v>0</v>
      </c>
      <c r="U108" s="196">
        <f t="shared" si="37"/>
        <v>0</v>
      </c>
      <c r="V108" s="196">
        <f t="shared" si="37"/>
        <v>33589493</v>
      </c>
      <c r="W108" s="196">
        <f t="shared" si="37"/>
        <v>13589493</v>
      </c>
      <c r="X108" s="196">
        <f t="shared" si="37"/>
        <v>0</v>
      </c>
      <c r="Y108" s="196">
        <f t="shared" si="37"/>
        <v>0</v>
      </c>
      <c r="Z108" s="196">
        <f t="shared" si="37"/>
        <v>3503869</v>
      </c>
      <c r="AA108" s="196">
        <f t="shared" si="37"/>
        <v>3503869</v>
      </c>
      <c r="AB108" s="196">
        <f t="shared" si="37"/>
        <v>9750329</v>
      </c>
      <c r="AC108" s="196">
        <f t="shared" si="37"/>
        <v>9750329</v>
      </c>
      <c r="AD108" s="196">
        <f t="shared" si="37"/>
        <v>0</v>
      </c>
      <c r="AE108" s="196">
        <f t="shared" si="37"/>
        <v>0</v>
      </c>
      <c r="AF108" s="196">
        <f t="shared" si="37"/>
        <v>17489930</v>
      </c>
      <c r="AG108" s="196">
        <f t="shared" si="37"/>
        <v>17489930</v>
      </c>
      <c r="AH108" s="196">
        <f t="shared" si="37"/>
        <v>189026141</v>
      </c>
      <c r="AI108" s="196">
        <f t="shared" si="37"/>
        <v>94937141</v>
      </c>
      <c r="AJ108" s="196">
        <f t="shared" si="37"/>
        <v>86900000</v>
      </c>
      <c r="AK108" s="196">
        <f t="shared" si="37"/>
        <v>86900000</v>
      </c>
      <c r="AL108" s="384"/>
    </row>
    <row r="109" spans="2:38" hidden="1" x14ac:dyDescent="0.25">
      <c r="B109" s="209" t="s">
        <v>273</v>
      </c>
      <c r="C109" s="210"/>
      <c r="D109" s="406"/>
      <c r="E109" s="406"/>
      <c r="F109" s="211"/>
      <c r="G109" s="211"/>
      <c r="H109" s="211"/>
      <c r="I109" s="211"/>
      <c r="J109" s="211">
        <f t="shared" ref="J109:AJ109" si="38">+J101+J94+J82+J74-J33</f>
        <v>-1256112</v>
      </c>
      <c r="K109" s="211">
        <f>+K101+K94+K82+K74-K33</f>
        <v>-1256112</v>
      </c>
      <c r="L109" s="211">
        <f t="shared" si="38"/>
        <v>-25285729</v>
      </c>
      <c r="M109" s="211"/>
      <c r="N109" s="211">
        <f t="shared" si="38"/>
        <v>125324000</v>
      </c>
      <c r="O109" s="211"/>
      <c r="P109" s="211">
        <f t="shared" si="38"/>
        <v>-65464412</v>
      </c>
      <c r="Q109" s="211"/>
      <c r="R109" s="211">
        <f t="shared" si="38"/>
        <v>-49651157</v>
      </c>
      <c r="S109" s="211"/>
      <c r="T109" s="211">
        <f t="shared" si="38"/>
        <v>-37668331</v>
      </c>
      <c r="U109" s="211">
        <f>+U101+U94+U82+U74-U33</f>
        <v>-37668331</v>
      </c>
      <c r="V109" s="211">
        <f t="shared" si="38"/>
        <v>29900615</v>
      </c>
      <c r="W109" s="211"/>
      <c r="X109" s="211">
        <f t="shared" si="38"/>
        <v>-15200651</v>
      </c>
      <c r="Y109" s="211">
        <f>+Y101+Y94+Y82+Y74-Y33</f>
        <v>-15200651</v>
      </c>
      <c r="Z109" s="211">
        <f t="shared" si="38"/>
        <v>0</v>
      </c>
      <c r="AA109" s="211"/>
      <c r="AB109" s="211">
        <f t="shared" si="38"/>
        <v>6875325</v>
      </c>
      <c r="AC109" s="211">
        <f>+AC101+AC94+AC82+AC74-AC33</f>
        <v>6875325</v>
      </c>
      <c r="AD109" s="211">
        <f t="shared" si="38"/>
        <v>-40246300</v>
      </c>
      <c r="AE109" s="211">
        <f>+AE101+AE94+AE82+AE74-AE33</f>
        <v>-40246300</v>
      </c>
      <c r="AF109" s="211">
        <f t="shared" si="38"/>
        <v>-14348930</v>
      </c>
      <c r="AG109" s="211">
        <f>+AG101+AG94+AG82+AG74-AG33</f>
        <v>-23500930</v>
      </c>
      <c r="AH109" s="211">
        <f t="shared" si="38"/>
        <v>91894641</v>
      </c>
      <c r="AI109" s="211">
        <f>+AI101+AI94+AI82+AI74-AI33</f>
        <v>91894641</v>
      </c>
      <c r="AJ109" s="464">
        <f t="shared" si="38"/>
        <v>-6839646</v>
      </c>
      <c r="AK109" s="464"/>
      <c r="AL109" s="384"/>
    </row>
    <row r="110" spans="2:38" hidden="1" x14ac:dyDescent="0.25">
      <c r="B110" s="209" t="s">
        <v>274</v>
      </c>
      <c r="C110" s="210"/>
      <c r="D110" s="406"/>
      <c r="E110" s="406"/>
      <c r="F110" s="211"/>
      <c r="G110" s="211"/>
      <c r="H110" s="211"/>
      <c r="I110" s="211"/>
      <c r="J110" s="211">
        <f t="shared" ref="J110:AJ110" si="39">+J107+J100+J75-J57</f>
        <v>-135942004</v>
      </c>
      <c r="K110" s="211">
        <f>+K107+K100+K75-K57</f>
        <v>-136424604</v>
      </c>
      <c r="L110" s="211">
        <f t="shared" si="39"/>
        <v>-260484783</v>
      </c>
      <c r="M110" s="211"/>
      <c r="N110" s="211">
        <f t="shared" si="39"/>
        <v>-134565000</v>
      </c>
      <c r="O110" s="211"/>
      <c r="P110" s="211">
        <f t="shared" si="39"/>
        <v>-9547714</v>
      </c>
      <c r="Q110" s="211"/>
      <c r="R110" s="211">
        <f t="shared" si="39"/>
        <v>-1699120</v>
      </c>
      <c r="S110" s="211"/>
      <c r="T110" s="211">
        <f t="shared" si="39"/>
        <v>0</v>
      </c>
      <c r="U110" s="211">
        <f>+U107+U100+U75-U57</f>
        <v>0</v>
      </c>
      <c r="V110" s="211">
        <f t="shared" si="39"/>
        <v>-91167000</v>
      </c>
      <c r="W110" s="211"/>
      <c r="X110" s="211">
        <f t="shared" si="39"/>
        <v>-538640000</v>
      </c>
      <c r="Y110" s="211">
        <f>+Y107+Y100+Y75-Y57</f>
        <v>-538640000</v>
      </c>
      <c r="Z110" s="211">
        <f t="shared" si="39"/>
        <v>-179357620</v>
      </c>
      <c r="AA110" s="211"/>
      <c r="AB110" s="211">
        <f t="shared" si="39"/>
        <v>-181675740</v>
      </c>
      <c r="AC110" s="211">
        <f>+AC107+AC100+AC75-AC57</f>
        <v>-181675740</v>
      </c>
      <c r="AD110" s="211">
        <f t="shared" si="39"/>
        <v>-449199000</v>
      </c>
      <c r="AE110" s="211">
        <f>+AE107+AE100+AE75-AE57</f>
        <v>-266305324</v>
      </c>
      <c r="AF110" s="211">
        <f t="shared" si="39"/>
        <v>-146406541</v>
      </c>
      <c r="AG110" s="211">
        <f>+AG107+AG100+AG75-AG57</f>
        <v>-137254541</v>
      </c>
      <c r="AH110" s="211">
        <f t="shared" si="39"/>
        <v>-270831047</v>
      </c>
      <c r="AI110" s="211">
        <f>+AI107+AI100+AI75-AI57</f>
        <v>-364920047</v>
      </c>
      <c r="AJ110" s="464">
        <f t="shared" si="39"/>
        <v>6839646</v>
      </c>
      <c r="AK110" s="464"/>
      <c r="AL110" s="384"/>
    </row>
    <row r="111" spans="2:38" hidden="1" x14ac:dyDescent="0.25">
      <c r="B111" s="212" t="s">
        <v>611</v>
      </c>
      <c r="C111" s="213" t="s">
        <v>282</v>
      </c>
      <c r="D111" s="407"/>
      <c r="E111" s="407"/>
      <c r="F111" s="174"/>
      <c r="G111" s="174"/>
      <c r="H111" s="174"/>
      <c r="I111" s="174"/>
      <c r="J111" s="174"/>
      <c r="K111" s="174"/>
      <c r="L111" s="174"/>
      <c r="M111" s="174"/>
      <c r="N111" s="174"/>
      <c r="O111" s="174"/>
      <c r="P111" s="174"/>
      <c r="Q111" s="174"/>
      <c r="R111" s="174"/>
      <c r="S111" s="174"/>
      <c r="T111" s="174"/>
      <c r="U111" s="174"/>
      <c r="V111" s="174"/>
      <c r="W111" s="174"/>
      <c r="X111" s="174"/>
      <c r="Y111" s="174"/>
      <c r="Z111" s="174"/>
      <c r="AA111" s="174"/>
      <c r="AB111" s="174"/>
      <c r="AC111" s="174"/>
      <c r="AD111" s="174"/>
      <c r="AE111" s="174"/>
      <c r="AF111" s="174"/>
      <c r="AG111" s="174"/>
      <c r="AH111" s="174"/>
      <c r="AI111" s="174"/>
      <c r="AJ111" s="465"/>
      <c r="AK111" s="465"/>
      <c r="AL111" s="384"/>
    </row>
    <row r="112" spans="2:38" hidden="1" x14ac:dyDescent="0.25">
      <c r="B112" s="214" t="s">
        <v>612</v>
      </c>
      <c r="C112" s="213" t="s">
        <v>292</v>
      </c>
      <c r="D112" s="407"/>
      <c r="E112" s="407"/>
      <c r="F112" s="174"/>
      <c r="G112" s="174"/>
      <c r="H112" s="174"/>
      <c r="I112" s="174"/>
      <c r="J112" s="174"/>
      <c r="K112" s="174"/>
      <c r="L112" s="174"/>
      <c r="M112" s="174"/>
      <c r="N112" s="174"/>
      <c r="O112" s="174"/>
      <c r="P112" s="174"/>
      <c r="Q112" s="174"/>
      <c r="R112" s="174"/>
      <c r="S112" s="174"/>
      <c r="T112" s="174"/>
      <c r="U112" s="174"/>
      <c r="V112" s="174"/>
      <c r="W112" s="174"/>
      <c r="X112" s="174"/>
      <c r="Y112" s="174"/>
      <c r="Z112" s="174"/>
      <c r="AA112" s="174"/>
      <c r="AB112" s="174"/>
      <c r="AC112" s="174"/>
      <c r="AD112" s="174"/>
      <c r="AE112" s="174"/>
      <c r="AF112" s="174"/>
      <c r="AG112" s="174"/>
      <c r="AH112" s="174"/>
      <c r="AI112" s="174"/>
      <c r="AJ112" s="465"/>
      <c r="AK112" s="465"/>
      <c r="AL112" s="384"/>
    </row>
    <row r="113" spans="2:38" x14ac:dyDescent="0.25">
      <c r="B113" s="176" t="s">
        <v>293</v>
      </c>
      <c r="C113" s="176" t="s">
        <v>294</v>
      </c>
      <c r="D113" s="399">
        <f>+Z113+AB113+AD113+AH113+AJ113+X113+AF113</f>
        <v>0</v>
      </c>
      <c r="E113" s="399">
        <f>+J113+L113+N113+P113+R113+T113+V113</f>
        <v>164030734</v>
      </c>
      <c r="F113" s="172">
        <f>+E113+D113</f>
        <v>164030734</v>
      </c>
      <c r="G113" s="399">
        <f t="shared" ref="G113:G122" si="40">+AA113+AC113+AE113+AI113+AK113+Y113+AG113</f>
        <v>0</v>
      </c>
      <c r="H113" s="399">
        <f t="shared" ref="H113:H122" si="41">+K113+M113+O113+Q113+S113+U113+W113</f>
        <v>164030734</v>
      </c>
      <c r="I113" s="172">
        <f>+H113+G113</f>
        <v>164030734</v>
      </c>
      <c r="J113" s="172"/>
      <c r="K113" s="172"/>
      <c r="L113" s="172"/>
      <c r="M113" s="172"/>
      <c r="N113" s="172"/>
      <c r="O113" s="172"/>
      <c r="P113" s="172">
        <v>75012126</v>
      </c>
      <c r="Q113" s="172">
        <v>75012126</v>
      </c>
      <c r="R113" s="172">
        <v>51350277</v>
      </c>
      <c r="S113" s="172">
        <v>51350277</v>
      </c>
      <c r="T113" s="172">
        <v>37668331</v>
      </c>
      <c r="U113" s="172">
        <v>37668331</v>
      </c>
      <c r="V113" s="172"/>
      <c r="W113" s="172"/>
      <c r="X113" s="172"/>
      <c r="Y113" s="172"/>
      <c r="Z113" s="172"/>
      <c r="AA113" s="172"/>
      <c r="AB113" s="172"/>
      <c r="AC113" s="172"/>
      <c r="AD113" s="172"/>
      <c r="AE113" s="172"/>
      <c r="AF113" s="172"/>
      <c r="AG113" s="172"/>
      <c r="AH113" s="172">
        <v>0</v>
      </c>
      <c r="AI113" s="172">
        <v>0</v>
      </c>
      <c r="AJ113" s="386">
        <v>0</v>
      </c>
      <c r="AK113" s="386"/>
      <c r="AL113" s="384"/>
    </row>
    <row r="114" spans="2:38" ht="21.75" customHeight="1" x14ac:dyDescent="0.25">
      <c r="B114" s="176" t="s">
        <v>613</v>
      </c>
      <c r="C114" s="176" t="s">
        <v>294</v>
      </c>
      <c r="D114" s="399">
        <f>+Z114+AB114+AD114+AH114+AJ114+X114+AF114</f>
        <v>1737135863</v>
      </c>
      <c r="E114" s="399">
        <f>+J114+L114+N114+P114+R114+T114+V114</f>
        <v>458733230</v>
      </c>
      <c r="F114" s="172">
        <f>+E114+D114</f>
        <v>2195869093</v>
      </c>
      <c r="G114" s="399">
        <f t="shared" si="40"/>
        <v>1737135863</v>
      </c>
      <c r="H114" s="399">
        <f t="shared" si="41"/>
        <v>458733230</v>
      </c>
      <c r="I114" s="172">
        <f>+H114+G114</f>
        <v>2195869093</v>
      </c>
      <c r="J114" s="172">
        <v>137198116</v>
      </c>
      <c r="K114" s="172">
        <v>137198116</v>
      </c>
      <c r="L114" s="172">
        <v>260268729</v>
      </c>
      <c r="M114" s="172">
        <v>260268729</v>
      </c>
      <c r="N114" s="172"/>
      <c r="O114" s="172"/>
      <c r="P114" s="172"/>
      <c r="Q114" s="172"/>
      <c r="R114" s="172"/>
      <c r="S114" s="172"/>
      <c r="T114" s="172"/>
      <c r="U114" s="172"/>
      <c r="V114" s="172">
        <v>61266385</v>
      </c>
      <c r="W114" s="172">
        <v>61266385</v>
      </c>
      <c r="X114" s="172">
        <v>553840651</v>
      </c>
      <c r="Y114" s="172">
        <v>553840651</v>
      </c>
      <c r="Z114" s="172">
        <v>179357620</v>
      </c>
      <c r="AA114" s="172">
        <v>179357620</v>
      </c>
      <c r="AB114" s="172">
        <v>174800415</v>
      </c>
      <c r="AC114" s="172">
        <v>174800415</v>
      </c>
      <c r="AD114" s="172">
        <v>489445300</v>
      </c>
      <c r="AE114" s="172">
        <v>489445300</v>
      </c>
      <c r="AF114" s="172">
        <v>160755471</v>
      </c>
      <c r="AG114" s="172">
        <v>160755471</v>
      </c>
      <c r="AH114" s="172">
        <v>178936406</v>
      </c>
      <c r="AI114" s="172">
        <v>178936406</v>
      </c>
      <c r="AJ114" s="386"/>
      <c r="AK114" s="386"/>
      <c r="AL114" s="384"/>
    </row>
    <row r="115" spans="2:38" hidden="1" x14ac:dyDescent="0.25">
      <c r="B115" s="176" t="s">
        <v>296</v>
      </c>
      <c r="C115" s="176" t="s">
        <v>297</v>
      </c>
      <c r="D115" s="402"/>
      <c r="E115" s="402"/>
      <c r="F115" s="172">
        <f>SUM(J115:AJ115)</f>
        <v>0</v>
      </c>
      <c r="G115" s="399">
        <f t="shared" si="40"/>
        <v>0</v>
      </c>
      <c r="H115" s="399">
        <f t="shared" si="41"/>
        <v>0</v>
      </c>
      <c r="I115" s="172">
        <f>SUM(M115:AM115)</f>
        <v>0</v>
      </c>
      <c r="J115" s="172"/>
      <c r="K115" s="172"/>
      <c r="L115" s="172"/>
      <c r="M115" s="172"/>
      <c r="N115" s="172"/>
      <c r="O115" s="172"/>
      <c r="P115" s="172"/>
      <c r="Q115" s="172"/>
      <c r="R115" s="172"/>
      <c r="S115" s="172"/>
      <c r="T115" s="172"/>
      <c r="U115" s="172"/>
      <c r="V115" s="172"/>
      <c r="W115" s="172"/>
      <c r="X115" s="172"/>
      <c r="Y115" s="172"/>
      <c r="Z115" s="172"/>
      <c r="AA115" s="172"/>
      <c r="AB115" s="172"/>
      <c r="AC115" s="172"/>
      <c r="AD115" s="172"/>
      <c r="AE115" s="172"/>
      <c r="AF115" s="172"/>
      <c r="AG115" s="172"/>
      <c r="AH115" s="172"/>
      <c r="AI115" s="172"/>
      <c r="AJ115" s="386"/>
      <c r="AK115" s="386"/>
      <c r="AL115" s="384"/>
    </row>
    <row r="116" spans="2:38" hidden="1" x14ac:dyDescent="0.25">
      <c r="B116" s="176" t="s">
        <v>614</v>
      </c>
      <c r="C116" s="176" t="s">
        <v>297</v>
      </c>
      <c r="D116" s="402"/>
      <c r="E116" s="402"/>
      <c r="F116" s="172"/>
      <c r="G116" s="399">
        <f t="shared" si="40"/>
        <v>0</v>
      </c>
      <c r="H116" s="399">
        <f t="shared" si="41"/>
        <v>0</v>
      </c>
      <c r="I116" s="172"/>
      <c r="J116" s="172"/>
      <c r="K116" s="172"/>
      <c r="L116" s="172"/>
      <c r="M116" s="172"/>
      <c r="N116" s="172"/>
      <c r="O116" s="172"/>
      <c r="P116" s="172"/>
      <c r="Q116" s="172"/>
      <c r="R116" s="172"/>
      <c r="S116" s="172"/>
      <c r="T116" s="172"/>
      <c r="U116" s="172"/>
      <c r="V116" s="172"/>
      <c r="W116" s="172"/>
      <c r="X116" s="172"/>
      <c r="Y116" s="172"/>
      <c r="Z116" s="172"/>
      <c r="AA116" s="172"/>
      <c r="AB116" s="172"/>
      <c r="AC116" s="172"/>
      <c r="AD116" s="172"/>
      <c r="AE116" s="172"/>
      <c r="AF116" s="172"/>
      <c r="AG116" s="172"/>
      <c r="AH116" s="172"/>
      <c r="AI116" s="172"/>
      <c r="AJ116" s="386"/>
      <c r="AK116" s="386"/>
      <c r="AL116" s="384"/>
    </row>
    <row r="117" spans="2:38" x14ac:dyDescent="0.25">
      <c r="B117" s="213" t="s">
        <v>299</v>
      </c>
      <c r="C117" s="213" t="s">
        <v>300</v>
      </c>
      <c r="D117" s="174">
        <f t="shared" ref="D117:I117" si="42">SUM(D113:D116)</f>
        <v>1737135863</v>
      </c>
      <c r="E117" s="174">
        <f t="shared" si="42"/>
        <v>622763964</v>
      </c>
      <c r="F117" s="174">
        <f t="shared" si="42"/>
        <v>2359899827</v>
      </c>
      <c r="G117" s="174">
        <f t="shared" si="42"/>
        <v>1737135863</v>
      </c>
      <c r="H117" s="174">
        <f t="shared" si="42"/>
        <v>622763964</v>
      </c>
      <c r="I117" s="174">
        <f t="shared" si="42"/>
        <v>2359899827</v>
      </c>
      <c r="J117" s="174">
        <f t="shared" ref="J117:AK117" si="43">SUM(J113:J116)</f>
        <v>137198116</v>
      </c>
      <c r="K117" s="174">
        <f t="shared" si="43"/>
        <v>137198116</v>
      </c>
      <c r="L117" s="174">
        <f t="shared" si="43"/>
        <v>260268729</v>
      </c>
      <c r="M117" s="174">
        <f t="shared" si="43"/>
        <v>260268729</v>
      </c>
      <c r="N117" s="174">
        <f t="shared" si="43"/>
        <v>0</v>
      </c>
      <c r="O117" s="174">
        <f t="shared" si="43"/>
        <v>0</v>
      </c>
      <c r="P117" s="174">
        <f t="shared" si="43"/>
        <v>75012126</v>
      </c>
      <c r="Q117" s="174">
        <f t="shared" si="43"/>
        <v>75012126</v>
      </c>
      <c r="R117" s="174">
        <f t="shared" si="43"/>
        <v>51350277</v>
      </c>
      <c r="S117" s="174">
        <f t="shared" si="43"/>
        <v>51350277</v>
      </c>
      <c r="T117" s="174">
        <f t="shared" si="43"/>
        <v>37668331</v>
      </c>
      <c r="U117" s="174">
        <f t="shared" si="43"/>
        <v>37668331</v>
      </c>
      <c r="V117" s="174">
        <f t="shared" si="43"/>
        <v>61266385</v>
      </c>
      <c r="W117" s="174">
        <f t="shared" si="43"/>
        <v>61266385</v>
      </c>
      <c r="X117" s="174">
        <f t="shared" si="43"/>
        <v>553840651</v>
      </c>
      <c r="Y117" s="174">
        <f t="shared" si="43"/>
        <v>553840651</v>
      </c>
      <c r="Z117" s="174">
        <f t="shared" si="43"/>
        <v>179357620</v>
      </c>
      <c r="AA117" s="174">
        <f t="shared" si="43"/>
        <v>179357620</v>
      </c>
      <c r="AB117" s="174">
        <f t="shared" si="43"/>
        <v>174800415</v>
      </c>
      <c r="AC117" s="174">
        <f t="shared" si="43"/>
        <v>174800415</v>
      </c>
      <c r="AD117" s="174">
        <f t="shared" si="43"/>
        <v>489445300</v>
      </c>
      <c r="AE117" s="174">
        <f t="shared" si="43"/>
        <v>489445300</v>
      </c>
      <c r="AF117" s="174">
        <f t="shared" si="43"/>
        <v>160755471</v>
      </c>
      <c r="AG117" s="174">
        <f t="shared" si="43"/>
        <v>160755471</v>
      </c>
      <c r="AH117" s="174">
        <f t="shared" si="43"/>
        <v>178936406</v>
      </c>
      <c r="AI117" s="174">
        <f t="shared" si="43"/>
        <v>178936406</v>
      </c>
      <c r="AJ117" s="174">
        <f t="shared" si="43"/>
        <v>0</v>
      </c>
      <c r="AK117" s="174">
        <f t="shared" si="43"/>
        <v>0</v>
      </c>
      <c r="AL117" s="384"/>
    </row>
    <row r="118" spans="2:38" hidden="1" x14ac:dyDescent="0.25">
      <c r="B118" s="197" t="s">
        <v>301</v>
      </c>
      <c r="C118" s="176" t="s">
        <v>302</v>
      </c>
      <c r="D118" s="402"/>
      <c r="E118" s="402"/>
      <c r="F118" s="172"/>
      <c r="G118" s="399">
        <f t="shared" si="40"/>
        <v>0</v>
      </c>
      <c r="H118" s="399">
        <f t="shared" si="41"/>
        <v>0</v>
      </c>
      <c r="I118" s="172"/>
      <c r="J118" s="172"/>
      <c r="K118" s="172"/>
      <c r="L118" s="172"/>
      <c r="M118" s="172"/>
      <c r="N118" s="172"/>
      <c r="O118" s="172"/>
      <c r="P118" s="172"/>
      <c r="Q118" s="172"/>
      <c r="R118" s="172"/>
      <c r="S118" s="172"/>
      <c r="T118" s="172"/>
      <c r="U118" s="172"/>
      <c r="V118" s="172"/>
      <c r="W118" s="172"/>
      <c r="X118" s="172"/>
      <c r="Y118" s="172"/>
      <c r="Z118" s="172"/>
      <c r="AA118" s="172"/>
      <c r="AB118" s="172"/>
      <c r="AC118" s="172"/>
      <c r="AD118" s="172"/>
      <c r="AE118" s="172"/>
      <c r="AF118" s="172"/>
      <c r="AG118" s="172"/>
      <c r="AH118" s="172"/>
      <c r="AI118" s="172"/>
      <c r="AJ118" s="386"/>
      <c r="AK118" s="386"/>
      <c r="AL118" s="384"/>
    </row>
    <row r="119" spans="2:38" hidden="1" x14ac:dyDescent="0.25">
      <c r="B119" s="197" t="s">
        <v>303</v>
      </c>
      <c r="C119" s="176" t="s">
        <v>304</v>
      </c>
      <c r="D119" s="402"/>
      <c r="E119" s="402"/>
      <c r="F119" s="172"/>
      <c r="G119" s="399">
        <f t="shared" si="40"/>
        <v>0</v>
      </c>
      <c r="H119" s="399">
        <f t="shared" si="41"/>
        <v>0</v>
      </c>
      <c r="I119" s="172"/>
      <c r="J119" s="172"/>
      <c r="K119" s="172"/>
      <c r="L119" s="172"/>
      <c r="M119" s="172"/>
      <c r="N119" s="172"/>
      <c r="O119" s="172"/>
      <c r="P119" s="172"/>
      <c r="Q119" s="172"/>
      <c r="R119" s="172"/>
      <c r="S119" s="172"/>
      <c r="T119" s="172"/>
      <c r="U119" s="172"/>
      <c r="V119" s="172"/>
      <c r="W119" s="172"/>
      <c r="X119" s="172"/>
      <c r="Y119" s="172"/>
      <c r="Z119" s="172"/>
      <c r="AA119" s="172"/>
      <c r="AB119" s="172"/>
      <c r="AC119" s="172"/>
      <c r="AD119" s="172"/>
      <c r="AE119" s="172"/>
      <c r="AF119" s="172"/>
      <c r="AG119" s="172"/>
      <c r="AH119" s="172"/>
      <c r="AI119" s="172"/>
      <c r="AJ119" s="386"/>
      <c r="AK119" s="386"/>
      <c r="AL119" s="384"/>
    </row>
    <row r="120" spans="2:38" x14ac:dyDescent="0.25">
      <c r="B120" s="197" t="s">
        <v>305</v>
      </c>
      <c r="C120" s="176" t="s">
        <v>306</v>
      </c>
      <c r="D120" s="402"/>
      <c r="E120" s="402"/>
      <c r="F120" s="172"/>
      <c r="G120" s="399">
        <f t="shared" si="40"/>
        <v>0</v>
      </c>
      <c r="H120" s="399">
        <f t="shared" si="41"/>
        <v>0</v>
      </c>
      <c r="I120" s="172"/>
      <c r="J120" s="172"/>
      <c r="K120" s="172"/>
      <c r="L120" s="172"/>
      <c r="M120" s="172"/>
      <c r="N120" s="172"/>
      <c r="O120" s="172"/>
      <c r="P120" s="172"/>
      <c r="Q120" s="172"/>
      <c r="R120" s="172"/>
      <c r="S120" s="172"/>
      <c r="T120" s="172"/>
      <c r="U120" s="172"/>
      <c r="V120" s="172"/>
      <c r="W120" s="172"/>
      <c r="X120" s="172"/>
      <c r="Y120" s="172"/>
      <c r="Z120" s="172"/>
      <c r="AA120" s="172"/>
      <c r="AB120" s="172"/>
      <c r="AC120" s="172"/>
      <c r="AD120" s="172"/>
      <c r="AE120" s="172"/>
      <c r="AF120" s="172"/>
      <c r="AG120" s="172"/>
      <c r="AH120" s="172"/>
      <c r="AI120" s="172"/>
      <c r="AJ120" s="386"/>
      <c r="AK120" s="386"/>
      <c r="AL120" s="384"/>
    </row>
    <row r="121" spans="2:38" x14ac:dyDescent="0.25">
      <c r="B121" s="215" t="s">
        <v>615</v>
      </c>
      <c r="C121" s="176" t="s">
        <v>306</v>
      </c>
      <c r="D121" s="402"/>
      <c r="E121" s="402"/>
      <c r="F121" s="172"/>
      <c r="G121" s="399">
        <f t="shared" si="40"/>
        <v>0</v>
      </c>
      <c r="H121" s="399">
        <f t="shared" si="41"/>
        <v>0</v>
      </c>
      <c r="I121" s="172"/>
      <c r="J121" s="172"/>
      <c r="K121" s="172"/>
      <c r="L121" s="172"/>
      <c r="M121" s="172"/>
      <c r="N121" s="172"/>
      <c r="O121" s="172"/>
      <c r="P121" s="172"/>
      <c r="Q121" s="172"/>
      <c r="R121" s="172"/>
      <c r="S121" s="172"/>
      <c r="T121" s="172"/>
      <c r="U121" s="172"/>
      <c r="V121" s="172"/>
      <c r="W121" s="172"/>
      <c r="X121" s="172"/>
      <c r="Y121" s="172"/>
      <c r="Z121" s="172"/>
      <c r="AA121" s="172"/>
      <c r="AB121" s="172"/>
      <c r="AC121" s="172"/>
      <c r="AD121" s="172"/>
      <c r="AE121" s="172"/>
      <c r="AF121" s="172"/>
      <c r="AG121" s="172"/>
      <c r="AH121" s="172"/>
      <c r="AI121" s="172"/>
      <c r="AJ121" s="386"/>
      <c r="AK121" s="386"/>
      <c r="AL121" s="384"/>
    </row>
    <row r="122" spans="2:38" x14ac:dyDescent="0.25">
      <c r="B122" s="216" t="s">
        <v>616</v>
      </c>
      <c r="C122" s="176" t="s">
        <v>306</v>
      </c>
      <c r="D122" s="399">
        <f>+Z122+AB122+AD122+AH122+AJ122+X122+AF122</f>
        <v>0</v>
      </c>
      <c r="E122" s="399">
        <f>+J122+L122+N122+P122+R122+T122+V122</f>
        <v>34742783</v>
      </c>
      <c r="F122" s="172">
        <f>+E122+D122</f>
        <v>34742783</v>
      </c>
      <c r="G122" s="399">
        <f t="shared" si="40"/>
        <v>0</v>
      </c>
      <c r="H122" s="399">
        <f t="shared" si="41"/>
        <v>35225383</v>
      </c>
      <c r="I122" s="172">
        <f>+H122+G122</f>
        <v>35225383</v>
      </c>
      <c r="J122" s="172"/>
      <c r="K122" s="172">
        <v>482600</v>
      </c>
      <c r="L122" s="172">
        <f>15437000+10064783</f>
        <v>25501783</v>
      </c>
      <c r="M122" s="172">
        <f>15437000+10064783</f>
        <v>25501783</v>
      </c>
      <c r="N122" s="172">
        <v>9241000</v>
      </c>
      <c r="O122" s="172">
        <v>9241000</v>
      </c>
      <c r="P122" s="172"/>
      <c r="Q122" s="172"/>
      <c r="R122" s="172"/>
      <c r="S122" s="172"/>
      <c r="T122" s="172"/>
      <c r="U122" s="172"/>
      <c r="V122" s="172"/>
      <c r="W122" s="172"/>
      <c r="X122" s="172"/>
      <c r="Y122" s="172"/>
      <c r="Z122" s="172"/>
      <c r="AA122" s="172"/>
      <c r="AB122" s="172"/>
      <c r="AC122" s="172"/>
      <c r="AD122" s="172"/>
      <c r="AE122" s="172"/>
      <c r="AF122" s="172"/>
      <c r="AG122" s="172"/>
      <c r="AH122" s="172"/>
      <c r="AI122" s="172"/>
      <c r="AJ122" s="386"/>
      <c r="AK122" s="386"/>
      <c r="AL122" s="384"/>
    </row>
    <row r="123" spans="2:38" hidden="1" x14ac:dyDescent="0.25">
      <c r="B123" s="197" t="s">
        <v>307</v>
      </c>
      <c r="C123" s="176" t="s">
        <v>308</v>
      </c>
      <c r="D123" s="402"/>
      <c r="E123" s="402"/>
      <c r="F123" s="172"/>
      <c r="G123" s="172"/>
      <c r="H123" s="172"/>
      <c r="I123" s="172"/>
      <c r="J123" s="172"/>
      <c r="K123" s="172"/>
      <c r="L123" s="172"/>
      <c r="M123" s="172"/>
      <c r="N123" s="172"/>
      <c r="O123" s="172"/>
      <c r="P123" s="172"/>
      <c r="Q123" s="172"/>
      <c r="R123" s="172"/>
      <c r="S123" s="172"/>
      <c r="T123" s="172"/>
      <c r="U123" s="172"/>
      <c r="V123" s="172"/>
      <c r="W123" s="172"/>
      <c r="X123" s="172"/>
      <c r="Y123" s="172"/>
      <c r="Z123" s="172"/>
      <c r="AA123" s="172"/>
      <c r="AB123" s="172"/>
      <c r="AC123" s="172"/>
      <c r="AD123" s="172"/>
      <c r="AE123" s="172"/>
      <c r="AF123" s="172"/>
      <c r="AG123" s="172"/>
      <c r="AH123" s="172"/>
      <c r="AI123" s="172"/>
      <c r="AJ123" s="386"/>
      <c r="AK123" s="386"/>
      <c r="AL123" s="384"/>
    </row>
    <row r="124" spans="2:38" hidden="1" x14ac:dyDescent="0.25">
      <c r="B124" s="193" t="s">
        <v>309</v>
      </c>
      <c r="C124" s="176" t="s">
        <v>310</v>
      </c>
      <c r="D124" s="402"/>
      <c r="E124" s="402"/>
      <c r="F124" s="172"/>
      <c r="G124" s="172"/>
      <c r="H124" s="172"/>
      <c r="I124" s="172"/>
      <c r="J124" s="172"/>
      <c r="K124" s="172"/>
      <c r="L124" s="172"/>
      <c r="M124" s="172"/>
      <c r="N124" s="172"/>
      <c r="O124" s="172"/>
      <c r="P124" s="172"/>
      <c r="Q124" s="172"/>
      <c r="R124" s="172"/>
      <c r="S124" s="172"/>
      <c r="T124" s="172"/>
      <c r="U124" s="172"/>
      <c r="V124" s="172"/>
      <c r="W124" s="172"/>
      <c r="X124" s="172"/>
      <c r="Y124" s="172"/>
      <c r="Z124" s="172"/>
      <c r="AA124" s="172"/>
      <c r="AB124" s="172"/>
      <c r="AC124" s="172"/>
      <c r="AD124" s="172"/>
      <c r="AE124" s="172"/>
      <c r="AF124" s="172"/>
      <c r="AG124" s="172"/>
      <c r="AH124" s="172"/>
      <c r="AI124" s="172"/>
      <c r="AJ124" s="386"/>
      <c r="AK124" s="386"/>
      <c r="AL124" s="384"/>
    </row>
    <row r="125" spans="2:38" hidden="1" x14ac:dyDescent="0.25">
      <c r="B125" s="193" t="s">
        <v>311</v>
      </c>
      <c r="C125" s="176" t="s">
        <v>312</v>
      </c>
      <c r="D125" s="402"/>
      <c r="E125" s="402"/>
      <c r="F125" s="172"/>
      <c r="G125" s="172"/>
      <c r="H125" s="172"/>
      <c r="I125" s="172"/>
      <c r="J125" s="172"/>
      <c r="K125" s="172"/>
      <c r="L125" s="172"/>
      <c r="M125" s="172"/>
      <c r="N125" s="172"/>
      <c r="O125" s="172"/>
      <c r="P125" s="172"/>
      <c r="Q125" s="172"/>
      <c r="R125" s="172"/>
      <c r="S125" s="172"/>
      <c r="T125" s="172"/>
      <c r="U125" s="172"/>
      <c r="V125" s="172"/>
      <c r="W125" s="172"/>
      <c r="X125" s="172"/>
      <c r="Y125" s="172"/>
      <c r="Z125" s="172"/>
      <c r="AA125" s="172"/>
      <c r="AB125" s="172"/>
      <c r="AC125" s="172"/>
      <c r="AD125" s="172"/>
      <c r="AE125" s="172"/>
      <c r="AF125" s="172"/>
      <c r="AG125" s="172"/>
      <c r="AH125" s="172"/>
      <c r="AI125" s="172"/>
      <c r="AJ125" s="386"/>
      <c r="AK125" s="386"/>
      <c r="AL125" s="384"/>
    </row>
    <row r="126" spans="2:38" s="177" customFormat="1" ht="12.75" x14ac:dyDescent="0.2">
      <c r="B126" s="184" t="s">
        <v>313</v>
      </c>
      <c r="C126" s="181" t="s">
        <v>314</v>
      </c>
      <c r="D126" s="180">
        <f t="shared" ref="D126:J126" si="44">SUM(D118:D124)+D117+D112+D111</f>
        <v>1737135863</v>
      </c>
      <c r="E126" s="180">
        <f t="shared" si="44"/>
        <v>657506747</v>
      </c>
      <c r="F126" s="180">
        <f t="shared" si="44"/>
        <v>2394642610</v>
      </c>
      <c r="G126" s="180">
        <f t="shared" si="44"/>
        <v>1737135863</v>
      </c>
      <c r="H126" s="180">
        <f t="shared" si="44"/>
        <v>657989347</v>
      </c>
      <c r="I126" s="180">
        <f t="shared" si="44"/>
        <v>2395125210</v>
      </c>
      <c r="J126" s="180">
        <f t="shared" si="44"/>
        <v>137198116</v>
      </c>
      <c r="K126" s="180">
        <f t="shared" ref="K126:AK126" si="45">SUM(K118:K124)+K117+K112+K111</f>
        <v>137680716</v>
      </c>
      <c r="L126" s="180">
        <f t="shared" si="45"/>
        <v>285770512</v>
      </c>
      <c r="M126" s="180">
        <f t="shared" si="45"/>
        <v>285770512</v>
      </c>
      <c r="N126" s="180">
        <f t="shared" si="45"/>
        <v>9241000</v>
      </c>
      <c r="O126" s="180">
        <f t="shared" si="45"/>
        <v>9241000</v>
      </c>
      <c r="P126" s="180">
        <f t="shared" si="45"/>
        <v>75012126</v>
      </c>
      <c r="Q126" s="180">
        <f t="shared" si="45"/>
        <v>75012126</v>
      </c>
      <c r="R126" s="180">
        <f t="shared" si="45"/>
        <v>51350277</v>
      </c>
      <c r="S126" s="180">
        <f t="shared" si="45"/>
        <v>51350277</v>
      </c>
      <c r="T126" s="180">
        <f t="shared" si="45"/>
        <v>37668331</v>
      </c>
      <c r="U126" s="180">
        <f t="shared" si="45"/>
        <v>37668331</v>
      </c>
      <c r="V126" s="180">
        <f t="shared" si="45"/>
        <v>61266385</v>
      </c>
      <c r="W126" s="180">
        <f t="shared" si="45"/>
        <v>61266385</v>
      </c>
      <c r="X126" s="180">
        <f t="shared" si="45"/>
        <v>553840651</v>
      </c>
      <c r="Y126" s="180">
        <f t="shared" si="45"/>
        <v>553840651</v>
      </c>
      <c r="Z126" s="180">
        <f t="shared" si="45"/>
        <v>179357620</v>
      </c>
      <c r="AA126" s="180">
        <f t="shared" si="45"/>
        <v>179357620</v>
      </c>
      <c r="AB126" s="180">
        <f t="shared" si="45"/>
        <v>174800415</v>
      </c>
      <c r="AC126" s="180">
        <f t="shared" si="45"/>
        <v>174800415</v>
      </c>
      <c r="AD126" s="180">
        <f t="shared" si="45"/>
        <v>489445300</v>
      </c>
      <c r="AE126" s="180">
        <f t="shared" si="45"/>
        <v>489445300</v>
      </c>
      <c r="AF126" s="180">
        <f t="shared" si="45"/>
        <v>160755471</v>
      </c>
      <c r="AG126" s="180">
        <f t="shared" si="45"/>
        <v>160755471</v>
      </c>
      <c r="AH126" s="180">
        <f t="shared" si="45"/>
        <v>178936406</v>
      </c>
      <c r="AI126" s="180">
        <f t="shared" si="45"/>
        <v>178936406</v>
      </c>
      <c r="AJ126" s="180">
        <f t="shared" si="45"/>
        <v>0</v>
      </c>
      <c r="AK126" s="180">
        <f t="shared" si="45"/>
        <v>0</v>
      </c>
      <c r="AL126" s="384"/>
    </row>
    <row r="127" spans="2:38" hidden="1" x14ac:dyDescent="0.25">
      <c r="B127" s="197" t="s">
        <v>315</v>
      </c>
      <c r="C127" s="176" t="s">
        <v>316</v>
      </c>
      <c r="D127" s="402"/>
      <c r="E127" s="402"/>
      <c r="F127" s="172"/>
      <c r="G127" s="172"/>
      <c r="H127" s="172"/>
      <c r="I127" s="172"/>
      <c r="J127" s="172"/>
      <c r="K127" s="172"/>
      <c r="L127" s="172"/>
      <c r="M127" s="172"/>
      <c r="N127" s="172"/>
      <c r="O127" s="172"/>
      <c r="P127" s="172"/>
      <c r="Q127" s="172"/>
      <c r="R127" s="172"/>
      <c r="S127" s="172"/>
      <c r="T127" s="172"/>
      <c r="U127" s="172"/>
      <c r="V127" s="172"/>
      <c r="W127" s="172"/>
      <c r="X127" s="172"/>
      <c r="Y127" s="172"/>
      <c r="Z127" s="172"/>
      <c r="AA127" s="172"/>
      <c r="AB127" s="172"/>
      <c r="AC127" s="172"/>
      <c r="AD127" s="172"/>
      <c r="AE127" s="172"/>
      <c r="AF127" s="172"/>
      <c r="AG127" s="172"/>
      <c r="AH127" s="172"/>
      <c r="AI127" s="172"/>
      <c r="AJ127" s="172"/>
      <c r="AK127" s="172"/>
      <c r="AL127" s="384"/>
    </row>
    <row r="128" spans="2:38" hidden="1" x14ac:dyDescent="0.25">
      <c r="B128" s="193" t="s">
        <v>317</v>
      </c>
      <c r="C128" s="176" t="s">
        <v>318</v>
      </c>
      <c r="D128" s="402"/>
      <c r="E128" s="402"/>
      <c r="F128" s="172"/>
      <c r="G128" s="172"/>
      <c r="H128" s="172"/>
      <c r="I128" s="172"/>
      <c r="J128" s="172"/>
      <c r="K128" s="172"/>
      <c r="L128" s="172"/>
      <c r="M128" s="172"/>
      <c r="N128" s="172"/>
      <c r="O128" s="172"/>
      <c r="P128" s="172"/>
      <c r="Q128" s="172"/>
      <c r="R128" s="172"/>
      <c r="S128" s="172"/>
      <c r="T128" s="172"/>
      <c r="U128" s="172"/>
      <c r="V128" s="172"/>
      <c r="W128" s="172"/>
      <c r="X128" s="172"/>
      <c r="Y128" s="172"/>
      <c r="Z128" s="172"/>
      <c r="AA128" s="172"/>
      <c r="AB128" s="172"/>
      <c r="AC128" s="172"/>
      <c r="AD128" s="172"/>
      <c r="AE128" s="172"/>
      <c r="AF128" s="172"/>
      <c r="AG128" s="172"/>
      <c r="AH128" s="172"/>
      <c r="AI128" s="172"/>
      <c r="AJ128" s="172"/>
      <c r="AK128" s="172"/>
      <c r="AL128" s="384"/>
    </row>
    <row r="129" spans="2:48" hidden="1" x14ac:dyDescent="0.25">
      <c r="B129" s="193" t="s">
        <v>319</v>
      </c>
      <c r="C129" s="176" t="s">
        <v>320</v>
      </c>
      <c r="D129" s="402"/>
      <c r="E129" s="402"/>
      <c r="F129" s="172"/>
      <c r="G129" s="172"/>
      <c r="H129" s="172"/>
      <c r="I129" s="172"/>
      <c r="J129" s="172"/>
      <c r="K129" s="172"/>
      <c r="L129" s="172"/>
      <c r="M129" s="172"/>
      <c r="N129" s="172"/>
      <c r="O129" s="172"/>
      <c r="P129" s="172"/>
      <c r="Q129" s="172"/>
      <c r="R129" s="172"/>
      <c r="S129" s="172"/>
      <c r="T129" s="172"/>
      <c r="U129" s="172"/>
      <c r="V129" s="172"/>
      <c r="W129" s="172"/>
      <c r="X129" s="172"/>
      <c r="Y129" s="172"/>
      <c r="Z129" s="172"/>
      <c r="AA129" s="172"/>
      <c r="AB129" s="172"/>
      <c r="AC129" s="172"/>
      <c r="AD129" s="172"/>
      <c r="AE129" s="172"/>
      <c r="AF129" s="172"/>
      <c r="AG129" s="172"/>
      <c r="AH129" s="172"/>
      <c r="AI129" s="172"/>
      <c r="AJ129" s="172"/>
      <c r="AK129" s="172"/>
      <c r="AL129" s="384"/>
    </row>
    <row r="130" spans="2:48" x14ac:dyDescent="0.25">
      <c r="B130" s="200" t="s">
        <v>321</v>
      </c>
      <c r="C130" s="201" t="s">
        <v>322</v>
      </c>
      <c r="D130" s="196">
        <f t="shared" ref="D130:J130" si="46">+D128+D127+D126</f>
        <v>1737135863</v>
      </c>
      <c r="E130" s="196">
        <f t="shared" si="46"/>
        <v>657506747</v>
      </c>
      <c r="F130" s="196">
        <f t="shared" si="46"/>
        <v>2394642610</v>
      </c>
      <c r="G130" s="196">
        <f t="shared" si="46"/>
        <v>1737135863</v>
      </c>
      <c r="H130" s="196">
        <f t="shared" si="46"/>
        <v>657989347</v>
      </c>
      <c r="I130" s="196">
        <f t="shared" si="46"/>
        <v>2395125210</v>
      </c>
      <c r="J130" s="196">
        <f t="shared" si="46"/>
        <v>137198116</v>
      </c>
      <c r="K130" s="196">
        <f t="shared" ref="K130:AK130" si="47">+K128+K127+K126</f>
        <v>137680716</v>
      </c>
      <c r="L130" s="196">
        <f t="shared" si="47"/>
        <v>285770512</v>
      </c>
      <c r="M130" s="196">
        <f t="shared" si="47"/>
        <v>285770512</v>
      </c>
      <c r="N130" s="196">
        <f t="shared" si="47"/>
        <v>9241000</v>
      </c>
      <c r="O130" s="196">
        <f t="shared" si="47"/>
        <v>9241000</v>
      </c>
      <c r="P130" s="196">
        <f t="shared" si="47"/>
        <v>75012126</v>
      </c>
      <c r="Q130" s="196">
        <f t="shared" si="47"/>
        <v>75012126</v>
      </c>
      <c r="R130" s="196">
        <f t="shared" si="47"/>
        <v>51350277</v>
      </c>
      <c r="S130" s="196">
        <f t="shared" si="47"/>
        <v>51350277</v>
      </c>
      <c r="T130" s="196">
        <f t="shared" si="47"/>
        <v>37668331</v>
      </c>
      <c r="U130" s="196">
        <f t="shared" si="47"/>
        <v>37668331</v>
      </c>
      <c r="V130" s="196">
        <f t="shared" si="47"/>
        <v>61266385</v>
      </c>
      <c r="W130" s="196">
        <f t="shared" si="47"/>
        <v>61266385</v>
      </c>
      <c r="X130" s="196">
        <f t="shared" si="47"/>
        <v>553840651</v>
      </c>
      <c r="Y130" s="196">
        <f t="shared" si="47"/>
        <v>553840651</v>
      </c>
      <c r="Z130" s="196">
        <f t="shared" si="47"/>
        <v>179357620</v>
      </c>
      <c r="AA130" s="196">
        <f t="shared" si="47"/>
        <v>179357620</v>
      </c>
      <c r="AB130" s="196">
        <f t="shared" si="47"/>
        <v>174800415</v>
      </c>
      <c r="AC130" s="196">
        <f t="shared" si="47"/>
        <v>174800415</v>
      </c>
      <c r="AD130" s="196">
        <f t="shared" si="47"/>
        <v>489445300</v>
      </c>
      <c r="AE130" s="196">
        <f t="shared" si="47"/>
        <v>489445300</v>
      </c>
      <c r="AF130" s="196">
        <f t="shared" si="47"/>
        <v>160755471</v>
      </c>
      <c r="AG130" s="196">
        <f t="shared" si="47"/>
        <v>160755471</v>
      </c>
      <c r="AH130" s="196">
        <f t="shared" si="47"/>
        <v>178936406</v>
      </c>
      <c r="AI130" s="196">
        <f t="shared" si="47"/>
        <v>178936406</v>
      </c>
      <c r="AJ130" s="196">
        <f t="shared" si="47"/>
        <v>0</v>
      </c>
      <c r="AK130" s="196">
        <f t="shared" si="47"/>
        <v>0</v>
      </c>
      <c r="AL130" s="384"/>
    </row>
    <row r="131" spans="2:48" s="159" customFormat="1" ht="12.75" x14ac:dyDescent="0.2">
      <c r="B131" s="203" t="s">
        <v>323</v>
      </c>
      <c r="C131" s="203" t="s">
        <v>324</v>
      </c>
      <c r="D131" s="204">
        <f t="shared" ref="D131:J131" si="48">+D108+D130</f>
        <v>2043806132</v>
      </c>
      <c r="E131" s="204">
        <f t="shared" si="48"/>
        <v>1306198220</v>
      </c>
      <c r="F131" s="204">
        <f t="shared" si="48"/>
        <v>3350004352</v>
      </c>
      <c r="G131" s="204">
        <f t="shared" si="48"/>
        <v>1949717132</v>
      </c>
      <c r="H131" s="204">
        <f t="shared" si="48"/>
        <v>775225820</v>
      </c>
      <c r="I131" s="204">
        <f t="shared" si="48"/>
        <v>2724942952</v>
      </c>
      <c r="J131" s="204">
        <f t="shared" si="48"/>
        <v>137198116</v>
      </c>
      <c r="K131" s="204">
        <f t="shared" ref="K131:AK131" si="49">+K108+K130</f>
        <v>137680716</v>
      </c>
      <c r="L131" s="204">
        <f t="shared" si="49"/>
        <v>316644512</v>
      </c>
      <c r="M131" s="204">
        <f t="shared" si="49"/>
        <v>285770512</v>
      </c>
      <c r="N131" s="204">
        <f t="shared" si="49"/>
        <v>184822000</v>
      </c>
      <c r="O131" s="204">
        <f t="shared" si="49"/>
        <v>9241000</v>
      </c>
      <c r="P131" s="204">
        <f t="shared" si="49"/>
        <v>125859881</v>
      </c>
      <c r="Q131" s="204">
        <f t="shared" si="49"/>
        <v>117859881</v>
      </c>
      <c r="R131" s="204">
        <f t="shared" si="49"/>
        <v>409149502</v>
      </c>
      <c r="S131" s="204">
        <f t="shared" si="49"/>
        <v>112149502</v>
      </c>
      <c r="T131" s="204">
        <f t="shared" si="49"/>
        <v>37668331</v>
      </c>
      <c r="U131" s="204">
        <f t="shared" si="49"/>
        <v>37668331</v>
      </c>
      <c r="V131" s="204">
        <f t="shared" si="49"/>
        <v>94855878</v>
      </c>
      <c r="W131" s="204">
        <f t="shared" si="49"/>
        <v>74855878</v>
      </c>
      <c r="X131" s="204">
        <f t="shared" si="49"/>
        <v>553840651</v>
      </c>
      <c r="Y131" s="204">
        <f t="shared" si="49"/>
        <v>553840651</v>
      </c>
      <c r="Z131" s="204">
        <f t="shared" si="49"/>
        <v>182861489</v>
      </c>
      <c r="AA131" s="204">
        <f t="shared" si="49"/>
        <v>182861489</v>
      </c>
      <c r="AB131" s="204">
        <f t="shared" si="49"/>
        <v>184550744</v>
      </c>
      <c r="AC131" s="204">
        <f t="shared" si="49"/>
        <v>184550744</v>
      </c>
      <c r="AD131" s="204">
        <f t="shared" si="49"/>
        <v>489445300</v>
      </c>
      <c r="AE131" s="204">
        <f t="shared" si="49"/>
        <v>489445300</v>
      </c>
      <c r="AF131" s="204">
        <f t="shared" si="49"/>
        <v>178245401</v>
      </c>
      <c r="AG131" s="204">
        <f t="shared" si="49"/>
        <v>178245401</v>
      </c>
      <c r="AH131" s="204">
        <f t="shared" si="49"/>
        <v>367962547</v>
      </c>
      <c r="AI131" s="204">
        <f t="shared" si="49"/>
        <v>273873547</v>
      </c>
      <c r="AJ131" s="204">
        <f t="shared" si="49"/>
        <v>86900000</v>
      </c>
      <c r="AK131" s="204">
        <f t="shared" si="49"/>
        <v>86900000</v>
      </c>
      <c r="AL131" s="384"/>
    </row>
    <row r="132" spans="2:48" s="159" customFormat="1" ht="12.75" x14ac:dyDescent="0.2">
      <c r="D132" s="384"/>
      <c r="E132" s="384"/>
    </row>
    <row r="133" spans="2:48" s="159" customFormat="1" ht="12.75" x14ac:dyDescent="0.2">
      <c r="D133" s="384">
        <f t="shared" ref="D133:AK133" si="50">+D131-D64</f>
        <v>0</v>
      </c>
      <c r="E133" s="384">
        <f t="shared" si="50"/>
        <v>0</v>
      </c>
      <c r="F133" s="384">
        <f t="shared" si="50"/>
        <v>0</v>
      </c>
      <c r="G133" s="384"/>
      <c r="H133" s="384"/>
      <c r="I133" s="384"/>
      <c r="J133" s="384">
        <f t="shared" si="50"/>
        <v>0</v>
      </c>
      <c r="K133" s="384">
        <f t="shared" si="50"/>
        <v>0</v>
      </c>
      <c r="L133" s="384">
        <f t="shared" si="50"/>
        <v>0</v>
      </c>
      <c r="M133" s="384">
        <f t="shared" si="50"/>
        <v>-30874000</v>
      </c>
      <c r="N133" s="384">
        <f t="shared" si="50"/>
        <v>0</v>
      </c>
      <c r="O133" s="384">
        <f t="shared" si="50"/>
        <v>-22534000</v>
      </c>
      <c r="P133" s="384">
        <f t="shared" si="50"/>
        <v>0</v>
      </c>
      <c r="Q133" s="384">
        <f t="shared" si="50"/>
        <v>0</v>
      </c>
      <c r="R133" s="384">
        <f t="shared" si="50"/>
        <v>0</v>
      </c>
      <c r="S133" s="384">
        <f t="shared" si="50"/>
        <v>0</v>
      </c>
      <c r="T133" s="384">
        <f t="shared" si="50"/>
        <v>0</v>
      </c>
      <c r="U133" s="384">
        <f t="shared" si="50"/>
        <v>0</v>
      </c>
      <c r="V133" s="384">
        <f t="shared" si="50"/>
        <v>0</v>
      </c>
      <c r="W133" s="384">
        <f t="shared" si="50"/>
        <v>-20000000</v>
      </c>
      <c r="X133" s="384">
        <f t="shared" si="50"/>
        <v>0</v>
      </c>
      <c r="Y133" s="384">
        <f t="shared" si="50"/>
        <v>0</v>
      </c>
      <c r="Z133" s="384">
        <f t="shared" si="50"/>
        <v>0</v>
      </c>
      <c r="AA133" s="384">
        <f t="shared" si="50"/>
        <v>0</v>
      </c>
      <c r="AB133" s="384">
        <f t="shared" si="50"/>
        <v>0</v>
      </c>
      <c r="AC133" s="384">
        <f t="shared" si="50"/>
        <v>0</v>
      </c>
      <c r="AD133" s="384">
        <f t="shared" si="50"/>
        <v>0</v>
      </c>
      <c r="AE133" s="384">
        <f t="shared" si="50"/>
        <v>182893676</v>
      </c>
      <c r="AF133" s="384">
        <f t="shared" si="50"/>
        <v>0</v>
      </c>
      <c r="AG133" s="384">
        <f t="shared" si="50"/>
        <v>0</v>
      </c>
      <c r="AH133" s="384">
        <f t="shared" si="50"/>
        <v>0</v>
      </c>
      <c r="AI133" s="384">
        <f t="shared" si="50"/>
        <v>-94089000</v>
      </c>
      <c r="AJ133" s="384">
        <f t="shared" si="50"/>
        <v>0</v>
      </c>
      <c r="AK133" s="384">
        <f t="shared" si="50"/>
        <v>0</v>
      </c>
    </row>
    <row r="134" spans="2:48" s="159" customFormat="1" ht="12.75" x14ac:dyDescent="0.2">
      <c r="D134" s="384"/>
      <c r="E134" s="384"/>
      <c r="N134" s="387"/>
      <c r="O134" s="387"/>
      <c r="R134" s="388"/>
      <c r="S134" s="388"/>
    </row>
    <row r="135" spans="2:48" s="159" customFormat="1" ht="12.75" x14ac:dyDescent="0.2">
      <c r="D135" s="384"/>
      <c r="E135" s="384"/>
      <c r="F135" s="384" t="s">
        <v>887</v>
      </c>
      <c r="G135" s="384"/>
      <c r="H135" s="384"/>
      <c r="I135" s="384"/>
      <c r="J135" s="384">
        <v>144623351</v>
      </c>
      <c r="K135" s="384"/>
      <c r="L135" s="384"/>
      <c r="M135" s="384"/>
      <c r="N135" s="384"/>
      <c r="O135" s="384"/>
      <c r="P135" s="384">
        <v>103617245</v>
      </c>
      <c r="Q135" s="384"/>
      <c r="R135" s="384">
        <v>142200775</v>
      </c>
      <c r="S135" s="384"/>
      <c r="T135" s="384"/>
      <c r="U135" s="384"/>
      <c r="V135" s="384">
        <v>66410507</v>
      </c>
      <c r="W135" s="384"/>
      <c r="X135" s="384">
        <v>572931453</v>
      </c>
      <c r="Y135" s="384"/>
      <c r="Z135" s="384">
        <v>186617131</v>
      </c>
      <c r="AA135" s="384"/>
      <c r="AB135" s="384">
        <v>180374671</v>
      </c>
      <c r="AC135" s="384"/>
      <c r="AD135" s="384"/>
      <c r="AE135" s="384"/>
      <c r="AF135" s="384">
        <v>168733611</v>
      </c>
      <c r="AG135" s="384"/>
      <c r="AH135" s="384"/>
      <c r="AI135" s="384"/>
      <c r="AJ135" s="384"/>
      <c r="AK135" s="384"/>
      <c r="AL135" s="384"/>
      <c r="AM135" s="384"/>
      <c r="AN135" s="384"/>
      <c r="AO135" s="384"/>
      <c r="AP135" s="384"/>
      <c r="AQ135" s="384"/>
      <c r="AR135" s="384"/>
      <c r="AS135" s="384"/>
      <c r="AT135" s="384"/>
      <c r="AU135" s="384"/>
      <c r="AV135" s="384"/>
    </row>
    <row r="136" spans="2:48" s="159" customFormat="1" ht="12.75" x14ac:dyDescent="0.2">
      <c r="D136" s="384"/>
      <c r="E136" s="384"/>
      <c r="F136" s="384"/>
      <c r="G136" s="384"/>
      <c r="H136" s="384"/>
      <c r="I136" s="384"/>
      <c r="J136" s="384"/>
      <c r="K136" s="384"/>
      <c r="L136" s="384"/>
      <c r="M136" s="384"/>
      <c r="N136" s="384"/>
      <c r="O136" s="384"/>
      <c r="P136" s="384"/>
      <c r="Q136" s="384"/>
      <c r="R136" s="384"/>
      <c r="S136" s="384"/>
      <c r="T136" s="384"/>
      <c r="U136" s="384"/>
      <c r="V136" s="384"/>
      <c r="W136" s="384"/>
      <c r="X136" s="384"/>
      <c r="Y136" s="384"/>
      <c r="Z136" s="384"/>
      <c r="AA136" s="384"/>
      <c r="AB136" s="384"/>
      <c r="AC136" s="384"/>
      <c r="AD136" s="384"/>
      <c r="AE136" s="384"/>
      <c r="AF136" s="384" t="s">
        <v>888</v>
      </c>
      <c r="AG136" s="384"/>
      <c r="AH136" s="384"/>
      <c r="AI136" s="384"/>
      <c r="AJ136" s="384"/>
      <c r="AK136" s="384"/>
      <c r="AL136" s="384"/>
      <c r="AM136" s="384"/>
      <c r="AN136" s="384"/>
      <c r="AO136" s="384"/>
      <c r="AP136" s="384"/>
      <c r="AQ136" s="384"/>
      <c r="AR136" s="384"/>
      <c r="AS136" s="384"/>
      <c r="AT136" s="384"/>
      <c r="AU136" s="384"/>
      <c r="AV136" s="384"/>
    </row>
    <row r="137" spans="2:48" s="159" customFormat="1" ht="12.75" x14ac:dyDescent="0.2">
      <c r="C137" s="384"/>
      <c r="E137" s="384"/>
      <c r="G137" s="384">
        <f>+G131-D131</f>
        <v>-94089000</v>
      </c>
      <c r="H137" s="384">
        <f>+H131-E131</f>
        <v>-530972400</v>
      </c>
      <c r="I137" s="384">
        <f>+I131-F131</f>
        <v>-625061400</v>
      </c>
      <c r="K137" s="384">
        <f>+K131-J131</f>
        <v>482600</v>
      </c>
      <c r="M137" s="384">
        <f>+M131-L131</f>
        <v>-30874000</v>
      </c>
      <c r="O137" s="384">
        <f>+O131-N131</f>
        <v>-175581000</v>
      </c>
      <c r="Q137" s="384">
        <f>+Q131-P131</f>
        <v>-8000000</v>
      </c>
      <c r="S137" s="384">
        <f>+S131-R131</f>
        <v>-297000000</v>
      </c>
      <c r="U137" s="384">
        <f>+U131-T131</f>
        <v>0</v>
      </c>
      <c r="W137" s="384">
        <f>+W131-V131</f>
        <v>-20000000</v>
      </c>
      <c r="Y137" s="384">
        <f>+Y131-X131</f>
        <v>0</v>
      </c>
      <c r="AA137" s="384">
        <f>+AA131-Z131</f>
        <v>0</v>
      </c>
      <c r="AC137" s="384">
        <f>+AC131-AB131</f>
        <v>0</v>
      </c>
      <c r="AE137" s="384">
        <f>+AE131-AD131</f>
        <v>0</v>
      </c>
      <c r="AG137" s="384">
        <f>+AG131-AF131</f>
        <v>0</v>
      </c>
      <c r="AI137" s="384">
        <f>+AI131-AH131</f>
        <v>-94089000</v>
      </c>
      <c r="AK137" s="384">
        <f>+AK131-AJ131</f>
        <v>0</v>
      </c>
    </row>
    <row r="138" spans="2:48" s="159" customFormat="1" ht="12.75" x14ac:dyDescent="0.2">
      <c r="D138" s="384"/>
      <c r="E138" s="384"/>
      <c r="K138" s="159" t="s">
        <v>917</v>
      </c>
    </row>
    <row r="139" spans="2:48" s="159" customFormat="1" ht="12.75" x14ac:dyDescent="0.2">
      <c r="D139" s="384"/>
      <c r="E139" s="384"/>
    </row>
    <row r="140" spans="2:48" s="159" customFormat="1" ht="12.75" x14ac:dyDescent="0.2">
      <c r="D140" s="384"/>
      <c r="E140" s="384"/>
    </row>
    <row r="141" spans="2:48" s="159" customFormat="1" ht="12.75" x14ac:dyDescent="0.2">
      <c r="D141" s="384"/>
      <c r="E141" s="384"/>
    </row>
    <row r="142" spans="2:48" s="159" customFormat="1" ht="12.75" x14ac:dyDescent="0.2">
      <c r="D142" s="384"/>
      <c r="E142" s="384"/>
    </row>
    <row r="143" spans="2:48" s="159" customFormat="1" ht="12.75" x14ac:dyDescent="0.2">
      <c r="D143" s="384"/>
      <c r="E143" s="384"/>
    </row>
    <row r="144" spans="2:48" s="159" customFormat="1" ht="12.75" x14ac:dyDescent="0.2">
      <c r="D144" s="384"/>
      <c r="E144" s="384"/>
    </row>
    <row r="145" spans="4:5" s="159" customFormat="1" ht="12.75" x14ac:dyDescent="0.2">
      <c r="D145" s="384"/>
      <c r="E145" s="384"/>
    </row>
    <row r="146" spans="4:5" s="159" customFormat="1" ht="12.75" x14ac:dyDescent="0.2">
      <c r="D146" s="384"/>
      <c r="E146" s="384"/>
    </row>
    <row r="147" spans="4:5" s="159" customFormat="1" ht="12.75" x14ac:dyDescent="0.2">
      <c r="D147" s="384"/>
      <c r="E147" s="384"/>
    </row>
    <row r="148" spans="4:5" s="159" customFormat="1" ht="12.75" x14ac:dyDescent="0.2">
      <c r="D148" s="384"/>
      <c r="E148" s="384"/>
    </row>
    <row r="149" spans="4:5" s="159" customFormat="1" ht="12.75" x14ac:dyDescent="0.2">
      <c r="D149" s="384"/>
      <c r="E149" s="384"/>
    </row>
    <row r="150" spans="4:5" s="159" customFormat="1" ht="12.75" x14ac:dyDescent="0.2">
      <c r="D150" s="384"/>
      <c r="E150" s="384"/>
    </row>
    <row r="151" spans="4:5" s="159" customFormat="1" ht="12.75" x14ac:dyDescent="0.2">
      <c r="D151" s="384"/>
      <c r="E151" s="384"/>
    </row>
    <row r="152" spans="4:5" s="159" customFormat="1" ht="12.75" x14ac:dyDescent="0.2">
      <c r="D152" s="384"/>
      <c r="E152" s="384"/>
    </row>
    <row r="153" spans="4:5" s="159" customFormat="1" ht="12.75" x14ac:dyDescent="0.2">
      <c r="D153" s="384"/>
      <c r="E153" s="384"/>
    </row>
    <row r="154" spans="4:5" s="159" customFormat="1" ht="12.75" x14ac:dyDescent="0.2">
      <c r="D154" s="384"/>
      <c r="E154" s="384"/>
    </row>
    <row r="155" spans="4:5" s="159" customFormat="1" ht="12.75" x14ac:dyDescent="0.2">
      <c r="D155" s="384"/>
      <c r="E155" s="384"/>
    </row>
    <row r="156" spans="4:5" s="159" customFormat="1" ht="12.75" x14ac:dyDescent="0.2">
      <c r="D156" s="384"/>
      <c r="E156" s="384"/>
    </row>
    <row r="157" spans="4:5" s="159" customFormat="1" ht="12.75" x14ac:dyDescent="0.2">
      <c r="D157" s="384"/>
      <c r="E157" s="384"/>
    </row>
    <row r="158" spans="4:5" s="159" customFormat="1" ht="12.75" x14ac:dyDescent="0.2">
      <c r="D158" s="384"/>
      <c r="E158" s="384"/>
    </row>
    <row r="159" spans="4:5" s="159" customFormat="1" ht="12.75" x14ac:dyDescent="0.2">
      <c r="D159" s="384"/>
      <c r="E159" s="384"/>
    </row>
    <row r="160" spans="4:5" s="159" customFormat="1" ht="12.75" x14ac:dyDescent="0.2">
      <c r="D160" s="384"/>
      <c r="E160" s="384"/>
    </row>
    <row r="161" spans="4:5" s="159" customFormat="1" ht="12.75" x14ac:dyDescent="0.2">
      <c r="D161" s="384"/>
      <c r="E161" s="384"/>
    </row>
    <row r="162" spans="4:5" s="159" customFormat="1" ht="12.75" x14ac:dyDescent="0.2">
      <c r="D162" s="384"/>
      <c r="E162" s="384"/>
    </row>
    <row r="163" spans="4:5" s="159" customFormat="1" ht="12.75" x14ac:dyDescent="0.2">
      <c r="D163" s="384"/>
      <c r="E163" s="384"/>
    </row>
    <row r="164" spans="4:5" s="159" customFormat="1" ht="12.75" x14ac:dyDescent="0.2">
      <c r="D164" s="384"/>
      <c r="E164" s="384"/>
    </row>
    <row r="165" spans="4:5" s="159" customFormat="1" ht="12.75" x14ac:dyDescent="0.2">
      <c r="D165" s="384"/>
      <c r="E165" s="384"/>
    </row>
    <row r="166" spans="4:5" s="159" customFormat="1" ht="12.75" x14ac:dyDescent="0.2">
      <c r="D166" s="384"/>
      <c r="E166" s="384"/>
    </row>
    <row r="167" spans="4:5" s="159" customFormat="1" ht="12.75" x14ac:dyDescent="0.2">
      <c r="D167" s="384"/>
      <c r="E167" s="384"/>
    </row>
    <row r="168" spans="4:5" s="159" customFormat="1" ht="12.75" x14ac:dyDescent="0.2">
      <c r="D168" s="384"/>
      <c r="E168" s="384"/>
    </row>
    <row r="169" spans="4:5" s="159" customFormat="1" ht="12.75" x14ac:dyDescent="0.2">
      <c r="D169" s="384"/>
      <c r="E169" s="384"/>
    </row>
    <row r="170" spans="4:5" s="159" customFormat="1" ht="12.75" x14ac:dyDescent="0.2">
      <c r="D170" s="384"/>
      <c r="E170" s="384"/>
    </row>
    <row r="171" spans="4:5" s="159" customFormat="1" ht="12.75" x14ac:dyDescent="0.2">
      <c r="D171" s="384"/>
      <c r="E171" s="384"/>
    </row>
    <row r="172" spans="4:5" s="159" customFormat="1" ht="12.75" x14ac:dyDescent="0.2">
      <c r="D172" s="384"/>
      <c r="E172" s="384"/>
    </row>
    <row r="173" spans="4:5" s="159" customFormat="1" ht="12.75" x14ac:dyDescent="0.2">
      <c r="D173" s="384"/>
      <c r="E173" s="384"/>
    </row>
    <row r="174" spans="4:5" s="159" customFormat="1" ht="12.75" x14ac:dyDescent="0.2">
      <c r="D174" s="384"/>
      <c r="E174" s="384"/>
    </row>
    <row r="175" spans="4:5" s="159" customFormat="1" ht="12.75" x14ac:dyDescent="0.2">
      <c r="D175" s="384"/>
      <c r="E175" s="384"/>
    </row>
    <row r="176" spans="4:5" s="159" customFormat="1" ht="12.75" x14ac:dyDescent="0.2">
      <c r="D176" s="384"/>
      <c r="E176" s="384"/>
    </row>
    <row r="177" spans="4:5" s="159" customFormat="1" ht="12.75" x14ac:dyDescent="0.2">
      <c r="D177" s="384"/>
      <c r="E177" s="384"/>
    </row>
    <row r="178" spans="4:5" s="159" customFormat="1" ht="12.75" x14ac:dyDescent="0.2">
      <c r="D178" s="384"/>
      <c r="E178" s="384"/>
    </row>
    <row r="179" spans="4:5" s="159" customFormat="1" ht="12.75" x14ac:dyDescent="0.2">
      <c r="D179" s="384"/>
      <c r="E179" s="384"/>
    </row>
    <row r="180" spans="4:5" s="159" customFormat="1" ht="12.75" x14ac:dyDescent="0.2">
      <c r="D180" s="384"/>
      <c r="E180" s="384"/>
    </row>
    <row r="181" spans="4:5" s="159" customFormat="1" ht="12.75" x14ac:dyDescent="0.2">
      <c r="D181" s="384"/>
      <c r="E181" s="384"/>
    </row>
    <row r="182" spans="4:5" s="159" customFormat="1" ht="12.75" x14ac:dyDescent="0.2">
      <c r="D182" s="384"/>
      <c r="E182" s="384"/>
    </row>
    <row r="183" spans="4:5" s="159" customFormat="1" ht="12.75" x14ac:dyDescent="0.2">
      <c r="D183" s="384"/>
      <c r="E183" s="384"/>
    </row>
    <row r="184" spans="4:5" s="159" customFormat="1" ht="12.75" x14ac:dyDescent="0.2">
      <c r="D184" s="384"/>
      <c r="E184" s="384"/>
    </row>
    <row r="185" spans="4:5" s="159" customFormat="1" ht="12.75" x14ac:dyDescent="0.2">
      <c r="D185" s="384"/>
      <c r="E185" s="384"/>
    </row>
    <row r="186" spans="4:5" s="159" customFormat="1" ht="12.75" x14ac:dyDescent="0.2">
      <c r="D186" s="384"/>
      <c r="E186" s="384"/>
    </row>
    <row r="187" spans="4:5" s="159" customFormat="1" ht="12.75" x14ac:dyDescent="0.2">
      <c r="D187" s="384"/>
      <c r="E187" s="384"/>
    </row>
    <row r="188" spans="4:5" s="159" customFormat="1" ht="12.75" x14ac:dyDescent="0.2">
      <c r="D188" s="384"/>
      <c r="E188" s="384"/>
    </row>
    <row r="189" spans="4:5" s="159" customFormat="1" ht="12.75" x14ac:dyDescent="0.2">
      <c r="D189" s="384"/>
      <c r="E189" s="384"/>
    </row>
    <row r="190" spans="4:5" s="159" customFormat="1" ht="12.75" x14ac:dyDescent="0.2">
      <c r="D190" s="384"/>
      <c r="E190" s="384"/>
    </row>
    <row r="191" spans="4:5" s="159" customFormat="1" ht="12.75" x14ac:dyDescent="0.2">
      <c r="D191" s="384"/>
      <c r="E191" s="384"/>
    </row>
    <row r="192" spans="4:5" s="159" customFormat="1" ht="12.75" x14ac:dyDescent="0.2">
      <c r="D192" s="384"/>
      <c r="E192" s="384"/>
    </row>
    <row r="193" spans="4:5" s="159" customFormat="1" ht="12.75" x14ac:dyDescent="0.2">
      <c r="D193" s="384"/>
      <c r="E193" s="384"/>
    </row>
    <row r="194" spans="4:5" s="159" customFormat="1" ht="12.75" x14ac:dyDescent="0.2">
      <c r="D194" s="384"/>
      <c r="E194" s="384"/>
    </row>
    <row r="195" spans="4:5" s="159" customFormat="1" ht="12.75" x14ac:dyDescent="0.2">
      <c r="D195" s="384"/>
      <c r="E195" s="384"/>
    </row>
    <row r="196" spans="4:5" s="159" customFormat="1" ht="12.75" x14ac:dyDescent="0.2">
      <c r="D196" s="384"/>
      <c r="E196" s="384"/>
    </row>
    <row r="197" spans="4:5" s="159" customFormat="1" ht="12.75" x14ac:dyDescent="0.2">
      <c r="D197" s="384"/>
      <c r="E197" s="384"/>
    </row>
    <row r="198" spans="4:5" s="159" customFormat="1" ht="12.75" x14ac:dyDescent="0.2">
      <c r="D198" s="384"/>
      <c r="E198" s="384"/>
    </row>
    <row r="199" spans="4:5" s="159" customFormat="1" ht="12.75" x14ac:dyDescent="0.2">
      <c r="D199" s="384"/>
      <c r="E199" s="384"/>
    </row>
    <row r="200" spans="4:5" s="159" customFormat="1" ht="12.75" x14ac:dyDescent="0.2">
      <c r="D200" s="384"/>
      <c r="E200" s="384"/>
    </row>
    <row r="201" spans="4:5" s="159" customFormat="1" ht="12.75" x14ac:dyDescent="0.2">
      <c r="D201" s="384"/>
      <c r="E201" s="384"/>
    </row>
    <row r="202" spans="4:5" s="159" customFormat="1" ht="12.75" x14ac:dyDescent="0.2">
      <c r="D202" s="384"/>
      <c r="E202" s="384"/>
    </row>
    <row r="203" spans="4:5" s="159" customFormat="1" ht="12.75" x14ac:dyDescent="0.2">
      <c r="D203" s="384"/>
      <c r="E203" s="384"/>
    </row>
    <row r="204" spans="4:5" s="159" customFormat="1" ht="12.75" x14ac:dyDescent="0.2">
      <c r="D204" s="384"/>
      <c r="E204" s="384"/>
    </row>
    <row r="205" spans="4:5" s="159" customFormat="1" ht="12.75" x14ac:dyDescent="0.2">
      <c r="D205" s="384"/>
      <c r="E205" s="384"/>
    </row>
    <row r="206" spans="4:5" s="159" customFormat="1" ht="12.75" x14ac:dyDescent="0.2">
      <c r="D206" s="384"/>
      <c r="E206" s="384"/>
    </row>
    <row r="207" spans="4:5" s="159" customFormat="1" ht="12.75" x14ac:dyDescent="0.2">
      <c r="D207" s="384"/>
      <c r="E207" s="384"/>
    </row>
    <row r="208" spans="4:5" s="159" customFormat="1" ht="12.75" x14ac:dyDescent="0.2">
      <c r="D208" s="384"/>
      <c r="E208" s="384"/>
    </row>
    <row r="209" spans="4:5" s="159" customFormat="1" ht="12.75" x14ac:dyDescent="0.2">
      <c r="D209" s="384"/>
      <c r="E209" s="384"/>
    </row>
    <row r="210" spans="4:5" s="159" customFormat="1" ht="12.75" x14ac:dyDescent="0.2">
      <c r="D210" s="384"/>
      <c r="E210" s="384"/>
    </row>
    <row r="211" spans="4:5" s="159" customFormat="1" ht="12.75" x14ac:dyDescent="0.2">
      <c r="D211" s="384"/>
      <c r="E211" s="384"/>
    </row>
    <row r="212" spans="4:5" s="159" customFormat="1" ht="12.75" x14ac:dyDescent="0.2">
      <c r="D212" s="384"/>
      <c r="E212" s="384"/>
    </row>
    <row r="213" spans="4:5" s="159" customFormat="1" ht="12.75" x14ac:dyDescent="0.2">
      <c r="D213" s="384"/>
      <c r="E213" s="384"/>
    </row>
    <row r="214" spans="4:5" s="159" customFormat="1" ht="12.75" x14ac:dyDescent="0.2">
      <c r="D214" s="384"/>
      <c r="E214" s="384"/>
    </row>
    <row r="215" spans="4:5" s="159" customFormat="1" ht="12.75" x14ac:dyDescent="0.2">
      <c r="D215" s="384"/>
      <c r="E215" s="384"/>
    </row>
    <row r="216" spans="4:5" s="159" customFormat="1" ht="12.75" x14ac:dyDescent="0.2">
      <c r="D216" s="384"/>
      <c r="E216" s="384"/>
    </row>
    <row r="217" spans="4:5" s="159" customFormat="1" ht="12.75" x14ac:dyDescent="0.2">
      <c r="D217" s="384"/>
      <c r="E217" s="384"/>
    </row>
    <row r="218" spans="4:5" s="159" customFormat="1" ht="12.75" x14ac:dyDescent="0.2">
      <c r="D218" s="384"/>
      <c r="E218" s="384"/>
    </row>
    <row r="219" spans="4:5" s="159" customFormat="1" ht="12.75" x14ac:dyDescent="0.2">
      <c r="D219" s="384"/>
      <c r="E219" s="384"/>
    </row>
    <row r="220" spans="4:5" s="159" customFormat="1" ht="12.75" x14ac:dyDescent="0.2">
      <c r="D220" s="384"/>
      <c r="E220" s="384"/>
    </row>
    <row r="221" spans="4:5" s="159" customFormat="1" ht="12.75" x14ac:dyDescent="0.2">
      <c r="D221" s="384"/>
      <c r="E221" s="384"/>
    </row>
    <row r="222" spans="4:5" s="159" customFormat="1" ht="12.75" x14ac:dyDescent="0.2">
      <c r="D222" s="384"/>
      <c r="E222" s="384"/>
    </row>
    <row r="223" spans="4:5" s="159" customFormat="1" ht="12.75" x14ac:dyDescent="0.2">
      <c r="D223" s="384"/>
      <c r="E223" s="384"/>
    </row>
    <row r="224" spans="4:5" s="159" customFormat="1" ht="12.75" x14ac:dyDescent="0.2">
      <c r="D224" s="384"/>
      <c r="E224" s="384"/>
    </row>
    <row r="225" spans="4:5" s="159" customFormat="1" ht="12.75" x14ac:dyDescent="0.2">
      <c r="D225" s="384"/>
      <c r="E225" s="384"/>
    </row>
    <row r="226" spans="4:5" s="159" customFormat="1" ht="12.75" x14ac:dyDescent="0.2">
      <c r="D226" s="384"/>
      <c r="E226" s="384"/>
    </row>
    <row r="227" spans="4:5" s="159" customFormat="1" ht="12.75" x14ac:dyDescent="0.2">
      <c r="D227" s="384"/>
      <c r="E227" s="384"/>
    </row>
    <row r="228" spans="4:5" s="159" customFormat="1" ht="12.75" x14ac:dyDescent="0.2">
      <c r="D228" s="384"/>
      <c r="E228" s="384"/>
    </row>
    <row r="229" spans="4:5" s="159" customFormat="1" ht="12.75" x14ac:dyDescent="0.2">
      <c r="D229" s="384"/>
      <c r="E229" s="384"/>
    </row>
    <row r="230" spans="4:5" s="159" customFormat="1" ht="12.75" x14ac:dyDescent="0.2">
      <c r="D230" s="384"/>
      <c r="E230" s="384"/>
    </row>
    <row r="231" spans="4:5" s="159" customFormat="1" ht="12.75" x14ac:dyDescent="0.2">
      <c r="D231" s="384"/>
      <c r="E231" s="384"/>
    </row>
    <row r="232" spans="4:5" s="159" customFormat="1" ht="12.75" x14ac:dyDescent="0.2">
      <c r="D232" s="384"/>
      <c r="E232" s="384"/>
    </row>
    <row r="233" spans="4:5" s="159" customFormat="1" ht="12.75" x14ac:dyDescent="0.2">
      <c r="D233" s="384"/>
      <c r="E233" s="384"/>
    </row>
    <row r="234" spans="4:5" s="159" customFormat="1" ht="12.75" x14ac:dyDescent="0.2">
      <c r="D234" s="384"/>
      <c r="E234" s="384"/>
    </row>
    <row r="235" spans="4:5" s="159" customFormat="1" ht="12.75" x14ac:dyDescent="0.2">
      <c r="D235" s="384"/>
      <c r="E235" s="384"/>
    </row>
    <row r="236" spans="4:5" s="159" customFormat="1" ht="12.75" x14ac:dyDescent="0.2">
      <c r="D236" s="384"/>
      <c r="E236" s="384"/>
    </row>
    <row r="237" spans="4:5" s="159" customFormat="1" ht="12.75" x14ac:dyDescent="0.2">
      <c r="D237" s="384"/>
      <c r="E237" s="384"/>
    </row>
    <row r="238" spans="4:5" s="159" customFormat="1" ht="12.75" x14ac:dyDescent="0.2">
      <c r="D238" s="384"/>
      <c r="E238" s="384"/>
    </row>
    <row r="239" spans="4:5" s="159" customFormat="1" ht="12.75" x14ac:dyDescent="0.2">
      <c r="D239" s="384"/>
      <c r="E239" s="384"/>
    </row>
    <row r="240" spans="4:5" s="159" customFormat="1" ht="12.75" x14ac:dyDescent="0.2">
      <c r="D240" s="384"/>
      <c r="E240" s="384"/>
    </row>
    <row r="241" spans="4:5" s="159" customFormat="1" ht="12.75" x14ac:dyDescent="0.2">
      <c r="D241" s="384"/>
      <c r="E241" s="384"/>
    </row>
    <row r="242" spans="4:5" s="159" customFormat="1" ht="12.75" x14ac:dyDescent="0.2">
      <c r="D242" s="384"/>
      <c r="E242" s="384"/>
    </row>
    <row r="243" spans="4:5" s="159" customFormat="1" ht="12.75" x14ac:dyDescent="0.2">
      <c r="D243" s="384"/>
      <c r="E243" s="384"/>
    </row>
    <row r="244" spans="4:5" s="159" customFormat="1" ht="12.75" x14ac:dyDescent="0.2">
      <c r="D244" s="384"/>
      <c r="E244" s="384"/>
    </row>
    <row r="245" spans="4:5" s="159" customFormat="1" ht="12.75" x14ac:dyDescent="0.2">
      <c r="D245" s="384"/>
      <c r="E245" s="384"/>
    </row>
    <row r="246" spans="4:5" s="159" customFormat="1" ht="12.75" x14ac:dyDescent="0.2">
      <c r="D246" s="384"/>
      <c r="E246" s="384"/>
    </row>
    <row r="247" spans="4:5" s="159" customFormat="1" ht="12.75" x14ac:dyDescent="0.2">
      <c r="D247" s="384"/>
      <c r="E247" s="384"/>
    </row>
    <row r="248" spans="4:5" s="159" customFormat="1" ht="12.75" x14ac:dyDescent="0.2">
      <c r="D248" s="384"/>
      <c r="E248" s="384"/>
    </row>
    <row r="249" spans="4:5" s="159" customFormat="1" ht="12.75" x14ac:dyDescent="0.2">
      <c r="D249" s="384"/>
      <c r="E249" s="384"/>
    </row>
    <row r="250" spans="4:5" s="159" customFormat="1" ht="12.75" x14ac:dyDescent="0.2">
      <c r="D250" s="384"/>
      <c r="E250" s="384"/>
    </row>
    <row r="251" spans="4:5" s="159" customFormat="1" ht="12.75" x14ac:dyDescent="0.2">
      <c r="D251" s="384"/>
      <c r="E251" s="384"/>
    </row>
    <row r="252" spans="4:5" s="159" customFormat="1" ht="12.75" x14ac:dyDescent="0.2">
      <c r="D252" s="384"/>
      <c r="E252" s="384"/>
    </row>
    <row r="253" spans="4:5" s="159" customFormat="1" ht="12.75" x14ac:dyDescent="0.2">
      <c r="D253" s="384"/>
      <c r="E253" s="384"/>
    </row>
    <row r="254" spans="4:5" s="159" customFormat="1" ht="12.75" x14ac:dyDescent="0.2">
      <c r="D254" s="384"/>
      <c r="E254" s="384"/>
    </row>
    <row r="255" spans="4:5" s="159" customFormat="1" ht="12.75" x14ac:dyDescent="0.2">
      <c r="D255" s="384"/>
      <c r="E255" s="384"/>
    </row>
    <row r="256" spans="4:5" s="159" customFormat="1" ht="12.75" x14ac:dyDescent="0.2">
      <c r="D256" s="384"/>
      <c r="E256" s="384"/>
    </row>
    <row r="257" spans="2:5" s="159" customFormat="1" ht="12.75" x14ac:dyDescent="0.2">
      <c r="D257" s="384"/>
      <c r="E257" s="384"/>
    </row>
    <row r="258" spans="2:5" s="159" customFormat="1" x14ac:dyDescent="0.25">
      <c r="B258"/>
      <c r="C258"/>
      <c r="D258" s="310"/>
      <c r="E258" s="310"/>
    </row>
    <row r="259" spans="2:5" s="159" customFormat="1" x14ac:dyDescent="0.25">
      <c r="B259"/>
      <c r="C259"/>
      <c r="D259" s="310"/>
      <c r="E259" s="310"/>
    </row>
  </sheetData>
  <sheetProtection selectLockedCells="1" selectUnlockedCells="1"/>
  <mergeCells count="32">
    <mergeCell ref="B2:C2"/>
    <mergeCell ref="B3:C3"/>
    <mergeCell ref="D5:F5"/>
    <mergeCell ref="G5:I5"/>
    <mergeCell ref="J6:K6"/>
    <mergeCell ref="J4:K4"/>
    <mergeCell ref="L6:M6"/>
    <mergeCell ref="N6:O6"/>
    <mergeCell ref="P6:Q6"/>
    <mergeCell ref="R6:S6"/>
    <mergeCell ref="T6:U6"/>
    <mergeCell ref="AF6:AG6"/>
    <mergeCell ref="AH6:AI6"/>
    <mergeCell ref="AJ6:AK6"/>
    <mergeCell ref="V6:W6"/>
    <mergeCell ref="X6:Y6"/>
    <mergeCell ref="Z6:AA6"/>
    <mergeCell ref="AB6:AC6"/>
    <mergeCell ref="AD6:AE6"/>
    <mergeCell ref="L4:M4"/>
    <mergeCell ref="N4:O4"/>
    <mergeCell ref="P4:Q4"/>
    <mergeCell ref="R4:S4"/>
    <mergeCell ref="T4:U4"/>
    <mergeCell ref="AF4:AG4"/>
    <mergeCell ref="AH4:AI4"/>
    <mergeCell ref="AJ4:AK4"/>
    <mergeCell ref="V4:W4"/>
    <mergeCell ref="X4:Y4"/>
    <mergeCell ref="Z4:AA4"/>
    <mergeCell ref="AB4:AC4"/>
    <mergeCell ref="AD4:AE4"/>
  </mergeCells>
  <printOptions horizontalCentered="1"/>
  <pageMargins left="0.27559055118110237" right="0.11811023622047245" top="0.35433070866141736" bottom="0.35433070866141736" header="0.51181102362204722" footer="0.19685039370078741"/>
  <pageSetup paperSize="9" scale="59" firstPageNumber="0" fitToWidth="0" orientation="portrait" horizontalDpi="300" verticalDpi="300" r:id="rId1"/>
  <headerFooter alignWithMargins="0">
    <oddFooter>&amp;R&amp;P</oddFooter>
  </headerFooter>
  <colBreaks count="5" manualBreakCount="5">
    <brk id="9" max="130" man="1"/>
    <brk id="15" max="130" man="1"/>
    <brk id="21" max="130" man="1"/>
    <brk id="27" max="130" man="1"/>
    <brk id="33" max="130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  <pageSetUpPr fitToPage="1"/>
  </sheetPr>
  <dimension ref="A1:T51"/>
  <sheetViews>
    <sheetView view="pageBreakPreview" zoomScale="80" zoomScaleSheetLayoutView="80" workbookViewId="0">
      <selection activeCell="G8" sqref="G1:L1048576"/>
    </sheetView>
  </sheetViews>
  <sheetFormatPr defaultRowHeight="15" x14ac:dyDescent="0.25"/>
  <cols>
    <col min="1" max="1" width="5.42578125" style="143" customWidth="1"/>
    <col min="2" max="2" width="55.7109375" style="146" customWidth="1"/>
    <col min="3" max="20" width="10.85546875" style="143" customWidth="1"/>
    <col min="21" max="16384" width="9.140625" style="143"/>
  </cols>
  <sheetData>
    <row r="1" spans="1:20" ht="25.5" customHeight="1" x14ac:dyDescent="0.3">
      <c r="B1" s="489" t="s">
        <v>857</v>
      </c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"/>
      <c r="O1" s="146"/>
      <c r="P1" s="146"/>
      <c r="Q1" s="146"/>
      <c r="R1" s="146"/>
      <c r="T1" s="15" t="s">
        <v>639</v>
      </c>
    </row>
    <row r="2" spans="1:20" ht="23.25" customHeight="1" x14ac:dyDescent="0.35">
      <c r="B2" s="18" t="s">
        <v>640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225"/>
      <c r="P2" s="225"/>
      <c r="Q2" s="225"/>
      <c r="R2" s="225"/>
      <c r="T2" s="16" t="s">
        <v>905</v>
      </c>
    </row>
    <row r="4" spans="1:20" x14ac:dyDescent="0.25">
      <c r="B4" s="226" t="s">
        <v>641</v>
      </c>
      <c r="C4" s="226"/>
      <c r="D4" s="226"/>
    </row>
    <row r="5" spans="1:20" x14ac:dyDescent="0.25">
      <c r="C5" s="226"/>
      <c r="D5" s="226"/>
    </row>
    <row r="6" spans="1:20" ht="33" customHeight="1" x14ac:dyDescent="0.25">
      <c r="C6" s="431" t="s">
        <v>565</v>
      </c>
      <c r="D6" s="431" t="s">
        <v>906</v>
      </c>
      <c r="E6" s="431" t="s">
        <v>565</v>
      </c>
      <c r="F6" s="431" t="s">
        <v>906</v>
      </c>
      <c r="G6" s="431" t="s">
        <v>565</v>
      </c>
      <c r="H6" s="431" t="s">
        <v>906</v>
      </c>
      <c r="I6" s="431" t="s">
        <v>565</v>
      </c>
      <c r="J6" s="431" t="s">
        <v>906</v>
      </c>
      <c r="K6" s="431" t="s">
        <v>565</v>
      </c>
      <c r="L6" s="431" t="s">
        <v>906</v>
      </c>
      <c r="M6" s="431" t="s">
        <v>565</v>
      </c>
      <c r="N6" s="431" t="s">
        <v>906</v>
      </c>
      <c r="O6" s="431" t="s">
        <v>565</v>
      </c>
      <c r="P6" s="431" t="s">
        <v>906</v>
      </c>
      <c r="Q6" s="431" t="s">
        <v>565</v>
      </c>
      <c r="R6" s="431" t="s">
        <v>906</v>
      </c>
      <c r="S6" s="431" t="s">
        <v>565</v>
      </c>
      <c r="T6" s="431" t="s">
        <v>906</v>
      </c>
    </row>
    <row r="7" spans="1:20" s="228" customFormat="1" ht="102" customHeight="1" x14ac:dyDescent="0.2">
      <c r="A7" s="227" t="s">
        <v>642</v>
      </c>
      <c r="B7" s="425" t="s">
        <v>643</v>
      </c>
      <c r="C7" s="511" t="s">
        <v>644</v>
      </c>
      <c r="D7" s="511"/>
      <c r="E7" s="511" t="s">
        <v>2</v>
      </c>
      <c r="F7" s="511"/>
      <c r="G7" s="511" t="s">
        <v>4</v>
      </c>
      <c r="H7" s="511"/>
      <c r="I7" s="511" t="s">
        <v>5</v>
      </c>
      <c r="J7" s="511"/>
      <c r="K7" s="511" t="s">
        <v>6</v>
      </c>
      <c r="L7" s="511"/>
      <c r="M7" s="511" t="s">
        <v>8</v>
      </c>
      <c r="N7" s="511"/>
      <c r="O7" s="511" t="s">
        <v>635</v>
      </c>
      <c r="P7" s="511"/>
      <c r="Q7" s="511" t="s">
        <v>3</v>
      </c>
      <c r="R7" s="511"/>
      <c r="S7" s="512" t="s">
        <v>907</v>
      </c>
      <c r="T7" s="513"/>
    </row>
    <row r="8" spans="1:20" s="159" customFormat="1" ht="15" customHeight="1" x14ac:dyDescent="0.2">
      <c r="A8" s="167">
        <v>1</v>
      </c>
      <c r="B8" s="426" t="s">
        <v>645</v>
      </c>
      <c r="C8" s="365"/>
      <c r="D8" s="365"/>
      <c r="E8" s="365">
        <v>2</v>
      </c>
      <c r="F8" s="365">
        <v>2</v>
      </c>
      <c r="G8" s="365"/>
      <c r="H8" s="365"/>
      <c r="I8" s="365"/>
      <c r="J8" s="365"/>
      <c r="K8" s="365"/>
      <c r="L8" s="365"/>
      <c r="M8" s="365"/>
      <c r="N8" s="365"/>
      <c r="O8" s="365"/>
      <c r="P8" s="365"/>
      <c r="Q8" s="365"/>
      <c r="R8" s="365"/>
      <c r="S8" s="432">
        <f t="shared" ref="S8:T11" si="0">+C8+E8+G8+I8+K8+M8+O8+Q8</f>
        <v>2</v>
      </c>
      <c r="T8" s="432">
        <f t="shared" si="0"/>
        <v>2</v>
      </c>
    </row>
    <row r="9" spans="1:20" s="159" customFormat="1" ht="15" customHeight="1" x14ac:dyDescent="0.2">
      <c r="A9" s="167">
        <v>2</v>
      </c>
      <c r="B9" s="426" t="s">
        <v>646</v>
      </c>
      <c r="C9" s="365"/>
      <c r="D9" s="365"/>
      <c r="E9" s="365">
        <v>18</v>
      </c>
      <c r="F9" s="365">
        <v>18</v>
      </c>
      <c r="G9" s="365"/>
      <c r="H9" s="365"/>
      <c r="I9" s="365"/>
      <c r="J9" s="365"/>
      <c r="K9" s="365"/>
      <c r="L9" s="365"/>
      <c r="M9" s="365"/>
      <c r="N9" s="365"/>
      <c r="O9" s="365"/>
      <c r="P9" s="365"/>
      <c r="Q9" s="365"/>
      <c r="R9" s="365"/>
      <c r="S9" s="432">
        <f t="shared" si="0"/>
        <v>18</v>
      </c>
      <c r="T9" s="432">
        <f t="shared" si="0"/>
        <v>18</v>
      </c>
    </row>
    <row r="10" spans="1:20" s="159" customFormat="1" ht="15" customHeight="1" x14ac:dyDescent="0.2">
      <c r="A10" s="167">
        <v>3</v>
      </c>
      <c r="B10" s="426" t="s">
        <v>647</v>
      </c>
      <c r="C10" s="365"/>
      <c r="D10" s="365"/>
      <c r="E10" s="365">
        <v>15</v>
      </c>
      <c r="F10" s="365">
        <v>15</v>
      </c>
      <c r="G10" s="365"/>
      <c r="H10" s="365"/>
      <c r="I10" s="365"/>
      <c r="J10" s="365"/>
      <c r="K10" s="365"/>
      <c r="L10" s="365"/>
      <c r="M10" s="365"/>
      <c r="N10" s="365"/>
      <c r="O10" s="365"/>
      <c r="P10" s="365"/>
      <c r="Q10" s="365"/>
      <c r="R10" s="365"/>
      <c r="S10" s="432">
        <f t="shared" si="0"/>
        <v>15</v>
      </c>
      <c r="T10" s="432">
        <f t="shared" si="0"/>
        <v>15</v>
      </c>
    </row>
    <row r="11" spans="1:20" s="159" customFormat="1" ht="15" customHeight="1" x14ac:dyDescent="0.2">
      <c r="A11" s="167">
        <v>4</v>
      </c>
      <c r="B11" s="426" t="s">
        <v>648</v>
      </c>
      <c r="C11" s="365"/>
      <c r="D11" s="365"/>
      <c r="E11" s="365">
        <v>1</v>
      </c>
      <c r="F11" s="365">
        <v>1</v>
      </c>
      <c r="G11" s="365"/>
      <c r="H11" s="365"/>
      <c r="I11" s="365"/>
      <c r="J11" s="365"/>
      <c r="K11" s="365"/>
      <c r="L11" s="365"/>
      <c r="M11" s="365"/>
      <c r="N11" s="365"/>
      <c r="O11" s="365"/>
      <c r="P11" s="365"/>
      <c r="Q11" s="365"/>
      <c r="R11" s="365"/>
      <c r="S11" s="432">
        <f t="shared" si="0"/>
        <v>1</v>
      </c>
      <c r="T11" s="432">
        <f t="shared" si="0"/>
        <v>1</v>
      </c>
    </row>
    <row r="12" spans="1:20" s="177" customFormat="1" ht="24.75" customHeight="1" x14ac:dyDescent="0.2">
      <c r="A12" s="229">
        <v>5</v>
      </c>
      <c r="B12" s="427" t="s">
        <v>649</v>
      </c>
      <c r="C12" s="433">
        <f t="shared" ref="C12:T12" si="1">SUM(C8:C11)</f>
        <v>0</v>
      </c>
      <c r="D12" s="433">
        <f t="shared" si="1"/>
        <v>0</v>
      </c>
      <c r="E12" s="433">
        <f t="shared" si="1"/>
        <v>36</v>
      </c>
      <c r="F12" s="433">
        <f t="shared" si="1"/>
        <v>36</v>
      </c>
      <c r="G12" s="433">
        <f t="shared" si="1"/>
        <v>0</v>
      </c>
      <c r="H12" s="433">
        <f t="shared" si="1"/>
        <v>0</v>
      </c>
      <c r="I12" s="433">
        <f t="shared" si="1"/>
        <v>0</v>
      </c>
      <c r="J12" s="433">
        <f t="shared" si="1"/>
        <v>0</v>
      </c>
      <c r="K12" s="433">
        <f t="shared" si="1"/>
        <v>0</v>
      </c>
      <c r="L12" s="433">
        <f t="shared" si="1"/>
        <v>0</v>
      </c>
      <c r="M12" s="433">
        <f t="shared" si="1"/>
        <v>0</v>
      </c>
      <c r="N12" s="433">
        <f t="shared" si="1"/>
        <v>0</v>
      </c>
      <c r="O12" s="433">
        <f t="shared" si="1"/>
        <v>0</v>
      </c>
      <c r="P12" s="433">
        <f t="shared" si="1"/>
        <v>0</v>
      </c>
      <c r="Q12" s="433">
        <f t="shared" si="1"/>
        <v>0</v>
      </c>
      <c r="R12" s="433">
        <f t="shared" si="1"/>
        <v>0</v>
      </c>
      <c r="S12" s="433">
        <f t="shared" si="1"/>
        <v>36</v>
      </c>
      <c r="T12" s="433">
        <f t="shared" si="1"/>
        <v>36</v>
      </c>
    </row>
    <row r="13" spans="1:20" s="159" customFormat="1" ht="15" customHeight="1" x14ac:dyDescent="0.2">
      <c r="A13" s="167">
        <v>6</v>
      </c>
      <c r="B13" s="426" t="s">
        <v>650</v>
      </c>
      <c r="C13" s="365"/>
      <c r="D13" s="365"/>
      <c r="E13" s="365"/>
      <c r="F13" s="365"/>
      <c r="G13" s="365">
        <v>1</v>
      </c>
      <c r="H13" s="365">
        <v>1</v>
      </c>
      <c r="I13" s="365">
        <v>3</v>
      </c>
      <c r="J13" s="365">
        <v>3</v>
      </c>
      <c r="K13" s="365"/>
      <c r="L13" s="365"/>
      <c r="M13" s="365">
        <v>1</v>
      </c>
      <c r="N13" s="365">
        <v>1</v>
      </c>
      <c r="O13" s="365">
        <v>1</v>
      </c>
      <c r="P13" s="365">
        <v>1</v>
      </c>
      <c r="Q13" s="365">
        <v>1</v>
      </c>
      <c r="R13" s="365">
        <v>1</v>
      </c>
      <c r="S13" s="432">
        <f t="shared" ref="S13:T23" si="2">+C13+E13+G13+I13+K13+M13+O13+Q13</f>
        <v>7</v>
      </c>
      <c r="T13" s="432">
        <f t="shared" si="2"/>
        <v>7</v>
      </c>
    </row>
    <row r="14" spans="1:20" s="159" customFormat="1" ht="27.75" customHeight="1" x14ac:dyDescent="0.2">
      <c r="A14" s="167">
        <v>7</v>
      </c>
      <c r="B14" s="426" t="s">
        <v>651</v>
      </c>
      <c r="C14" s="365"/>
      <c r="D14" s="365"/>
      <c r="E14" s="365"/>
      <c r="F14" s="365"/>
      <c r="G14" s="365">
        <v>1</v>
      </c>
      <c r="H14" s="365">
        <v>1</v>
      </c>
      <c r="I14" s="365">
        <v>1</v>
      </c>
      <c r="J14" s="365">
        <v>1</v>
      </c>
      <c r="K14" s="365">
        <v>1</v>
      </c>
      <c r="L14" s="365">
        <v>1</v>
      </c>
      <c r="M14" s="365"/>
      <c r="N14" s="365"/>
      <c r="O14" s="365"/>
      <c r="P14" s="365"/>
      <c r="Q14" s="365">
        <v>4</v>
      </c>
      <c r="R14" s="365">
        <v>4</v>
      </c>
      <c r="S14" s="432">
        <f t="shared" si="2"/>
        <v>7</v>
      </c>
      <c r="T14" s="432">
        <f t="shared" si="2"/>
        <v>7</v>
      </c>
    </row>
    <row r="15" spans="1:20" s="159" customFormat="1" ht="15" customHeight="1" x14ac:dyDescent="0.2">
      <c r="A15" s="167">
        <v>8</v>
      </c>
      <c r="B15" s="426" t="s">
        <v>652</v>
      </c>
      <c r="C15" s="365"/>
      <c r="D15" s="365"/>
      <c r="E15" s="365"/>
      <c r="F15" s="365"/>
      <c r="G15" s="365"/>
      <c r="H15" s="365"/>
      <c r="I15" s="365">
        <v>8</v>
      </c>
      <c r="J15" s="365">
        <v>8</v>
      </c>
      <c r="K15" s="365"/>
      <c r="L15" s="365"/>
      <c r="M15" s="365"/>
      <c r="N15" s="365"/>
      <c r="O15" s="365"/>
      <c r="P15" s="365"/>
      <c r="Q15" s="365"/>
      <c r="R15" s="365"/>
      <c r="S15" s="432">
        <f t="shared" si="2"/>
        <v>8</v>
      </c>
      <c r="T15" s="432">
        <f t="shared" si="2"/>
        <v>8</v>
      </c>
    </row>
    <row r="16" spans="1:20" s="159" customFormat="1" ht="15" customHeight="1" x14ac:dyDescent="0.2">
      <c r="A16" s="167">
        <v>9</v>
      </c>
      <c r="B16" s="426" t="s">
        <v>653</v>
      </c>
      <c r="C16" s="365"/>
      <c r="D16" s="365"/>
      <c r="E16" s="365"/>
      <c r="F16" s="365"/>
      <c r="G16" s="365"/>
      <c r="H16" s="365"/>
      <c r="I16" s="365"/>
      <c r="J16" s="365"/>
      <c r="K16" s="365">
        <v>1</v>
      </c>
      <c r="L16" s="365">
        <v>1</v>
      </c>
      <c r="M16" s="365"/>
      <c r="N16" s="365"/>
      <c r="O16" s="365"/>
      <c r="P16" s="365"/>
      <c r="Q16" s="365"/>
      <c r="R16" s="365"/>
      <c r="S16" s="432">
        <f t="shared" ref="S16:S23" si="3">+C16+E16+G16+I16+K16+M16+O16+Q16</f>
        <v>1</v>
      </c>
      <c r="T16" s="432">
        <f t="shared" si="2"/>
        <v>1</v>
      </c>
    </row>
    <row r="17" spans="1:20" s="159" customFormat="1" ht="15" customHeight="1" x14ac:dyDescent="0.2">
      <c r="A17" s="167">
        <v>10</v>
      </c>
      <c r="B17" s="426" t="s">
        <v>654</v>
      </c>
      <c r="C17" s="365"/>
      <c r="D17" s="365"/>
      <c r="E17" s="365"/>
      <c r="F17" s="365"/>
      <c r="G17" s="365"/>
      <c r="H17" s="365"/>
      <c r="I17" s="365"/>
      <c r="J17" s="365"/>
      <c r="K17" s="365">
        <v>17</v>
      </c>
      <c r="L17" s="365">
        <v>17</v>
      </c>
      <c r="M17" s="365"/>
      <c r="N17" s="365"/>
      <c r="O17" s="365"/>
      <c r="P17" s="365"/>
      <c r="Q17" s="365"/>
      <c r="R17" s="365"/>
      <c r="S17" s="432">
        <f t="shared" si="3"/>
        <v>17</v>
      </c>
      <c r="T17" s="432">
        <f t="shared" si="2"/>
        <v>17</v>
      </c>
    </row>
    <row r="18" spans="1:20" s="159" customFormat="1" ht="15" customHeight="1" x14ac:dyDescent="0.2">
      <c r="A18" s="167">
        <v>11</v>
      </c>
      <c r="B18" s="426" t="s">
        <v>655</v>
      </c>
      <c r="C18" s="365"/>
      <c r="D18" s="365"/>
      <c r="E18" s="365"/>
      <c r="F18" s="365"/>
      <c r="G18" s="365"/>
      <c r="H18" s="365"/>
      <c r="I18" s="365"/>
      <c r="J18" s="365"/>
      <c r="K18" s="365">
        <v>3</v>
      </c>
      <c r="L18" s="365">
        <v>3</v>
      </c>
      <c r="M18" s="365"/>
      <c r="N18" s="365"/>
      <c r="O18" s="365"/>
      <c r="P18" s="365"/>
      <c r="Q18" s="365"/>
      <c r="R18" s="365"/>
      <c r="S18" s="432">
        <f t="shared" si="3"/>
        <v>3</v>
      </c>
      <c r="T18" s="432">
        <f t="shared" si="2"/>
        <v>3</v>
      </c>
    </row>
    <row r="19" spans="1:20" s="159" customFormat="1" ht="15" customHeight="1" x14ac:dyDescent="0.2">
      <c r="A19" s="167">
        <v>12</v>
      </c>
      <c r="B19" s="426" t="s">
        <v>656</v>
      </c>
      <c r="C19" s="365"/>
      <c r="D19" s="365"/>
      <c r="E19" s="365"/>
      <c r="F19" s="365"/>
      <c r="G19" s="365"/>
      <c r="H19" s="365"/>
      <c r="I19" s="365"/>
      <c r="J19" s="365"/>
      <c r="K19" s="365">
        <v>1</v>
      </c>
      <c r="L19" s="365">
        <v>1</v>
      </c>
      <c r="M19" s="365"/>
      <c r="N19" s="365"/>
      <c r="O19" s="365"/>
      <c r="P19" s="365"/>
      <c r="Q19" s="365"/>
      <c r="R19" s="365"/>
      <c r="S19" s="432">
        <f t="shared" si="3"/>
        <v>1</v>
      </c>
      <c r="T19" s="432">
        <f t="shared" si="2"/>
        <v>1</v>
      </c>
    </row>
    <row r="20" spans="1:20" s="159" customFormat="1" ht="15" customHeight="1" x14ac:dyDescent="0.2">
      <c r="A20" s="167">
        <v>13</v>
      </c>
      <c r="B20" s="426" t="s">
        <v>657</v>
      </c>
      <c r="C20" s="365"/>
      <c r="D20" s="365"/>
      <c r="E20" s="365"/>
      <c r="F20" s="365"/>
      <c r="G20" s="365">
        <v>6</v>
      </c>
      <c r="H20" s="365">
        <v>6</v>
      </c>
      <c r="I20" s="365">
        <v>26</v>
      </c>
      <c r="J20" s="365">
        <v>26</v>
      </c>
      <c r="K20" s="365">
        <v>46</v>
      </c>
      <c r="L20" s="365">
        <v>46</v>
      </c>
      <c r="M20" s="365">
        <v>1</v>
      </c>
      <c r="N20" s="365">
        <v>1</v>
      </c>
      <c r="O20" s="365">
        <v>2</v>
      </c>
      <c r="P20" s="365">
        <v>2</v>
      </c>
      <c r="Q20" s="365">
        <v>30</v>
      </c>
      <c r="R20" s="365">
        <v>30</v>
      </c>
      <c r="S20" s="432">
        <f t="shared" si="3"/>
        <v>111</v>
      </c>
      <c r="T20" s="432">
        <f t="shared" si="2"/>
        <v>111</v>
      </c>
    </row>
    <row r="21" spans="1:20" s="159" customFormat="1" ht="15" customHeight="1" x14ac:dyDescent="0.2">
      <c r="A21" s="167">
        <v>14</v>
      </c>
      <c r="B21" s="426" t="s">
        <v>658</v>
      </c>
      <c r="C21" s="365"/>
      <c r="D21" s="365"/>
      <c r="E21" s="365"/>
      <c r="F21" s="365"/>
      <c r="G21" s="365">
        <v>18</v>
      </c>
      <c r="H21" s="365">
        <v>18</v>
      </c>
      <c r="I21" s="365">
        <v>21</v>
      </c>
      <c r="J21" s="365">
        <v>21</v>
      </c>
      <c r="K21" s="365">
        <v>19</v>
      </c>
      <c r="L21" s="365">
        <v>19</v>
      </c>
      <c r="M21" s="365"/>
      <c r="N21" s="365"/>
      <c r="O21" s="365">
        <v>4</v>
      </c>
      <c r="P21" s="365">
        <v>4</v>
      </c>
      <c r="Q21" s="365">
        <v>17</v>
      </c>
      <c r="R21" s="365">
        <v>17</v>
      </c>
      <c r="S21" s="432">
        <f t="shared" si="3"/>
        <v>79</v>
      </c>
      <c r="T21" s="432">
        <f t="shared" si="2"/>
        <v>79</v>
      </c>
    </row>
    <row r="22" spans="1:20" s="159" customFormat="1" ht="15" customHeight="1" x14ac:dyDescent="0.2">
      <c r="A22" s="167">
        <v>15</v>
      </c>
      <c r="B22" s="426" t="s">
        <v>659</v>
      </c>
      <c r="C22" s="365"/>
      <c r="D22" s="365"/>
      <c r="E22" s="365"/>
      <c r="F22" s="365"/>
      <c r="G22" s="365">
        <v>31</v>
      </c>
      <c r="H22" s="365">
        <v>31</v>
      </c>
      <c r="I22" s="365">
        <v>47</v>
      </c>
      <c r="J22" s="365">
        <v>47</v>
      </c>
      <c r="K22" s="365">
        <v>9</v>
      </c>
      <c r="L22" s="365">
        <v>9</v>
      </c>
      <c r="M22" s="365">
        <v>4</v>
      </c>
      <c r="N22" s="365">
        <v>4</v>
      </c>
      <c r="O22" s="365">
        <v>2</v>
      </c>
      <c r="P22" s="365">
        <v>2</v>
      </c>
      <c r="Q22" s="365"/>
      <c r="R22" s="365"/>
      <c r="S22" s="432">
        <f t="shared" si="3"/>
        <v>93</v>
      </c>
      <c r="T22" s="432">
        <f t="shared" si="2"/>
        <v>93</v>
      </c>
    </row>
    <row r="23" spans="1:20" s="159" customFormat="1" ht="15" customHeight="1" x14ac:dyDescent="0.2">
      <c r="A23" s="167">
        <v>16</v>
      </c>
      <c r="B23" s="426" t="s">
        <v>660</v>
      </c>
      <c r="C23" s="365"/>
      <c r="D23" s="365"/>
      <c r="E23" s="365"/>
      <c r="F23" s="365"/>
      <c r="G23" s="365"/>
      <c r="H23" s="365"/>
      <c r="I23" s="365"/>
      <c r="J23" s="365"/>
      <c r="K23" s="365">
        <v>5</v>
      </c>
      <c r="L23" s="365">
        <v>5</v>
      </c>
      <c r="M23" s="365"/>
      <c r="N23" s="365"/>
      <c r="O23" s="365"/>
      <c r="P23" s="365"/>
      <c r="Q23" s="365"/>
      <c r="R23" s="365"/>
      <c r="S23" s="432">
        <f t="shared" si="3"/>
        <v>5</v>
      </c>
      <c r="T23" s="432">
        <f t="shared" si="2"/>
        <v>5</v>
      </c>
    </row>
    <row r="24" spans="1:20" s="177" customFormat="1" ht="15" customHeight="1" x14ac:dyDescent="0.2">
      <c r="A24" s="362">
        <v>17</v>
      </c>
      <c r="B24" s="428" t="s">
        <v>661</v>
      </c>
      <c r="C24" s="433">
        <f t="shared" ref="C24:T24" si="4">SUM(C13:C23)</f>
        <v>0</v>
      </c>
      <c r="D24" s="433">
        <f t="shared" si="4"/>
        <v>0</v>
      </c>
      <c r="E24" s="433">
        <f t="shared" si="4"/>
        <v>0</v>
      </c>
      <c r="F24" s="433">
        <f t="shared" si="4"/>
        <v>0</v>
      </c>
      <c r="G24" s="433">
        <f t="shared" si="4"/>
        <v>57</v>
      </c>
      <c r="H24" s="433">
        <f t="shared" si="4"/>
        <v>57</v>
      </c>
      <c r="I24" s="433">
        <f t="shared" si="4"/>
        <v>106</v>
      </c>
      <c r="J24" s="433">
        <f t="shared" si="4"/>
        <v>106</v>
      </c>
      <c r="K24" s="433">
        <f t="shared" si="4"/>
        <v>102</v>
      </c>
      <c r="L24" s="433">
        <f t="shared" si="4"/>
        <v>102</v>
      </c>
      <c r="M24" s="433">
        <f t="shared" si="4"/>
        <v>6</v>
      </c>
      <c r="N24" s="433">
        <f t="shared" si="4"/>
        <v>6</v>
      </c>
      <c r="O24" s="433">
        <f t="shared" si="4"/>
        <v>9</v>
      </c>
      <c r="P24" s="433">
        <f t="shared" si="4"/>
        <v>9</v>
      </c>
      <c r="Q24" s="433">
        <f t="shared" si="4"/>
        <v>52</v>
      </c>
      <c r="R24" s="433">
        <f t="shared" si="4"/>
        <v>52</v>
      </c>
      <c r="S24" s="433">
        <f t="shared" si="4"/>
        <v>332</v>
      </c>
      <c r="T24" s="433">
        <f t="shared" si="4"/>
        <v>332</v>
      </c>
    </row>
    <row r="25" spans="1:20" s="159" customFormat="1" ht="31.5" x14ac:dyDescent="0.2">
      <c r="A25" s="364">
        <v>18</v>
      </c>
      <c r="B25" s="429" t="s">
        <v>827</v>
      </c>
      <c r="C25" s="365"/>
      <c r="D25" s="365"/>
      <c r="E25" s="365"/>
      <c r="F25" s="365"/>
      <c r="G25" s="365"/>
      <c r="H25" s="365"/>
      <c r="I25" s="365"/>
      <c r="J25" s="365"/>
      <c r="K25" s="365"/>
      <c r="L25" s="365"/>
      <c r="M25" s="365"/>
      <c r="N25" s="365"/>
      <c r="O25" s="365"/>
      <c r="P25" s="365"/>
      <c r="Q25" s="365"/>
      <c r="R25" s="365"/>
      <c r="S25" s="432">
        <f t="shared" ref="S25:T31" si="5">+C25+E25+G25+I25+K25+M25+O25+Q25</f>
        <v>0</v>
      </c>
      <c r="T25" s="432">
        <f t="shared" si="5"/>
        <v>0</v>
      </c>
    </row>
    <row r="26" spans="1:20" s="159" customFormat="1" ht="21" x14ac:dyDescent="0.2">
      <c r="A26" s="364">
        <v>19</v>
      </c>
      <c r="B26" s="429" t="s">
        <v>828</v>
      </c>
      <c r="C26" s="365">
        <f>36-4+1</f>
        <v>33</v>
      </c>
      <c r="D26" s="365">
        <f>36-4+1</f>
        <v>33</v>
      </c>
      <c r="E26" s="365"/>
      <c r="F26" s="365"/>
      <c r="G26" s="365"/>
      <c r="H26" s="365"/>
      <c r="I26" s="365"/>
      <c r="J26" s="365"/>
      <c r="K26" s="365"/>
      <c r="L26" s="365"/>
      <c r="M26" s="365"/>
      <c r="N26" s="365"/>
      <c r="O26" s="365"/>
      <c r="P26" s="365"/>
      <c r="Q26" s="365"/>
      <c r="R26" s="365"/>
      <c r="S26" s="432">
        <f t="shared" si="5"/>
        <v>33</v>
      </c>
      <c r="T26" s="432">
        <f t="shared" si="5"/>
        <v>33</v>
      </c>
    </row>
    <row r="27" spans="1:20" s="159" customFormat="1" ht="21" x14ac:dyDescent="0.2">
      <c r="A27" s="364">
        <v>20</v>
      </c>
      <c r="B27" s="429" t="s">
        <v>829</v>
      </c>
      <c r="C27" s="365">
        <f>3+3+2</f>
        <v>8</v>
      </c>
      <c r="D27" s="365">
        <f>3+3+2</f>
        <v>8</v>
      </c>
      <c r="E27" s="365"/>
      <c r="F27" s="365"/>
      <c r="G27" s="365"/>
      <c r="H27" s="365"/>
      <c r="I27" s="365"/>
      <c r="J27" s="365"/>
      <c r="K27" s="365"/>
      <c r="L27" s="365"/>
      <c r="M27" s="365"/>
      <c r="N27" s="365"/>
      <c r="O27" s="365"/>
      <c r="P27" s="365"/>
      <c r="Q27" s="365"/>
      <c r="R27" s="365"/>
      <c r="S27" s="432">
        <f t="shared" si="5"/>
        <v>8</v>
      </c>
      <c r="T27" s="432">
        <f t="shared" si="5"/>
        <v>8</v>
      </c>
    </row>
    <row r="28" spans="1:20" s="159" customFormat="1" ht="25.5" x14ac:dyDescent="0.2">
      <c r="A28" s="363">
        <v>21</v>
      </c>
      <c r="B28" s="430" t="s">
        <v>662</v>
      </c>
      <c r="C28" s="365"/>
      <c r="D28" s="365"/>
      <c r="E28" s="365">
        <v>10</v>
      </c>
      <c r="F28" s="365">
        <v>10</v>
      </c>
      <c r="G28" s="365"/>
      <c r="H28" s="365"/>
      <c r="I28" s="365"/>
      <c r="J28" s="365"/>
      <c r="K28" s="365"/>
      <c r="L28" s="365"/>
      <c r="M28" s="365"/>
      <c r="N28" s="365"/>
      <c r="O28" s="365"/>
      <c r="P28" s="365"/>
      <c r="Q28" s="365">
        <v>40</v>
      </c>
      <c r="R28" s="365">
        <v>40</v>
      </c>
      <c r="S28" s="432">
        <f>+C28+E28+G28+I28+K28+M28+O28+Q28</f>
        <v>50</v>
      </c>
      <c r="T28" s="432">
        <f>+D28+F28+H28+J28+L28+N28+P28+R28</f>
        <v>50</v>
      </c>
    </row>
    <row r="29" spans="1:20" s="159" customFormat="1" ht="15" customHeight="1" x14ac:dyDescent="0.2">
      <c r="A29" s="167">
        <v>22</v>
      </c>
      <c r="B29" s="426" t="s">
        <v>663</v>
      </c>
      <c r="C29" s="365"/>
      <c r="D29" s="365"/>
      <c r="E29" s="365"/>
      <c r="F29" s="365"/>
      <c r="G29" s="365"/>
      <c r="H29" s="365"/>
      <c r="I29" s="365"/>
      <c r="J29" s="365"/>
      <c r="K29" s="365"/>
      <c r="L29" s="365"/>
      <c r="M29" s="365"/>
      <c r="N29" s="365"/>
      <c r="O29" s="365"/>
      <c r="P29" s="365"/>
      <c r="Q29" s="365"/>
      <c r="R29" s="365"/>
      <c r="S29" s="432">
        <f t="shared" si="5"/>
        <v>0</v>
      </c>
      <c r="T29" s="432">
        <f t="shared" si="5"/>
        <v>0</v>
      </c>
    </row>
    <row r="30" spans="1:20" s="159" customFormat="1" ht="15" customHeight="1" x14ac:dyDescent="0.2">
      <c r="A30" s="167">
        <v>23</v>
      </c>
      <c r="B30" s="426" t="s">
        <v>664</v>
      </c>
      <c r="C30" s="365"/>
      <c r="D30" s="365"/>
      <c r="E30" s="365">
        <v>4</v>
      </c>
      <c r="F30" s="365">
        <v>4</v>
      </c>
      <c r="G30" s="365">
        <v>4</v>
      </c>
      <c r="H30" s="365">
        <v>4</v>
      </c>
      <c r="I30" s="365">
        <v>0</v>
      </c>
      <c r="J30" s="365">
        <v>0</v>
      </c>
      <c r="K30" s="365">
        <v>14</v>
      </c>
      <c r="L30" s="365">
        <v>14</v>
      </c>
      <c r="M30" s="365">
        <v>4</v>
      </c>
      <c r="N30" s="365">
        <v>4</v>
      </c>
      <c r="O30" s="365">
        <v>3</v>
      </c>
      <c r="P30" s="365">
        <v>3</v>
      </c>
      <c r="Q30" s="365">
        <v>124</v>
      </c>
      <c r="R30" s="365">
        <v>124</v>
      </c>
      <c r="S30" s="432">
        <f t="shared" si="5"/>
        <v>153</v>
      </c>
      <c r="T30" s="432">
        <f t="shared" si="5"/>
        <v>153</v>
      </c>
    </row>
    <row r="31" spans="1:20" s="159" customFormat="1" ht="25.5" x14ac:dyDescent="0.2">
      <c r="A31" s="167">
        <v>24</v>
      </c>
      <c r="B31" s="426" t="s">
        <v>665</v>
      </c>
      <c r="C31" s="365"/>
      <c r="D31" s="365"/>
      <c r="E31" s="365"/>
      <c r="F31" s="365"/>
      <c r="G31" s="365"/>
      <c r="H31" s="365"/>
      <c r="I31" s="365"/>
      <c r="J31" s="365"/>
      <c r="K31" s="365"/>
      <c r="L31" s="365"/>
      <c r="M31" s="365"/>
      <c r="N31" s="365"/>
      <c r="O31" s="365"/>
      <c r="P31" s="365"/>
      <c r="Q31" s="365">
        <v>0</v>
      </c>
      <c r="R31" s="365">
        <v>0</v>
      </c>
      <c r="S31" s="432">
        <f t="shared" si="5"/>
        <v>0</v>
      </c>
      <c r="T31" s="432">
        <f t="shared" si="5"/>
        <v>0</v>
      </c>
    </row>
    <row r="32" spans="1:20" s="177" customFormat="1" ht="15" customHeight="1" x14ac:dyDescent="0.2">
      <c r="A32" s="229">
        <v>25</v>
      </c>
      <c r="B32" s="427" t="s">
        <v>830</v>
      </c>
      <c r="C32" s="433">
        <f t="shared" ref="C32:T32" si="6">SUM(C25:C31)</f>
        <v>41</v>
      </c>
      <c r="D32" s="433">
        <f t="shared" si="6"/>
        <v>41</v>
      </c>
      <c r="E32" s="433">
        <f t="shared" si="6"/>
        <v>14</v>
      </c>
      <c r="F32" s="433">
        <f t="shared" si="6"/>
        <v>14</v>
      </c>
      <c r="G32" s="433">
        <f t="shared" si="6"/>
        <v>4</v>
      </c>
      <c r="H32" s="433">
        <f t="shared" si="6"/>
        <v>4</v>
      </c>
      <c r="I32" s="433">
        <f t="shared" si="6"/>
        <v>0</v>
      </c>
      <c r="J32" s="433">
        <f t="shared" si="6"/>
        <v>0</v>
      </c>
      <c r="K32" s="433">
        <f t="shared" si="6"/>
        <v>14</v>
      </c>
      <c r="L32" s="433">
        <f t="shared" si="6"/>
        <v>14</v>
      </c>
      <c r="M32" s="433">
        <f t="shared" si="6"/>
        <v>4</v>
      </c>
      <c r="N32" s="433">
        <f t="shared" si="6"/>
        <v>4</v>
      </c>
      <c r="O32" s="433">
        <f t="shared" si="6"/>
        <v>3</v>
      </c>
      <c r="P32" s="433">
        <f t="shared" si="6"/>
        <v>3</v>
      </c>
      <c r="Q32" s="433">
        <f t="shared" si="6"/>
        <v>164</v>
      </c>
      <c r="R32" s="433">
        <f t="shared" si="6"/>
        <v>164</v>
      </c>
      <c r="S32" s="433">
        <f t="shared" si="6"/>
        <v>244</v>
      </c>
      <c r="T32" s="433">
        <f t="shared" si="6"/>
        <v>244</v>
      </c>
    </row>
    <row r="33" spans="1:20" s="159" customFormat="1" ht="12.75" x14ac:dyDescent="0.2">
      <c r="A33" s="167">
        <v>26</v>
      </c>
      <c r="B33" s="426" t="s">
        <v>666</v>
      </c>
      <c r="C33" s="365">
        <v>1</v>
      </c>
      <c r="D33" s="365">
        <v>1</v>
      </c>
      <c r="E33" s="365"/>
      <c r="F33" s="365"/>
      <c r="G33" s="365"/>
      <c r="H33" s="365"/>
      <c r="I33" s="365"/>
      <c r="J33" s="365"/>
      <c r="K33" s="365"/>
      <c r="L33" s="365"/>
      <c r="M33" s="365"/>
      <c r="N33" s="365"/>
      <c r="O33" s="365"/>
      <c r="P33" s="365"/>
      <c r="Q33" s="365"/>
      <c r="R33" s="365"/>
      <c r="S33" s="432">
        <f t="shared" ref="S33:T35" si="7">+C33+E33+G33+I33+K33+M33+O33+Q33</f>
        <v>1</v>
      </c>
      <c r="T33" s="432">
        <f t="shared" si="7"/>
        <v>1</v>
      </c>
    </row>
    <row r="34" spans="1:20" s="159" customFormat="1" ht="12.75" x14ac:dyDescent="0.2">
      <c r="A34" s="167">
        <v>27</v>
      </c>
      <c r="B34" s="426" t="s">
        <v>667</v>
      </c>
      <c r="C34" s="365">
        <v>10</v>
      </c>
      <c r="D34" s="365">
        <v>10</v>
      </c>
      <c r="E34" s="365"/>
      <c r="F34" s="365"/>
      <c r="G34" s="365"/>
      <c r="H34" s="365"/>
      <c r="I34" s="365"/>
      <c r="J34" s="365"/>
      <c r="K34" s="365"/>
      <c r="L34" s="365"/>
      <c r="M34" s="365"/>
      <c r="N34" s="365"/>
      <c r="O34" s="365"/>
      <c r="P34" s="365"/>
      <c r="Q34" s="365"/>
      <c r="R34" s="365"/>
      <c r="S34" s="432">
        <f t="shared" si="7"/>
        <v>10</v>
      </c>
      <c r="T34" s="432">
        <f t="shared" si="7"/>
        <v>10</v>
      </c>
    </row>
    <row r="35" spans="1:20" s="159" customFormat="1" ht="25.5" x14ac:dyDescent="0.2">
      <c r="A35" s="167">
        <v>28</v>
      </c>
      <c r="B35" s="426" t="s">
        <v>668</v>
      </c>
      <c r="C35" s="365">
        <v>1</v>
      </c>
      <c r="D35" s="365">
        <v>1</v>
      </c>
      <c r="E35" s="365"/>
      <c r="F35" s="365"/>
      <c r="G35" s="365"/>
      <c r="H35" s="365"/>
      <c r="I35" s="365"/>
      <c r="J35" s="365"/>
      <c r="K35" s="365"/>
      <c r="L35" s="365"/>
      <c r="M35" s="365"/>
      <c r="N35" s="365"/>
      <c r="O35" s="365"/>
      <c r="P35" s="365"/>
      <c r="Q35" s="365"/>
      <c r="R35" s="365"/>
      <c r="S35" s="432">
        <f t="shared" si="7"/>
        <v>1</v>
      </c>
      <c r="T35" s="432">
        <f t="shared" si="7"/>
        <v>1</v>
      </c>
    </row>
    <row r="36" spans="1:20" s="177" customFormat="1" ht="15" customHeight="1" x14ac:dyDescent="0.2">
      <c r="A36" s="229">
        <v>29</v>
      </c>
      <c r="B36" s="427" t="s">
        <v>831</v>
      </c>
      <c r="C36" s="433">
        <f t="shared" ref="C36:T36" si="8">SUM(C33:C35)</f>
        <v>12</v>
      </c>
      <c r="D36" s="433">
        <f t="shared" si="8"/>
        <v>12</v>
      </c>
      <c r="E36" s="433">
        <f t="shared" si="8"/>
        <v>0</v>
      </c>
      <c r="F36" s="433">
        <f t="shared" si="8"/>
        <v>0</v>
      </c>
      <c r="G36" s="433">
        <f t="shared" si="8"/>
        <v>0</v>
      </c>
      <c r="H36" s="433">
        <f t="shared" si="8"/>
        <v>0</v>
      </c>
      <c r="I36" s="433">
        <f t="shared" si="8"/>
        <v>0</v>
      </c>
      <c r="J36" s="433">
        <f t="shared" si="8"/>
        <v>0</v>
      </c>
      <c r="K36" s="433">
        <f t="shared" si="8"/>
        <v>0</v>
      </c>
      <c r="L36" s="433">
        <f t="shared" si="8"/>
        <v>0</v>
      </c>
      <c r="M36" s="433">
        <f t="shared" si="8"/>
        <v>0</v>
      </c>
      <c r="N36" s="433">
        <f t="shared" si="8"/>
        <v>0</v>
      </c>
      <c r="O36" s="433">
        <f t="shared" si="8"/>
        <v>0</v>
      </c>
      <c r="P36" s="433">
        <f t="shared" si="8"/>
        <v>0</v>
      </c>
      <c r="Q36" s="433">
        <f t="shared" si="8"/>
        <v>0</v>
      </c>
      <c r="R36" s="433">
        <f t="shared" si="8"/>
        <v>0</v>
      </c>
      <c r="S36" s="433">
        <f t="shared" si="8"/>
        <v>12</v>
      </c>
      <c r="T36" s="433">
        <f t="shared" si="8"/>
        <v>12</v>
      </c>
    </row>
    <row r="37" spans="1:20" s="177" customFormat="1" ht="37.5" customHeight="1" x14ac:dyDescent="0.2">
      <c r="A37" s="229">
        <v>30</v>
      </c>
      <c r="B37" s="427" t="s">
        <v>832</v>
      </c>
      <c r="C37" s="434">
        <f t="shared" ref="C37:T37" si="9">+C36+C32+C24+C12</f>
        <v>53</v>
      </c>
      <c r="D37" s="434">
        <f t="shared" si="9"/>
        <v>53</v>
      </c>
      <c r="E37" s="434">
        <f t="shared" si="9"/>
        <v>50</v>
      </c>
      <c r="F37" s="434">
        <f t="shared" si="9"/>
        <v>50</v>
      </c>
      <c r="G37" s="434">
        <f t="shared" si="9"/>
        <v>61</v>
      </c>
      <c r="H37" s="434">
        <f t="shared" si="9"/>
        <v>61</v>
      </c>
      <c r="I37" s="434">
        <f t="shared" si="9"/>
        <v>106</v>
      </c>
      <c r="J37" s="434">
        <f t="shared" si="9"/>
        <v>106</v>
      </c>
      <c r="K37" s="434">
        <f t="shared" si="9"/>
        <v>116</v>
      </c>
      <c r="L37" s="434">
        <f t="shared" si="9"/>
        <v>116</v>
      </c>
      <c r="M37" s="434">
        <f t="shared" si="9"/>
        <v>10</v>
      </c>
      <c r="N37" s="434">
        <f t="shared" si="9"/>
        <v>10</v>
      </c>
      <c r="O37" s="434">
        <f t="shared" si="9"/>
        <v>12</v>
      </c>
      <c r="P37" s="434">
        <f t="shared" si="9"/>
        <v>12</v>
      </c>
      <c r="Q37" s="434">
        <f t="shared" si="9"/>
        <v>216</v>
      </c>
      <c r="R37" s="434">
        <f t="shared" si="9"/>
        <v>216</v>
      </c>
      <c r="S37" s="434">
        <f t="shared" si="9"/>
        <v>624</v>
      </c>
      <c r="T37" s="434">
        <f t="shared" si="9"/>
        <v>624</v>
      </c>
    </row>
    <row r="38" spans="1:20" s="159" customFormat="1" ht="12.75" customHeight="1" x14ac:dyDescent="0.2">
      <c r="B38" s="514"/>
      <c r="C38" s="514"/>
      <c r="D38" s="514"/>
      <c r="E38" s="514"/>
      <c r="F38" s="514"/>
      <c r="G38" s="514"/>
      <c r="H38" s="514"/>
      <c r="I38" s="514"/>
      <c r="J38" s="514"/>
      <c r="K38" s="514"/>
      <c r="L38" s="514"/>
      <c r="M38" s="514"/>
      <c r="N38" s="514"/>
      <c r="O38" s="514"/>
      <c r="P38" s="514"/>
      <c r="Q38" s="514"/>
      <c r="R38" s="230"/>
    </row>
    <row r="39" spans="1:20" s="165" customFormat="1" ht="12.75" x14ac:dyDescent="0.2">
      <c r="B39" s="231"/>
      <c r="G39" s="165" t="s">
        <v>669</v>
      </c>
      <c r="I39" s="165" t="s">
        <v>669</v>
      </c>
      <c r="K39" s="232" t="s">
        <v>669</v>
      </c>
      <c r="L39" s="233"/>
      <c r="M39" s="232" t="s">
        <v>669</v>
      </c>
      <c r="N39" s="232"/>
      <c r="O39" s="232" t="s">
        <v>669</v>
      </c>
      <c r="P39" s="232" t="s">
        <v>669</v>
      </c>
      <c r="Q39" s="232" t="s">
        <v>669</v>
      </c>
    </row>
    <row r="40" spans="1:20" s="159" customFormat="1" ht="12.75" x14ac:dyDescent="0.2">
      <c r="B40" s="234"/>
    </row>
    <row r="41" spans="1:20" s="159" customFormat="1" ht="12.75" x14ac:dyDescent="0.2">
      <c r="B41" s="234"/>
    </row>
    <row r="42" spans="1:20" s="159" customFormat="1" ht="12.75" x14ac:dyDescent="0.2">
      <c r="B42" s="234"/>
    </row>
    <row r="43" spans="1:20" s="159" customFormat="1" ht="13.5" thickBot="1" x14ac:dyDescent="0.25">
      <c r="B43" s="234"/>
    </row>
    <row r="44" spans="1:20" s="159" customFormat="1" ht="13.5" thickBot="1" x14ac:dyDescent="0.25">
      <c r="B44" s="359"/>
      <c r="C44" s="360"/>
    </row>
    <row r="45" spans="1:20" s="159" customFormat="1" ht="13.5" thickBot="1" x14ac:dyDescent="0.25">
      <c r="B45" s="358"/>
      <c r="C45" s="361"/>
    </row>
    <row r="46" spans="1:20" s="159" customFormat="1" ht="13.5" thickBot="1" x14ac:dyDescent="0.25">
      <c r="B46" s="358"/>
      <c r="C46" s="361"/>
    </row>
    <row r="47" spans="1:20" s="159" customFormat="1" ht="13.5" thickBot="1" x14ac:dyDescent="0.25">
      <c r="B47" s="358"/>
      <c r="C47" s="361"/>
    </row>
    <row r="48" spans="1:20" s="159" customFormat="1" ht="12.75" x14ac:dyDescent="0.2">
      <c r="B48" s="234"/>
    </row>
    <row r="49" spans="2:2" s="159" customFormat="1" ht="12.75" x14ac:dyDescent="0.2">
      <c r="B49" s="234"/>
    </row>
    <row r="50" spans="2:2" s="159" customFormat="1" ht="12.75" x14ac:dyDescent="0.2">
      <c r="B50" s="234"/>
    </row>
    <row r="51" spans="2:2" s="159" customFormat="1" ht="12.75" x14ac:dyDescent="0.2">
      <c r="B51" s="234"/>
    </row>
  </sheetData>
  <sheetProtection selectLockedCells="1" selectUnlockedCells="1"/>
  <mergeCells count="11">
    <mergeCell ref="O7:P7"/>
    <mergeCell ref="Q7:R7"/>
    <mergeCell ref="S7:T7"/>
    <mergeCell ref="B38:Q38"/>
    <mergeCell ref="B1:M1"/>
    <mergeCell ref="C7:D7"/>
    <mergeCell ref="E7:F7"/>
    <mergeCell ref="G7:H7"/>
    <mergeCell ref="I7:J7"/>
    <mergeCell ref="K7:L7"/>
    <mergeCell ref="M7:N7"/>
  </mergeCells>
  <printOptions horizontalCentered="1"/>
  <pageMargins left="0.59027777777777779" right="0.40972222222222221" top="0.70972222222222225" bottom="0.55000000000000004" header="0.51180555555555551" footer="0.31527777777777777"/>
  <pageSetup paperSize="9" scale="53" firstPageNumber="0" orientation="landscape" horizontalDpi="300" verticalDpi="300" r:id="rId1"/>
  <headerFooter alignWithMargins="0">
    <oddFooter>&amp;R&amp;P</oddFoot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30"/>
  <sheetViews>
    <sheetView view="pageBreakPreview" zoomScale="80" zoomScaleSheetLayoutView="80" workbookViewId="0">
      <selection activeCell="G8" sqref="G1:L1048576"/>
    </sheetView>
  </sheetViews>
  <sheetFormatPr defaultColWidth="11.5703125" defaultRowHeight="15.75" x14ac:dyDescent="0.25"/>
  <cols>
    <col min="1" max="1" width="13.140625" style="13" customWidth="1"/>
    <col min="2" max="2" width="76.28515625" style="13" customWidth="1"/>
    <col min="3" max="3" width="6.85546875" style="13" customWidth="1"/>
    <col min="4" max="5" width="13.7109375" style="235" customWidth="1"/>
    <col min="6" max="6" width="13.7109375" style="13" customWidth="1"/>
    <col min="7" max="255" width="9.140625" style="13" customWidth="1"/>
  </cols>
  <sheetData>
    <row r="1" spans="1:5" x14ac:dyDescent="0.25">
      <c r="A1" s="236"/>
      <c r="E1" s="15" t="s">
        <v>670</v>
      </c>
    </row>
    <row r="2" spans="1:5" x14ac:dyDescent="0.25">
      <c r="A2" s="236"/>
      <c r="E2" s="16" t="s">
        <v>905</v>
      </c>
    </row>
    <row r="3" spans="1:5" x14ac:dyDescent="0.25">
      <c r="A3" s="236"/>
      <c r="D3" s="237"/>
      <c r="E3" s="237"/>
    </row>
    <row r="4" spans="1:5" ht="28.5" customHeight="1" x14ac:dyDescent="0.3">
      <c r="A4" s="236"/>
      <c r="B4" s="4" t="s">
        <v>857</v>
      </c>
      <c r="C4" s="36"/>
      <c r="D4" s="238"/>
      <c r="E4" s="238"/>
    </row>
    <row r="5" spans="1:5" ht="18.75" x14ac:dyDescent="0.3">
      <c r="A5" s="236"/>
      <c r="B5" s="4"/>
      <c r="C5" s="36"/>
      <c r="D5" s="238"/>
      <c r="E5" s="238"/>
    </row>
    <row r="6" spans="1:5" ht="15.75" customHeight="1" x14ac:dyDescent="0.25">
      <c r="A6" s="236"/>
      <c r="B6" s="508" t="s">
        <v>836</v>
      </c>
      <c r="C6" s="508"/>
      <c r="D6" s="239"/>
      <c r="E6" s="239"/>
    </row>
    <row r="7" spans="1:5" x14ac:dyDescent="0.25">
      <c r="A7" s="236"/>
      <c r="B7" s="240"/>
      <c r="C7" s="241"/>
      <c r="D7" s="242"/>
      <c r="E7" s="242"/>
    </row>
    <row r="8" spans="1:5" x14ac:dyDescent="0.25">
      <c r="A8" s="236"/>
    </row>
    <row r="9" spans="1:5" s="22" customFormat="1" ht="31.5" x14ac:dyDescent="0.25">
      <c r="A9" s="243"/>
      <c r="B9" s="19" t="s">
        <v>542</v>
      </c>
      <c r="C9" s="47" t="s">
        <v>38</v>
      </c>
      <c r="D9" s="438" t="s">
        <v>671</v>
      </c>
      <c r="E9" s="244" t="s">
        <v>672</v>
      </c>
    </row>
    <row r="10" spans="1:5" s="22" customFormat="1" x14ac:dyDescent="0.25">
      <c r="A10" s="243"/>
      <c r="B10" s="436" t="s">
        <v>899</v>
      </c>
      <c r="C10" s="437" t="s">
        <v>901</v>
      </c>
      <c r="D10" s="440">
        <f>ROUNDUP(5724000/1.27,0)</f>
        <v>4507087</v>
      </c>
      <c r="E10" s="440">
        <f>ROUNDUP(5724000/1.27,0)</f>
        <v>4507087</v>
      </c>
    </row>
    <row r="11" spans="1:5" s="22" customFormat="1" x14ac:dyDescent="0.25">
      <c r="A11" s="243"/>
      <c r="B11" s="436" t="s">
        <v>900</v>
      </c>
      <c r="C11" s="437" t="s">
        <v>902</v>
      </c>
      <c r="D11" s="440">
        <f>+D10*0.27</f>
        <v>1216913.49</v>
      </c>
      <c r="E11" s="440">
        <f>+E10*0.27</f>
        <v>1216913.49</v>
      </c>
    </row>
    <row r="12" spans="1:5" s="22" customFormat="1" x14ac:dyDescent="0.25">
      <c r="A12" s="243"/>
      <c r="B12" s="19"/>
      <c r="C12" s="47"/>
      <c r="D12" s="439"/>
      <c r="E12" s="439"/>
    </row>
    <row r="13" spans="1:5" s="22" customFormat="1" x14ac:dyDescent="0.25">
      <c r="A13" s="243"/>
      <c r="B13" s="245" t="s">
        <v>673</v>
      </c>
      <c r="C13" s="47"/>
      <c r="D13" s="244"/>
      <c r="E13" s="244"/>
    </row>
    <row r="14" spans="1:5" x14ac:dyDescent="0.25">
      <c r="A14" s="13" t="s">
        <v>674</v>
      </c>
      <c r="B14" s="98" t="s">
        <v>675</v>
      </c>
      <c r="C14" s="64" t="s">
        <v>60</v>
      </c>
      <c r="D14" s="246">
        <v>21000000</v>
      </c>
      <c r="E14" s="246">
        <v>21000000</v>
      </c>
    </row>
    <row r="15" spans="1:5" x14ac:dyDescent="0.25">
      <c r="A15" s="13" t="s">
        <v>676</v>
      </c>
      <c r="B15" s="98" t="s">
        <v>677</v>
      </c>
      <c r="C15" s="64" t="s">
        <v>60</v>
      </c>
      <c r="D15" s="246">
        <v>1000000</v>
      </c>
      <c r="E15" s="246">
        <v>1000000</v>
      </c>
    </row>
    <row r="16" spans="1:5" x14ac:dyDescent="0.25">
      <c r="A16" s="13" t="s">
        <v>678</v>
      </c>
      <c r="B16" s="98" t="s">
        <v>679</v>
      </c>
      <c r="C16" s="64" t="s">
        <v>60</v>
      </c>
      <c r="D16" s="246">
        <v>500000</v>
      </c>
      <c r="E16" s="246">
        <v>500000</v>
      </c>
    </row>
    <row r="17" spans="1:5" x14ac:dyDescent="0.25">
      <c r="B17" s="245" t="s">
        <v>680</v>
      </c>
      <c r="C17" s="23"/>
      <c r="D17" s="23"/>
      <c r="E17" s="23"/>
    </row>
    <row r="18" spans="1:5" x14ac:dyDescent="0.25">
      <c r="A18" s="13" t="s">
        <v>681</v>
      </c>
      <c r="B18" s="98" t="s">
        <v>682</v>
      </c>
      <c r="C18" s="64" t="s">
        <v>60</v>
      </c>
      <c r="D18" s="246">
        <v>6500000</v>
      </c>
      <c r="E18" s="246">
        <v>6500000</v>
      </c>
    </row>
    <row r="19" spans="1:5" x14ac:dyDescent="0.25">
      <c r="A19" s="13" t="s">
        <v>683</v>
      </c>
      <c r="B19" s="98" t="s">
        <v>684</v>
      </c>
      <c r="C19" s="64" t="s">
        <v>60</v>
      </c>
      <c r="D19" s="246">
        <v>11000000</v>
      </c>
      <c r="E19" s="246">
        <v>11000000</v>
      </c>
    </row>
    <row r="20" spans="1:5" x14ac:dyDescent="0.25">
      <c r="A20" s="13" t="s">
        <v>685</v>
      </c>
      <c r="B20" s="98" t="s">
        <v>686</v>
      </c>
      <c r="C20" s="64" t="s">
        <v>60</v>
      </c>
      <c r="D20" s="246">
        <v>1000000</v>
      </c>
      <c r="E20" s="246">
        <v>1000000</v>
      </c>
    </row>
    <row r="21" spans="1:5" x14ac:dyDescent="0.25">
      <c r="A21" s="13" t="s">
        <v>687</v>
      </c>
      <c r="B21" s="247" t="s">
        <v>688</v>
      </c>
      <c r="C21" s="64" t="s">
        <v>60</v>
      </c>
      <c r="D21" s="248">
        <v>4000000</v>
      </c>
      <c r="E21" s="248">
        <v>4000000</v>
      </c>
    </row>
    <row r="22" spans="1:5" x14ac:dyDescent="0.25">
      <c r="A22" s="13" t="s">
        <v>689</v>
      </c>
      <c r="B22" s="66" t="s">
        <v>690</v>
      </c>
      <c r="C22" s="64" t="s">
        <v>60</v>
      </c>
      <c r="D22" s="246">
        <v>5500000</v>
      </c>
      <c r="E22" s="246">
        <v>5500000</v>
      </c>
    </row>
    <row r="23" spans="1:5" x14ac:dyDescent="0.25">
      <c r="A23" s="13" t="s">
        <v>691</v>
      </c>
      <c r="B23" s="66" t="s">
        <v>692</v>
      </c>
      <c r="C23" s="64" t="s">
        <v>60</v>
      </c>
      <c r="D23" s="246">
        <v>200000</v>
      </c>
      <c r="E23" s="246">
        <v>200000</v>
      </c>
    </row>
    <row r="24" spans="1:5" x14ac:dyDescent="0.25">
      <c r="A24" s="13" t="s">
        <v>693</v>
      </c>
      <c r="B24" s="58" t="s">
        <v>694</v>
      </c>
      <c r="C24" s="64" t="s">
        <v>60</v>
      </c>
      <c r="D24" s="246">
        <v>500000</v>
      </c>
      <c r="E24" s="246">
        <v>500000</v>
      </c>
    </row>
    <row r="25" spans="1:5" x14ac:dyDescent="0.25">
      <c r="A25" s="13" t="s">
        <v>695</v>
      </c>
      <c r="B25" s="249" t="s">
        <v>696</v>
      </c>
      <c r="C25" s="64" t="s">
        <v>60</v>
      </c>
      <c r="D25" s="248">
        <v>8600000</v>
      </c>
      <c r="E25" s="248">
        <v>8600000</v>
      </c>
    </row>
    <row r="26" spans="1:5" s="94" customFormat="1" x14ac:dyDescent="0.25">
      <c r="A26" s="27"/>
      <c r="B26" s="250" t="s">
        <v>697</v>
      </c>
      <c r="C26" s="91" t="s">
        <v>60</v>
      </c>
      <c r="D26" s="251">
        <f>SUM(D14:D25)</f>
        <v>59800000</v>
      </c>
      <c r="E26" s="251">
        <f>SUM(E14:E25)</f>
        <v>59800000</v>
      </c>
    </row>
    <row r="27" spans="1:5" x14ac:dyDescent="0.25">
      <c r="B27" s="252" t="s">
        <v>698</v>
      </c>
      <c r="D27" s="235">
        <v>200000</v>
      </c>
      <c r="E27" s="235">
        <v>200000</v>
      </c>
    </row>
    <row r="28" spans="1:5" x14ac:dyDescent="0.25">
      <c r="A28" s="27" t="s">
        <v>699</v>
      </c>
      <c r="B28" s="27" t="s">
        <v>700</v>
      </c>
      <c r="D28" s="253">
        <f>SUM(D26:D27)</f>
        <v>60000000</v>
      </c>
      <c r="E28" s="253">
        <f>SUM(E26:E27)</f>
        <v>60000000</v>
      </c>
    </row>
    <row r="29" spans="1:5" x14ac:dyDescent="0.25">
      <c r="A29" s="13" t="s">
        <v>331</v>
      </c>
      <c r="D29" s="235">
        <v>0</v>
      </c>
      <c r="E29" s="235">
        <v>0</v>
      </c>
    </row>
    <row r="30" spans="1:5" x14ac:dyDescent="0.25">
      <c r="A30" s="13" t="s">
        <v>701</v>
      </c>
      <c r="D30" s="235">
        <f>+D29-D26</f>
        <v>-59800000</v>
      </c>
      <c r="E30" s="235">
        <f>+E29-E26</f>
        <v>-59800000</v>
      </c>
    </row>
  </sheetData>
  <sheetProtection selectLockedCells="1" selectUnlockedCells="1"/>
  <mergeCells count="1">
    <mergeCell ref="B6:C6"/>
  </mergeCells>
  <pageMargins left="0.69027777777777777" right="0.52986111111111112" top="0.74791666666666667" bottom="0.74861111111111112" header="0.51180555555555551" footer="0.31527777777777777"/>
  <pageSetup paperSize="9" scale="81" firstPageNumber="0" orientation="portrait" horizontalDpi="300" verticalDpi="300" r:id="rId1"/>
  <headerFooter alignWithMargins="0">
    <oddFooter>&amp;R&amp;P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83"/>
  <sheetViews>
    <sheetView view="pageBreakPreview" zoomScale="80" zoomScaleSheetLayoutView="80" workbookViewId="0">
      <selection activeCell="G8" sqref="G1:L1048576"/>
    </sheetView>
  </sheetViews>
  <sheetFormatPr defaultColWidth="11.5703125" defaultRowHeight="15.75" x14ac:dyDescent="0.25"/>
  <cols>
    <col min="1" max="1" width="13.140625" style="13" customWidth="1"/>
    <col min="2" max="2" width="75.5703125" style="13" customWidth="1"/>
    <col min="3" max="3" width="10" style="13" customWidth="1"/>
    <col min="4" max="4" width="13.85546875" style="14" customWidth="1"/>
    <col min="5" max="5" width="13.5703125" style="14" customWidth="1"/>
    <col min="6" max="6" width="13.85546875" style="14" customWidth="1"/>
    <col min="7" max="7" width="12.85546875" style="14" customWidth="1"/>
    <col min="8" max="254" width="9.140625" style="13" customWidth="1"/>
  </cols>
  <sheetData>
    <row r="1" spans="1:7" x14ac:dyDescent="0.25">
      <c r="G1" s="15" t="s">
        <v>702</v>
      </c>
    </row>
    <row r="2" spans="1:7" x14ac:dyDescent="0.25">
      <c r="G2" s="16" t="s">
        <v>905</v>
      </c>
    </row>
    <row r="3" spans="1:7" x14ac:dyDescent="0.25">
      <c r="E3" s="144"/>
      <c r="G3" s="144"/>
    </row>
    <row r="4" spans="1:7" ht="18.75" x14ac:dyDescent="0.3">
      <c r="B4" s="4" t="s">
        <v>857</v>
      </c>
      <c r="C4"/>
      <c r="D4"/>
      <c r="E4"/>
      <c r="F4"/>
      <c r="G4"/>
    </row>
    <row r="5" spans="1:7" ht="18.75" x14ac:dyDescent="0.3">
      <c r="B5" s="4"/>
      <c r="C5"/>
      <c r="D5"/>
      <c r="E5"/>
      <c r="F5"/>
      <c r="G5"/>
    </row>
    <row r="6" spans="1:7" ht="36" customHeight="1" x14ac:dyDescent="0.25">
      <c r="B6" s="493" t="s">
        <v>850</v>
      </c>
      <c r="C6" s="493"/>
      <c r="D6" s="493"/>
      <c r="E6" s="493"/>
      <c r="F6" s="41"/>
      <c r="G6" s="41"/>
    </row>
    <row r="7" spans="1:7" x14ac:dyDescent="0.25">
      <c r="A7" s="13" t="s">
        <v>331</v>
      </c>
      <c r="B7" s="41"/>
      <c r="C7" s="42"/>
      <c r="D7" s="44"/>
      <c r="F7" s="44"/>
    </row>
    <row r="8" spans="1:7" x14ac:dyDescent="0.25">
      <c r="A8" s="13" t="s">
        <v>703</v>
      </c>
      <c r="D8" s="515" t="s">
        <v>10</v>
      </c>
      <c r="E8" s="515"/>
      <c r="F8" s="515" t="s">
        <v>11</v>
      </c>
      <c r="G8" s="515"/>
    </row>
    <row r="9" spans="1:7" s="22" customFormat="1" ht="47.25" x14ac:dyDescent="0.25">
      <c r="B9" s="254" t="s">
        <v>704</v>
      </c>
      <c r="C9" s="47" t="s">
        <v>38</v>
      </c>
      <c r="D9" s="20" t="s">
        <v>13</v>
      </c>
      <c r="E9" s="20" t="s">
        <v>14</v>
      </c>
      <c r="F9" s="20" t="s">
        <v>13</v>
      </c>
      <c r="G9" s="20" t="s">
        <v>14</v>
      </c>
    </row>
    <row r="10" spans="1:7" s="110" customFormat="1" x14ac:dyDescent="0.25">
      <c r="A10" s="110" t="s">
        <v>705</v>
      </c>
      <c r="B10" s="255"/>
      <c r="C10" s="96" t="s">
        <v>143</v>
      </c>
      <c r="D10" s="24">
        <v>0</v>
      </c>
      <c r="E10" s="24"/>
      <c r="F10" s="24">
        <v>0</v>
      </c>
      <c r="G10" s="24"/>
    </row>
    <row r="11" spans="1:7" s="110" customFormat="1" x14ac:dyDescent="0.25">
      <c r="A11" s="110" t="s">
        <v>706</v>
      </c>
      <c r="B11" s="256"/>
      <c r="C11" s="96" t="s">
        <v>143</v>
      </c>
      <c r="D11" s="246">
        <v>0</v>
      </c>
      <c r="E11" s="24"/>
      <c r="F11" s="246">
        <v>0</v>
      </c>
      <c r="G11" s="24"/>
    </row>
    <row r="12" spans="1:7" s="110" customFormat="1" x14ac:dyDescent="0.25">
      <c r="A12" s="110" t="s">
        <v>707</v>
      </c>
      <c r="B12" s="257"/>
      <c r="C12" s="96" t="s">
        <v>143</v>
      </c>
      <c r="D12" s="246"/>
      <c r="E12" s="24"/>
      <c r="F12" s="246"/>
      <c r="G12" s="24"/>
    </row>
    <row r="13" spans="1:7" s="261" customFormat="1" x14ac:dyDescent="0.25">
      <c r="A13" s="258"/>
      <c r="B13" s="259" t="s">
        <v>708</v>
      </c>
      <c r="C13" s="260" t="s">
        <v>143</v>
      </c>
      <c r="D13" s="122">
        <f>SUM(D10:D12)</f>
        <v>0</v>
      </c>
      <c r="E13" s="122">
        <f>SUM(E10:E12)</f>
        <v>0</v>
      </c>
      <c r="F13" s="122">
        <f>SUM(F10:F12)</f>
        <v>0</v>
      </c>
      <c r="G13" s="122">
        <f>SUM(G10:G12)</f>
        <v>0</v>
      </c>
    </row>
    <row r="14" spans="1:7" x14ac:dyDescent="0.25">
      <c r="B14" s="117" t="s">
        <v>709</v>
      </c>
      <c r="C14" s="96" t="s">
        <v>143</v>
      </c>
      <c r="D14" s="24">
        <f>+D13</f>
        <v>0</v>
      </c>
      <c r="E14" s="24">
        <f>+E13</f>
        <v>0</v>
      </c>
      <c r="F14" s="24">
        <f>+F13</f>
        <v>0</v>
      </c>
      <c r="G14" s="24">
        <f>+G13</f>
        <v>0</v>
      </c>
    </row>
    <row r="15" spans="1:7" x14ac:dyDescent="0.25">
      <c r="B15" s="117" t="s">
        <v>710</v>
      </c>
      <c r="C15" s="96" t="s">
        <v>143</v>
      </c>
      <c r="D15" s="24"/>
      <c r="E15" s="24"/>
      <c r="F15" s="24"/>
      <c r="G15" s="24"/>
    </row>
    <row r="16" spans="1:7" s="261" customFormat="1" ht="20.25" customHeight="1" x14ac:dyDescent="0.25">
      <c r="A16" s="258"/>
      <c r="B16" s="259" t="s">
        <v>144</v>
      </c>
      <c r="C16" s="260" t="s">
        <v>145</v>
      </c>
      <c r="D16" s="122"/>
      <c r="E16" s="122"/>
      <c r="F16" s="122"/>
      <c r="G16" s="122"/>
    </row>
    <row r="17" spans="1:7" s="258" customFormat="1" x14ac:dyDescent="0.25">
      <c r="B17" s="95" t="s">
        <v>418</v>
      </c>
      <c r="C17" s="96" t="s">
        <v>147</v>
      </c>
      <c r="D17" s="97"/>
      <c r="E17" s="125"/>
      <c r="F17" s="97"/>
      <c r="G17" s="125"/>
    </row>
    <row r="18" spans="1:7" s="258" customFormat="1" x14ac:dyDescent="0.25">
      <c r="A18" s="13" t="s">
        <v>711</v>
      </c>
      <c r="B18" s="95" t="s">
        <v>856</v>
      </c>
      <c r="C18" s="96" t="s">
        <v>147</v>
      </c>
      <c r="D18" s="97">
        <v>88500000</v>
      </c>
      <c r="E18" s="125"/>
      <c r="F18" s="97">
        <v>88500000</v>
      </c>
      <c r="G18" s="125"/>
    </row>
    <row r="19" spans="1:7" s="261" customFormat="1" x14ac:dyDescent="0.25">
      <c r="A19" s="258"/>
      <c r="B19" s="259" t="s">
        <v>712</v>
      </c>
      <c r="C19" s="260" t="s">
        <v>147</v>
      </c>
      <c r="D19" s="122">
        <f>SUM(D17:D18)</f>
        <v>88500000</v>
      </c>
      <c r="E19" s="122"/>
      <c r="F19" s="122">
        <f>SUM(F17:F18)</f>
        <v>88500000</v>
      </c>
      <c r="G19" s="122"/>
    </row>
    <row r="20" spans="1:7" x14ac:dyDescent="0.25">
      <c r="B20" s="117" t="s">
        <v>709</v>
      </c>
      <c r="C20" s="96" t="s">
        <v>147</v>
      </c>
      <c r="D20" s="24">
        <f>+D19</f>
        <v>88500000</v>
      </c>
      <c r="E20" s="24"/>
      <c r="F20" s="24">
        <f>+F19</f>
        <v>88500000</v>
      </c>
      <c r="G20" s="24"/>
    </row>
    <row r="21" spans="1:7" x14ac:dyDescent="0.25">
      <c r="B21" s="117" t="s">
        <v>710</v>
      </c>
      <c r="C21" s="96" t="s">
        <v>147</v>
      </c>
      <c r="D21" s="24"/>
      <c r="E21" s="24"/>
      <c r="F21" s="24"/>
      <c r="G21" s="24"/>
    </row>
    <row r="22" spans="1:7" s="94" customFormat="1" x14ac:dyDescent="0.25">
      <c r="A22" s="13"/>
      <c r="B22" s="250" t="s">
        <v>148</v>
      </c>
      <c r="C22" s="90" t="s">
        <v>149</v>
      </c>
      <c r="D22" s="92">
        <f>+D19+D16+D13</f>
        <v>88500000</v>
      </c>
      <c r="E22" s="92">
        <f>+E19+E16+E13</f>
        <v>0</v>
      </c>
      <c r="F22" s="92">
        <f>+F19+F16+F13</f>
        <v>88500000</v>
      </c>
      <c r="G22" s="92">
        <f>+G19+G16+G13</f>
        <v>0</v>
      </c>
    </row>
    <row r="23" spans="1:7" s="258" customFormat="1" x14ac:dyDescent="0.25">
      <c r="B23" s="262" t="s">
        <v>713</v>
      </c>
      <c r="C23" s="263" t="s">
        <v>714</v>
      </c>
      <c r="D23" s="125"/>
      <c r="E23" s="125"/>
      <c r="F23" s="125"/>
      <c r="G23" s="125"/>
    </row>
    <row r="24" spans="1:7" hidden="1" x14ac:dyDescent="0.25">
      <c r="B24" s="117" t="s">
        <v>715</v>
      </c>
      <c r="C24" s="96" t="s">
        <v>714</v>
      </c>
      <c r="D24" s="24"/>
      <c r="E24" s="24"/>
      <c r="F24" s="24"/>
      <c r="G24" s="24"/>
    </row>
    <row r="25" spans="1:7" hidden="1" x14ac:dyDescent="0.25">
      <c r="B25" s="117" t="s">
        <v>716</v>
      </c>
      <c r="C25" s="96" t="s">
        <v>714</v>
      </c>
      <c r="D25" s="24"/>
      <c r="E25" s="24"/>
      <c r="F25" s="24"/>
      <c r="G25" s="24"/>
    </row>
    <row r="26" spans="1:7" s="261" customFormat="1" x14ac:dyDescent="0.25">
      <c r="A26" s="258"/>
      <c r="B26" s="264" t="s">
        <v>717</v>
      </c>
      <c r="C26" s="260" t="s">
        <v>718</v>
      </c>
      <c r="D26" s="122">
        <v>0</v>
      </c>
      <c r="E26" s="122">
        <v>0</v>
      </c>
      <c r="F26" s="122">
        <v>0</v>
      </c>
      <c r="G26" s="122">
        <v>0</v>
      </c>
    </row>
    <row r="27" spans="1:7" x14ac:dyDescent="0.25">
      <c r="B27" s="117" t="s">
        <v>710</v>
      </c>
      <c r="C27" s="96" t="s">
        <v>718</v>
      </c>
      <c r="D27" s="24"/>
      <c r="E27" s="24"/>
      <c r="F27" s="24"/>
      <c r="G27" s="24"/>
    </row>
    <row r="28" spans="1:7" s="261" customFormat="1" x14ac:dyDescent="0.25">
      <c r="A28" s="258"/>
      <c r="B28" s="265" t="s">
        <v>719</v>
      </c>
      <c r="C28" s="260" t="s">
        <v>720</v>
      </c>
      <c r="D28" s="122"/>
      <c r="E28" s="122"/>
      <c r="F28" s="122"/>
      <c r="G28" s="122"/>
    </row>
    <row r="29" spans="1:7" s="258" customFormat="1" x14ac:dyDescent="0.25">
      <c r="B29" s="266"/>
      <c r="C29" s="96" t="s">
        <v>721</v>
      </c>
      <c r="D29" s="97"/>
      <c r="E29" s="97"/>
      <c r="F29" s="97"/>
      <c r="G29" s="97"/>
    </row>
    <row r="30" spans="1:7" s="261" customFormat="1" ht="31.5" x14ac:dyDescent="0.25">
      <c r="A30" s="258"/>
      <c r="B30" s="265" t="s">
        <v>722</v>
      </c>
      <c r="C30" s="260" t="s">
        <v>721</v>
      </c>
      <c r="D30" s="122">
        <f>+D29</f>
        <v>0</v>
      </c>
      <c r="E30" s="122">
        <f>+E29</f>
        <v>0</v>
      </c>
      <c r="F30" s="122">
        <f>+F29</f>
        <v>0</v>
      </c>
      <c r="G30" s="122">
        <f>+G29</f>
        <v>0</v>
      </c>
    </row>
    <row r="31" spans="1:7" x14ac:dyDescent="0.25">
      <c r="B31" s="117" t="s">
        <v>716</v>
      </c>
      <c r="C31" s="96" t="s">
        <v>721</v>
      </c>
      <c r="D31" s="24"/>
      <c r="E31" s="24"/>
      <c r="F31" s="24"/>
      <c r="G31" s="24"/>
    </row>
    <row r="32" spans="1:7" x14ac:dyDescent="0.25">
      <c r="B32" s="117" t="s">
        <v>710</v>
      </c>
      <c r="C32" s="96" t="s">
        <v>721</v>
      </c>
      <c r="D32" s="24"/>
      <c r="E32" s="24"/>
      <c r="F32" s="24"/>
      <c r="G32" s="24"/>
    </row>
    <row r="33" spans="1:7" s="94" customFormat="1" x14ac:dyDescent="0.25">
      <c r="A33" s="13"/>
      <c r="B33" s="267" t="s">
        <v>150</v>
      </c>
      <c r="C33" s="90" t="s">
        <v>151</v>
      </c>
      <c r="D33" s="92">
        <f>+D30+D28+D26+D23</f>
        <v>0</v>
      </c>
      <c r="E33" s="92">
        <f>+E30+E28+E26+E23</f>
        <v>0</v>
      </c>
      <c r="F33" s="92">
        <f>+F30+F28+F26+F23</f>
        <v>0</v>
      </c>
      <c r="G33" s="92">
        <f>+G30+G28+G26+G23</f>
        <v>0</v>
      </c>
    </row>
    <row r="34" spans="1:7" x14ac:dyDescent="0.25">
      <c r="B34" s="268" t="s">
        <v>152</v>
      </c>
      <c r="C34" s="56" t="s">
        <v>153</v>
      </c>
      <c r="D34" s="24"/>
      <c r="E34" s="24"/>
      <c r="F34" s="24"/>
      <c r="G34" s="24"/>
    </row>
    <row r="35" spans="1:7" x14ac:dyDescent="0.25">
      <c r="B35" s="268" t="s">
        <v>154</v>
      </c>
      <c r="C35" s="56" t="s">
        <v>155</v>
      </c>
      <c r="D35" s="24">
        <v>36065526</v>
      </c>
      <c r="E35" s="24"/>
      <c r="F35" s="24">
        <v>36065526</v>
      </c>
      <c r="G35" s="24"/>
    </row>
    <row r="36" spans="1:7" x14ac:dyDescent="0.25">
      <c r="B36" s="268" t="s">
        <v>723</v>
      </c>
      <c r="C36" s="56" t="s">
        <v>159</v>
      </c>
      <c r="D36" s="24"/>
      <c r="E36" s="24"/>
      <c r="F36" s="24"/>
      <c r="G36" s="24"/>
    </row>
    <row r="37" spans="1:7" x14ac:dyDescent="0.25">
      <c r="B37" s="268" t="s">
        <v>160</v>
      </c>
      <c r="C37" s="56" t="s">
        <v>161</v>
      </c>
      <c r="D37" s="24"/>
      <c r="E37" s="24"/>
      <c r="F37" s="24"/>
      <c r="G37" s="24"/>
    </row>
    <row r="38" spans="1:7" x14ac:dyDescent="0.25">
      <c r="B38" s="268" t="s">
        <v>162</v>
      </c>
      <c r="C38" s="56" t="s">
        <v>163</v>
      </c>
      <c r="D38" s="24"/>
      <c r="E38" s="24"/>
      <c r="F38" s="24"/>
      <c r="G38" s="24"/>
    </row>
    <row r="39" spans="1:7" s="94" customFormat="1" x14ac:dyDescent="0.25">
      <c r="A39" s="13"/>
      <c r="B39" s="267" t="s">
        <v>166</v>
      </c>
      <c r="C39" s="90" t="s">
        <v>167</v>
      </c>
      <c r="D39" s="92">
        <f>SUM(D33:D38)+D22</f>
        <v>124565526</v>
      </c>
      <c r="E39" s="92">
        <f>SUM(E33:E38)+E22</f>
        <v>0</v>
      </c>
      <c r="F39" s="92">
        <f>SUM(F33:F38)+F22</f>
        <v>124565526</v>
      </c>
      <c r="G39" s="92">
        <f>SUM(G33:G38)+G22</f>
        <v>0</v>
      </c>
    </row>
    <row r="40" spans="1:7" hidden="1" x14ac:dyDescent="0.25">
      <c r="B40" s="59" t="s">
        <v>724</v>
      </c>
      <c r="C40" s="53" t="s">
        <v>725</v>
      </c>
      <c r="D40" s="24"/>
      <c r="E40" s="24"/>
      <c r="F40" s="24"/>
      <c r="G40" s="24"/>
    </row>
    <row r="41" spans="1:7" hidden="1" x14ac:dyDescent="0.25">
      <c r="B41" s="58" t="s">
        <v>726</v>
      </c>
      <c r="C41" s="53" t="s">
        <v>727</v>
      </c>
      <c r="D41" s="24"/>
      <c r="E41" s="24"/>
      <c r="F41" s="24"/>
      <c r="G41" s="24"/>
    </row>
    <row r="42" spans="1:7" hidden="1" x14ac:dyDescent="0.25">
      <c r="B42" s="59" t="s">
        <v>728</v>
      </c>
      <c r="C42" s="53" t="s">
        <v>729</v>
      </c>
      <c r="D42" s="24"/>
      <c r="E42" s="24"/>
      <c r="F42" s="24"/>
      <c r="G42" s="24"/>
    </row>
    <row r="43" spans="1:7" hidden="1" x14ac:dyDescent="0.25">
      <c r="B43" s="117" t="s">
        <v>710</v>
      </c>
      <c r="C43" s="96" t="s">
        <v>729</v>
      </c>
      <c r="D43" s="24"/>
      <c r="E43" s="24"/>
      <c r="F43" s="24"/>
      <c r="G43" s="24"/>
    </row>
    <row r="44" spans="1:7" hidden="1" x14ac:dyDescent="0.25">
      <c r="B44" s="59" t="s">
        <v>730</v>
      </c>
      <c r="C44" s="53" t="s">
        <v>731</v>
      </c>
      <c r="D44" s="24"/>
      <c r="E44" s="24"/>
      <c r="F44" s="24"/>
      <c r="G44" s="24"/>
    </row>
    <row r="45" spans="1:7" hidden="1" x14ac:dyDescent="0.25">
      <c r="B45" s="117" t="s">
        <v>732</v>
      </c>
      <c r="C45" s="96" t="s">
        <v>731</v>
      </c>
      <c r="D45" s="24"/>
      <c r="E45" s="24"/>
      <c r="F45" s="24"/>
      <c r="G45" s="24"/>
    </row>
    <row r="46" spans="1:7" hidden="1" x14ac:dyDescent="0.25">
      <c r="B46" s="117" t="s">
        <v>733</v>
      </c>
      <c r="C46" s="96" t="s">
        <v>731</v>
      </c>
      <c r="D46" s="24"/>
      <c r="E46" s="24"/>
      <c r="F46" s="24"/>
      <c r="G46" s="24"/>
    </row>
    <row r="47" spans="1:7" hidden="1" x14ac:dyDescent="0.25">
      <c r="B47" s="117" t="s">
        <v>734</v>
      </c>
      <c r="C47" s="96" t="s">
        <v>731</v>
      </c>
      <c r="D47" s="24"/>
      <c r="E47" s="24"/>
      <c r="F47" s="24"/>
      <c r="G47" s="24"/>
    </row>
    <row r="48" spans="1:7" hidden="1" x14ac:dyDescent="0.25">
      <c r="B48" s="117" t="s">
        <v>710</v>
      </c>
      <c r="C48" s="96" t="s">
        <v>731</v>
      </c>
      <c r="D48" s="24"/>
      <c r="E48" s="24"/>
      <c r="F48" s="24"/>
      <c r="G48" s="24"/>
    </row>
    <row r="49" spans="1:7" s="94" customFormat="1" x14ac:dyDescent="0.25">
      <c r="A49" s="13"/>
      <c r="B49" s="267" t="s">
        <v>735</v>
      </c>
      <c r="C49" s="90" t="s">
        <v>169</v>
      </c>
      <c r="D49" s="92">
        <f>+D40+D41+D42+D44</f>
        <v>0</v>
      </c>
      <c r="E49" s="92">
        <f>+E40+E41+E42+E44</f>
        <v>0</v>
      </c>
      <c r="F49" s="92">
        <f>+F40+F41+F42+F44</f>
        <v>0</v>
      </c>
      <c r="G49" s="92">
        <f>+G40+G41+G42+G44</f>
        <v>0</v>
      </c>
    </row>
    <row r="50" spans="1:7" x14ac:dyDescent="0.25">
      <c r="C50" s="252"/>
    </row>
    <row r="51" spans="1:7" x14ac:dyDescent="0.25">
      <c r="D51" s="515" t="s">
        <v>10</v>
      </c>
      <c r="E51" s="515"/>
      <c r="F51" s="515" t="s">
        <v>10</v>
      </c>
      <c r="G51" s="515"/>
    </row>
    <row r="52" spans="1:7" ht="47.25" x14ac:dyDescent="0.25">
      <c r="B52" s="254" t="s">
        <v>736</v>
      </c>
      <c r="C52" s="47" t="s">
        <v>38</v>
      </c>
      <c r="D52" s="20" t="s">
        <v>13</v>
      </c>
      <c r="E52" s="20" t="s">
        <v>14</v>
      </c>
      <c r="F52" s="20" t="s">
        <v>13</v>
      </c>
      <c r="G52" s="20" t="s">
        <v>14</v>
      </c>
    </row>
    <row r="53" spans="1:7" x14ac:dyDescent="0.25">
      <c r="A53" s="13" t="s">
        <v>737</v>
      </c>
      <c r="B53" s="269"/>
      <c r="C53" s="96" t="s">
        <v>276</v>
      </c>
      <c r="D53" s="97">
        <v>0</v>
      </c>
      <c r="E53" s="97"/>
      <c r="F53" s="97">
        <v>0</v>
      </c>
      <c r="G53" s="97"/>
    </row>
    <row r="54" spans="1:7" x14ac:dyDescent="0.25">
      <c r="A54" s="13" t="s">
        <v>738</v>
      </c>
      <c r="B54" s="270"/>
      <c r="C54" s="96" t="s">
        <v>276</v>
      </c>
      <c r="D54" s="97"/>
      <c r="E54" s="97"/>
      <c r="F54" s="97"/>
      <c r="G54" s="97"/>
    </row>
    <row r="55" spans="1:7" s="261" customFormat="1" x14ac:dyDescent="0.25">
      <c r="A55" s="258"/>
      <c r="B55" s="264" t="s">
        <v>739</v>
      </c>
      <c r="C55" s="260" t="s">
        <v>276</v>
      </c>
      <c r="D55" s="122">
        <f>+D54+D53</f>
        <v>0</v>
      </c>
      <c r="E55" s="122">
        <f>+E54+E53</f>
        <v>0</v>
      </c>
      <c r="F55" s="122">
        <f>+F54+F53</f>
        <v>0</v>
      </c>
      <c r="G55" s="122">
        <f>+G54+G53</f>
        <v>0</v>
      </c>
    </row>
    <row r="56" spans="1:7" x14ac:dyDescent="0.25">
      <c r="B56" s="117" t="s">
        <v>709</v>
      </c>
      <c r="C56" s="96" t="s">
        <v>276</v>
      </c>
      <c r="D56" s="24">
        <f>+D55</f>
        <v>0</v>
      </c>
      <c r="E56" s="24">
        <f>+E55</f>
        <v>0</v>
      </c>
      <c r="F56" s="24">
        <f>+F55</f>
        <v>0</v>
      </c>
      <c r="G56" s="24">
        <f>+G55</f>
        <v>0</v>
      </c>
    </row>
    <row r="57" spans="1:7" x14ac:dyDescent="0.25">
      <c r="B57" s="117"/>
      <c r="C57" s="96" t="s">
        <v>278</v>
      </c>
      <c r="D57" s="24"/>
      <c r="E57" s="24"/>
      <c r="F57" s="24"/>
      <c r="G57" s="24"/>
    </row>
    <row r="58" spans="1:7" s="261" customFormat="1" ht="22.5" customHeight="1" x14ac:dyDescent="0.25">
      <c r="A58" s="258"/>
      <c r="B58" s="259" t="s">
        <v>740</v>
      </c>
      <c r="C58" s="260" t="s">
        <v>278</v>
      </c>
      <c r="D58" s="122">
        <f>+D57</f>
        <v>0</v>
      </c>
      <c r="E58" s="122">
        <f>+E57</f>
        <v>0</v>
      </c>
      <c r="F58" s="122">
        <f>+F57</f>
        <v>0</v>
      </c>
      <c r="G58" s="122">
        <f>+G57</f>
        <v>0</v>
      </c>
    </row>
    <row r="59" spans="1:7" s="258" customFormat="1" x14ac:dyDescent="0.25">
      <c r="A59" s="13" t="s">
        <v>741</v>
      </c>
      <c r="B59" s="95" t="s">
        <v>856</v>
      </c>
      <c r="C59" s="96" t="s">
        <v>280</v>
      </c>
      <c r="D59" s="97">
        <v>88500000</v>
      </c>
      <c r="E59" s="125"/>
      <c r="F59" s="97">
        <v>88500000</v>
      </c>
      <c r="G59" s="125"/>
    </row>
    <row r="60" spans="1:7" s="261" customFormat="1" x14ac:dyDescent="0.25">
      <c r="A60" s="258"/>
      <c r="B60" s="264" t="s">
        <v>742</v>
      </c>
      <c r="C60" s="260" t="s">
        <v>280</v>
      </c>
      <c r="D60" s="122">
        <f t="shared" ref="D60:G61" si="0">+D59</f>
        <v>88500000</v>
      </c>
      <c r="E60" s="122">
        <f t="shared" si="0"/>
        <v>0</v>
      </c>
      <c r="F60" s="122">
        <f>+F59</f>
        <v>88500000</v>
      </c>
      <c r="G60" s="122">
        <f t="shared" si="0"/>
        <v>0</v>
      </c>
    </row>
    <row r="61" spans="1:7" x14ac:dyDescent="0.25">
      <c r="B61" s="117" t="s">
        <v>709</v>
      </c>
      <c r="C61" s="96" t="s">
        <v>280</v>
      </c>
      <c r="D61" s="24">
        <f t="shared" si="0"/>
        <v>88500000</v>
      </c>
      <c r="E61" s="24">
        <f t="shared" si="0"/>
        <v>0</v>
      </c>
      <c r="F61" s="24">
        <f>+F60</f>
        <v>88500000</v>
      </c>
      <c r="G61" s="24">
        <f t="shared" si="0"/>
        <v>0</v>
      </c>
    </row>
    <row r="62" spans="1:7" s="94" customFormat="1" x14ac:dyDescent="0.25">
      <c r="A62" s="13"/>
      <c r="B62" s="250" t="s">
        <v>743</v>
      </c>
      <c r="C62" s="90" t="s">
        <v>282</v>
      </c>
      <c r="D62" s="92">
        <f>+D55+D58+D60</f>
        <v>88500000</v>
      </c>
      <c r="E62" s="92">
        <f>+E55+E58+E60</f>
        <v>0</v>
      </c>
      <c r="F62" s="92">
        <f>+F55+F58+F60</f>
        <v>88500000</v>
      </c>
      <c r="G62" s="92">
        <f>+G55+G58+G60</f>
        <v>0</v>
      </c>
    </row>
    <row r="63" spans="1:7" x14ac:dyDescent="0.25">
      <c r="B63" s="58" t="s">
        <v>744</v>
      </c>
      <c r="C63" s="53" t="s">
        <v>284</v>
      </c>
      <c r="D63" s="24"/>
      <c r="E63" s="24"/>
      <c r="F63" s="24"/>
      <c r="G63" s="24"/>
    </row>
    <row r="64" spans="1:7" x14ac:dyDescent="0.25">
      <c r="B64" s="117" t="s">
        <v>715</v>
      </c>
      <c r="C64" s="96" t="s">
        <v>284</v>
      </c>
      <c r="D64" s="24"/>
      <c r="E64" s="24"/>
      <c r="F64" s="24"/>
      <c r="G64" s="24"/>
    </row>
    <row r="65" spans="1:7" x14ac:dyDescent="0.25">
      <c r="B65" s="59" t="s">
        <v>745</v>
      </c>
      <c r="C65" s="53" t="s">
        <v>286</v>
      </c>
      <c r="D65" s="24"/>
      <c r="E65" s="24"/>
      <c r="F65" s="24"/>
      <c r="G65" s="24"/>
    </row>
    <row r="66" spans="1:7" x14ac:dyDescent="0.25">
      <c r="B66" s="66" t="s">
        <v>746</v>
      </c>
      <c r="C66" s="53" t="s">
        <v>288</v>
      </c>
      <c r="D66" s="24"/>
      <c r="E66" s="24"/>
      <c r="F66" s="24"/>
      <c r="G66" s="24"/>
    </row>
    <row r="67" spans="1:7" x14ac:dyDescent="0.25">
      <c r="B67" s="117" t="s">
        <v>716</v>
      </c>
      <c r="C67" s="96" t="s">
        <v>288</v>
      </c>
      <c r="D67" s="24"/>
      <c r="E67" s="24"/>
      <c r="F67" s="24"/>
      <c r="G67" s="24"/>
    </row>
    <row r="68" spans="1:7" x14ac:dyDescent="0.25">
      <c r="B68" s="59" t="s">
        <v>747</v>
      </c>
      <c r="C68" s="53" t="s">
        <v>290</v>
      </c>
      <c r="D68" s="24"/>
      <c r="E68" s="24"/>
      <c r="F68" s="24"/>
      <c r="G68" s="24"/>
    </row>
    <row r="69" spans="1:7" x14ac:dyDescent="0.25">
      <c r="B69" s="268" t="s">
        <v>612</v>
      </c>
      <c r="C69" s="56" t="s">
        <v>292</v>
      </c>
      <c r="D69" s="24"/>
      <c r="E69" s="24"/>
      <c r="F69" s="24"/>
      <c r="G69" s="24"/>
    </row>
    <row r="70" spans="1:7" x14ac:dyDescent="0.25">
      <c r="B70" s="268" t="s">
        <v>301</v>
      </c>
      <c r="C70" s="56" t="s">
        <v>302</v>
      </c>
      <c r="D70" s="24"/>
      <c r="E70" s="24"/>
      <c r="F70" s="24"/>
      <c r="G70" s="24"/>
    </row>
    <row r="71" spans="1:7" x14ac:dyDescent="0.25">
      <c r="B71" s="268" t="s">
        <v>303</v>
      </c>
      <c r="C71" s="56" t="s">
        <v>304</v>
      </c>
      <c r="D71" s="24"/>
      <c r="E71" s="24"/>
      <c r="F71" s="24"/>
      <c r="G71" s="24"/>
    </row>
    <row r="72" spans="1:7" x14ac:dyDescent="0.25">
      <c r="B72" s="268" t="s">
        <v>748</v>
      </c>
      <c r="C72" s="56" t="s">
        <v>308</v>
      </c>
      <c r="D72" s="24"/>
      <c r="E72" s="24"/>
      <c r="F72" s="24"/>
      <c r="G72" s="24"/>
    </row>
    <row r="73" spans="1:7" x14ac:dyDescent="0.25">
      <c r="B73" s="271" t="s">
        <v>749</v>
      </c>
      <c r="C73" s="56" t="s">
        <v>310</v>
      </c>
      <c r="D73" s="24"/>
      <c r="E73" s="24"/>
      <c r="F73" s="24"/>
      <c r="G73" s="24"/>
    </row>
    <row r="74" spans="1:7" x14ac:dyDescent="0.25">
      <c r="B74" s="117" t="s">
        <v>750</v>
      </c>
      <c r="C74" s="136" t="s">
        <v>310</v>
      </c>
      <c r="D74" s="24"/>
      <c r="E74" s="24"/>
      <c r="F74" s="24"/>
      <c r="G74" s="24"/>
    </row>
    <row r="75" spans="1:7" s="94" customFormat="1" x14ac:dyDescent="0.25">
      <c r="A75" s="13"/>
      <c r="B75" s="250" t="s">
        <v>313</v>
      </c>
      <c r="C75" s="90" t="s">
        <v>314</v>
      </c>
      <c r="D75" s="92">
        <f>+D62+D69+D70+D71+D72+D73</f>
        <v>88500000</v>
      </c>
      <c r="E75" s="92">
        <f>+E62+E69+E70+E71+E72+E73</f>
        <v>0</v>
      </c>
      <c r="F75" s="92">
        <f>+F62+F69+F70+F71+F72+F73</f>
        <v>88500000</v>
      </c>
      <c r="G75" s="92">
        <f>+G62+G69+G70+G71+G72+G73</f>
        <v>0</v>
      </c>
    </row>
    <row r="76" spans="1:7" hidden="1" x14ac:dyDescent="0.25">
      <c r="B76" s="58" t="s">
        <v>751</v>
      </c>
      <c r="C76" s="53" t="s">
        <v>752</v>
      </c>
      <c r="D76" s="24"/>
      <c r="E76" s="24"/>
      <c r="F76" s="24"/>
      <c r="G76" s="24"/>
    </row>
    <row r="77" spans="1:7" hidden="1" x14ac:dyDescent="0.25">
      <c r="B77" s="66" t="s">
        <v>753</v>
      </c>
      <c r="C77" s="53" t="s">
        <v>754</v>
      </c>
      <c r="D77" s="24"/>
      <c r="E77" s="24"/>
      <c r="F77" s="24"/>
      <c r="G77" s="24"/>
    </row>
    <row r="78" spans="1:7" hidden="1" x14ac:dyDescent="0.25">
      <c r="B78" s="59" t="s">
        <v>755</v>
      </c>
      <c r="C78" s="53" t="s">
        <v>756</v>
      </c>
      <c r="D78" s="24"/>
      <c r="E78" s="24"/>
      <c r="F78" s="24"/>
      <c r="G78" s="24"/>
    </row>
    <row r="79" spans="1:7" hidden="1" x14ac:dyDescent="0.25">
      <c r="B79" s="59" t="s">
        <v>757</v>
      </c>
      <c r="C79" s="53" t="s">
        <v>758</v>
      </c>
      <c r="D79" s="24"/>
      <c r="E79" s="24"/>
      <c r="F79" s="24"/>
      <c r="G79" s="24"/>
    </row>
    <row r="80" spans="1:7" hidden="1" x14ac:dyDescent="0.25">
      <c r="B80" s="117" t="s">
        <v>732</v>
      </c>
      <c r="C80" s="96" t="s">
        <v>758</v>
      </c>
      <c r="D80" s="24"/>
      <c r="E80" s="24"/>
      <c r="F80" s="24"/>
      <c r="G80" s="24"/>
    </row>
    <row r="81" spans="1:7" hidden="1" x14ac:dyDescent="0.25">
      <c r="B81" s="117" t="s">
        <v>733</v>
      </c>
      <c r="C81" s="96" t="s">
        <v>758</v>
      </c>
      <c r="D81" s="24"/>
      <c r="E81" s="24"/>
      <c r="F81" s="24"/>
      <c r="G81" s="24"/>
    </row>
    <row r="82" spans="1:7" hidden="1" x14ac:dyDescent="0.25">
      <c r="B82" s="117" t="s">
        <v>734</v>
      </c>
      <c r="C82" s="96" t="s">
        <v>758</v>
      </c>
      <c r="D82" s="24"/>
      <c r="E82" s="24"/>
      <c r="F82" s="24"/>
      <c r="G82" s="24"/>
    </row>
    <row r="83" spans="1:7" s="94" customFormat="1" x14ac:dyDescent="0.25">
      <c r="A83" s="13"/>
      <c r="B83" s="267" t="s">
        <v>759</v>
      </c>
      <c r="C83" s="90" t="s">
        <v>316</v>
      </c>
      <c r="D83" s="92">
        <f>SUM(D76:D79)</f>
        <v>0</v>
      </c>
      <c r="E83" s="92">
        <f>SUM(E76:E79)</f>
        <v>0</v>
      </c>
      <c r="F83" s="92">
        <f>SUM(F76:F79)</f>
        <v>0</v>
      </c>
      <c r="G83" s="92">
        <f>SUM(G76:G79)</f>
        <v>0</v>
      </c>
    </row>
  </sheetData>
  <sheetProtection selectLockedCells="1" selectUnlockedCells="1"/>
  <mergeCells count="5">
    <mergeCell ref="B6:E6"/>
    <mergeCell ref="D8:E8"/>
    <mergeCell ref="F8:G8"/>
    <mergeCell ref="D51:E51"/>
    <mergeCell ref="F51:G51"/>
  </mergeCells>
  <printOptions horizontalCentered="1"/>
  <pageMargins left="0.70833333333333337" right="0.70833333333333337" top="0.42986111111111114" bottom="0.58055555555555549" header="0.51180555555555551" footer="0.31527777777777777"/>
  <pageSetup paperSize="9" scale="62" firstPageNumber="0" orientation="portrait" horizontalDpi="300" verticalDpi="300" r:id="rId1"/>
  <headerFooter alignWithMargins="0"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view="pageBreakPreview" zoomScale="80" zoomScaleNormal="62" zoomScaleSheetLayoutView="80" workbookViewId="0">
      <selection activeCell="G2" sqref="G2"/>
    </sheetView>
  </sheetViews>
  <sheetFormatPr defaultRowHeight="15.75" x14ac:dyDescent="0.25"/>
  <cols>
    <col min="1" max="1" width="58.28515625" style="13" customWidth="1"/>
    <col min="2" max="3" width="15.5703125" style="14" bestFit="1" customWidth="1"/>
    <col min="4" max="4" width="15.140625" style="14" customWidth="1"/>
    <col min="5" max="6" width="15.42578125" style="14" customWidth="1"/>
    <col min="7" max="7" width="16.140625" style="14" customWidth="1"/>
    <col min="8" max="16384" width="9.140625" style="13"/>
  </cols>
  <sheetData>
    <row r="1" spans="1:7" x14ac:dyDescent="0.25">
      <c r="G1" s="15" t="s">
        <v>9</v>
      </c>
    </row>
    <row r="2" spans="1:7" x14ac:dyDescent="0.25">
      <c r="G2" s="16" t="s">
        <v>919</v>
      </c>
    </row>
    <row r="3" spans="1:7" x14ac:dyDescent="0.25">
      <c r="D3" s="16"/>
      <c r="G3" s="16"/>
    </row>
    <row r="4" spans="1:7" ht="40.5" x14ac:dyDescent="0.3">
      <c r="A4" s="17" t="s">
        <v>857</v>
      </c>
    </row>
    <row r="5" spans="1:7" ht="20.25" x14ac:dyDescent="0.3">
      <c r="A5" s="17"/>
    </row>
    <row r="6" spans="1:7" ht="50.25" customHeight="1" x14ac:dyDescent="0.35">
      <c r="A6" s="18" t="s">
        <v>823</v>
      </c>
    </row>
    <row r="7" spans="1:7" ht="19.5" x14ac:dyDescent="0.35">
      <c r="A7" s="18"/>
    </row>
    <row r="8" spans="1:7" x14ac:dyDescent="0.25">
      <c r="B8" s="491" t="s">
        <v>10</v>
      </c>
      <c r="C8" s="491"/>
      <c r="D8" s="491"/>
      <c r="E8" s="491" t="s">
        <v>11</v>
      </c>
      <c r="F8" s="491"/>
      <c r="G8" s="491"/>
    </row>
    <row r="9" spans="1:7" s="22" customFormat="1" ht="31.5" x14ac:dyDescent="0.25">
      <c r="A9" s="19" t="s">
        <v>12</v>
      </c>
      <c r="B9" s="20" t="s">
        <v>13</v>
      </c>
      <c r="C9" s="20" t="s">
        <v>14</v>
      </c>
      <c r="D9" s="21" t="s">
        <v>15</v>
      </c>
      <c r="E9" s="20" t="s">
        <v>13</v>
      </c>
      <c r="F9" s="20" t="s">
        <v>14</v>
      </c>
      <c r="G9" s="21" t="s">
        <v>15</v>
      </c>
    </row>
    <row r="10" spans="1:7" x14ac:dyDescent="0.25">
      <c r="A10" s="23" t="s">
        <v>16</v>
      </c>
      <c r="B10" s="24">
        <f>+'2 Össz'!C9</f>
        <v>1073208770</v>
      </c>
      <c r="C10" s="24">
        <f>+'2 Össz'!D9</f>
        <v>663671060</v>
      </c>
      <c r="D10" s="25">
        <f t="shared" ref="D10:D17" si="0">SUM(B10:C10)</f>
        <v>1736879830</v>
      </c>
      <c r="E10" s="24">
        <f>+'2 Össz'!F9</f>
        <v>1116476670</v>
      </c>
      <c r="F10" s="24">
        <f>+'2 Össz'!G9</f>
        <v>477609724</v>
      </c>
      <c r="G10" s="25">
        <f t="shared" ref="G10:G17" si="1">SUM(E10:F10)</f>
        <v>1594086394</v>
      </c>
    </row>
    <row r="11" spans="1:7" x14ac:dyDescent="0.25">
      <c r="A11" s="23" t="s">
        <v>17</v>
      </c>
      <c r="B11" s="24">
        <f>+'2 Össz'!C10</f>
        <v>210887968</v>
      </c>
      <c r="C11" s="24">
        <f>+'2 Össz'!D10</f>
        <v>134334275</v>
      </c>
      <c r="D11" s="25">
        <f t="shared" si="0"/>
        <v>345222243</v>
      </c>
      <c r="E11" s="24">
        <f>+'2 Össz'!F10</f>
        <v>218493479</v>
      </c>
      <c r="F11" s="24">
        <f>+'2 Össz'!G10</f>
        <v>86703878</v>
      </c>
      <c r="G11" s="25">
        <f t="shared" si="1"/>
        <v>305197357</v>
      </c>
    </row>
    <row r="12" spans="1:7" x14ac:dyDescent="0.25">
      <c r="A12" s="23" t="s">
        <v>18</v>
      </c>
      <c r="B12" s="24">
        <f>+'2 Össz'!C16</f>
        <v>736270595.49000001</v>
      </c>
      <c r="C12" s="24">
        <f>+'2 Össz'!D16</f>
        <v>576606822</v>
      </c>
      <c r="D12" s="25">
        <f t="shared" si="0"/>
        <v>1312877417.49</v>
      </c>
      <c r="E12" s="24">
        <f>+'2 Össz'!F16</f>
        <v>813223609.49000001</v>
      </c>
      <c r="F12" s="24">
        <f>+'2 Össz'!G16</f>
        <v>595002469</v>
      </c>
      <c r="G12" s="25">
        <f t="shared" si="1"/>
        <v>1408226078.49</v>
      </c>
    </row>
    <row r="13" spans="1:7" x14ac:dyDescent="0.25">
      <c r="A13" s="23" t="s">
        <v>19</v>
      </c>
      <c r="B13" s="24">
        <f>+'2 Össz'!C17</f>
        <v>59800000</v>
      </c>
      <c r="C13" s="24">
        <f>+'2 Össz'!D17</f>
        <v>0</v>
      </c>
      <c r="D13" s="25">
        <f t="shared" si="0"/>
        <v>59800000</v>
      </c>
      <c r="E13" s="24">
        <f>+'2 Össz'!F17</f>
        <v>59800000</v>
      </c>
      <c r="F13" s="24">
        <f>+'2 Össz'!G17</f>
        <v>0</v>
      </c>
      <c r="G13" s="25">
        <f t="shared" si="1"/>
        <v>59800000</v>
      </c>
    </row>
    <row r="14" spans="1:7" x14ac:dyDescent="0.25">
      <c r="A14" s="23" t="s">
        <v>20</v>
      </c>
      <c r="B14" s="24">
        <f>+'2 Össz'!C32</f>
        <v>58912500</v>
      </c>
      <c r="C14" s="24">
        <f>+'2 Össz'!D32</f>
        <v>61126993</v>
      </c>
      <c r="D14" s="25">
        <f t="shared" si="0"/>
        <v>120039493</v>
      </c>
      <c r="E14" s="24">
        <f>+'2 Össz'!F32</f>
        <v>79133706</v>
      </c>
      <c r="F14" s="24">
        <f>+'2 Össz'!G32</f>
        <v>73074864</v>
      </c>
      <c r="G14" s="25">
        <f t="shared" si="1"/>
        <v>152208570</v>
      </c>
    </row>
    <row r="15" spans="1:7" x14ac:dyDescent="0.25">
      <c r="A15" s="23" t="s">
        <v>21</v>
      </c>
      <c r="B15" s="24">
        <f>+'2 Össz'!C41</f>
        <v>77390185</v>
      </c>
      <c r="C15" s="24">
        <f>+'2 Össz'!D41</f>
        <v>149561081</v>
      </c>
      <c r="D15" s="25">
        <f t="shared" si="0"/>
        <v>226951266</v>
      </c>
      <c r="E15" s="24">
        <f>+'2 Össz'!F41</f>
        <v>278620234</v>
      </c>
      <c r="F15" s="24">
        <f>+'2 Össz'!G41</f>
        <v>395840204</v>
      </c>
      <c r="G15" s="25">
        <f t="shared" si="1"/>
        <v>674460438</v>
      </c>
    </row>
    <row r="16" spans="1:7" x14ac:dyDescent="0.25">
      <c r="A16" s="23" t="s">
        <v>22</v>
      </c>
      <c r="B16" s="24">
        <f>+'2 Össz'!C46</f>
        <v>2036168743</v>
      </c>
      <c r="C16" s="24">
        <f>+'2 Össz'!D46</f>
        <v>540316640</v>
      </c>
      <c r="D16" s="25">
        <f t="shared" si="0"/>
        <v>2576485383</v>
      </c>
      <c r="E16" s="24">
        <f>+'2 Össz'!F46</f>
        <v>1615414796</v>
      </c>
      <c r="F16" s="24">
        <f>+'2 Össz'!G46</f>
        <v>98898542</v>
      </c>
      <c r="G16" s="25">
        <f t="shared" si="1"/>
        <v>1714313338</v>
      </c>
    </row>
    <row r="17" spans="1:7" x14ac:dyDescent="0.25">
      <c r="A17" s="23" t="s">
        <v>23</v>
      </c>
      <c r="B17" s="24">
        <f>+'2 Össz'!C56</f>
        <v>16101000</v>
      </c>
      <c r="C17" s="24">
        <f>+'2 Össz'!D56</f>
        <v>2000000</v>
      </c>
      <c r="D17" s="25">
        <f t="shared" si="0"/>
        <v>18101000</v>
      </c>
      <c r="E17" s="24">
        <f>+'2 Össz'!F56</f>
        <v>16101000</v>
      </c>
      <c r="F17" s="24">
        <f>+'2 Össz'!G56</f>
        <v>2000000</v>
      </c>
      <c r="G17" s="25">
        <f t="shared" si="1"/>
        <v>18101000</v>
      </c>
    </row>
    <row r="18" spans="1:7" s="27" customFormat="1" x14ac:dyDescent="0.25">
      <c r="A18" s="26" t="s">
        <v>24</v>
      </c>
      <c r="B18" s="25">
        <f t="shared" ref="B18:G18" si="2">SUM(B10:B17)</f>
        <v>4268739761.4899998</v>
      </c>
      <c r="C18" s="25">
        <f t="shared" si="2"/>
        <v>2127616871</v>
      </c>
      <c r="D18" s="25">
        <f t="shared" si="2"/>
        <v>6396356632.4899998</v>
      </c>
      <c r="E18" s="25">
        <f t="shared" si="2"/>
        <v>4197263494.4899998</v>
      </c>
      <c r="F18" s="25">
        <f t="shared" si="2"/>
        <v>1729129681</v>
      </c>
      <c r="G18" s="25">
        <f t="shared" si="2"/>
        <v>5926393175.4899998</v>
      </c>
    </row>
    <row r="19" spans="1:7" s="27" customFormat="1" x14ac:dyDescent="0.25">
      <c r="A19" s="26" t="s">
        <v>25</v>
      </c>
      <c r="B19" s="25">
        <f>+'2 Össz'!C75</f>
        <v>124565526</v>
      </c>
      <c r="C19" s="25">
        <f>+'2 Össz'!D75</f>
        <v>0</v>
      </c>
      <c r="D19" s="25">
        <f>SUM(B19:C19)</f>
        <v>124565526</v>
      </c>
      <c r="E19" s="25">
        <f>+'2 Össz'!F75</f>
        <v>124565526</v>
      </c>
      <c r="F19" s="25">
        <f>+'2 Össz'!G75</f>
        <v>0</v>
      </c>
      <c r="G19" s="25">
        <f>SUM(E19:F19)</f>
        <v>124565526</v>
      </c>
    </row>
    <row r="20" spans="1:7" s="27" customFormat="1" x14ac:dyDescent="0.25">
      <c r="A20" s="28" t="s">
        <v>26</v>
      </c>
      <c r="B20" s="29">
        <f t="shared" ref="B20:G20" si="3">+B19+B18</f>
        <v>4393305287.4899998</v>
      </c>
      <c r="C20" s="29">
        <f t="shared" si="3"/>
        <v>2127616871</v>
      </c>
      <c r="D20" s="29">
        <f t="shared" si="3"/>
        <v>6520922158.4899998</v>
      </c>
      <c r="E20" s="29">
        <f t="shared" si="3"/>
        <v>4321829020.4899998</v>
      </c>
      <c r="F20" s="29">
        <f t="shared" si="3"/>
        <v>1729129681</v>
      </c>
      <c r="G20" s="29">
        <f t="shared" si="3"/>
        <v>6050958701.4899998</v>
      </c>
    </row>
    <row r="21" spans="1:7" x14ac:dyDescent="0.25">
      <c r="A21" s="23" t="s">
        <v>27</v>
      </c>
      <c r="B21" s="24">
        <f>+'2 Össz'!C92</f>
        <v>1336912084</v>
      </c>
      <c r="C21" s="24">
        <f>+'2 Össz'!D92</f>
        <v>907856872</v>
      </c>
      <c r="D21" s="25">
        <f t="shared" ref="D21:D27" si="4">SUM(B21:C21)</f>
        <v>2244768956</v>
      </c>
      <c r="E21" s="24">
        <f>+'2 Össz'!F92</f>
        <v>1343188155</v>
      </c>
      <c r="F21" s="24">
        <f>+'2 Össz'!G92</f>
        <v>630143983</v>
      </c>
      <c r="G21" s="25">
        <f t="shared" ref="G21:G27" si="5">SUM(E21:F21)</f>
        <v>1973332138</v>
      </c>
    </row>
    <row r="22" spans="1:7" x14ac:dyDescent="0.25">
      <c r="A22" s="23" t="s">
        <v>28</v>
      </c>
      <c r="B22" s="24">
        <f>+'2 Össz'!C93</f>
        <v>386026269</v>
      </c>
      <c r="C22" s="24">
        <f>+'2 Össz'!D93</f>
        <v>190688493</v>
      </c>
      <c r="D22" s="25">
        <f t="shared" si="4"/>
        <v>576714762</v>
      </c>
      <c r="E22" s="24">
        <f>+'2 Össz'!F93</f>
        <v>213544317</v>
      </c>
      <c r="F22" s="24">
        <f>+'2 Össz'!G93</f>
        <v>13589493</v>
      </c>
      <c r="G22" s="25">
        <f t="shared" si="5"/>
        <v>227133810</v>
      </c>
    </row>
    <row r="23" spans="1:7" x14ac:dyDescent="0.25">
      <c r="A23" s="23" t="s">
        <v>29</v>
      </c>
      <c r="B23" s="24">
        <f>+'2 Össz'!C100</f>
        <v>335392106</v>
      </c>
      <c r="C23" s="24">
        <f>+'2 Össz'!D100</f>
        <v>97107894</v>
      </c>
      <c r="D23" s="25">
        <f t="shared" si="4"/>
        <v>432500000</v>
      </c>
      <c r="E23" s="24">
        <f>+'2 Össz'!F100</f>
        <v>405912119</v>
      </c>
      <c r="F23" s="24">
        <f>+'2 Össz'!G100</f>
        <v>120676881</v>
      </c>
      <c r="G23" s="25">
        <f t="shared" si="5"/>
        <v>526589000</v>
      </c>
    </row>
    <row r="24" spans="1:7" x14ac:dyDescent="0.25">
      <c r="A24" s="23" t="s">
        <v>30</v>
      </c>
      <c r="B24" s="24">
        <f>+'2 Össz'!C112</f>
        <v>239857017</v>
      </c>
      <c r="C24" s="24">
        <f>+'2 Össz'!D112</f>
        <v>241451300</v>
      </c>
      <c r="D24" s="25">
        <f t="shared" si="4"/>
        <v>481308317</v>
      </c>
      <c r="E24" s="24">
        <f>+'2 Össz'!F112</f>
        <v>258080232</v>
      </c>
      <c r="F24" s="24">
        <f>+'2 Össz'!G112</f>
        <v>245063833</v>
      </c>
      <c r="G24" s="25">
        <f t="shared" si="5"/>
        <v>503144065</v>
      </c>
    </row>
    <row r="25" spans="1:7" x14ac:dyDescent="0.25">
      <c r="A25" s="23" t="s">
        <v>31</v>
      </c>
      <c r="B25" s="24">
        <f>+'2 Össz'!C118</f>
        <v>59000000</v>
      </c>
      <c r="C25" s="24">
        <f>+'2 Össz'!D118</f>
        <v>0</v>
      </c>
      <c r="D25" s="25">
        <f t="shared" si="4"/>
        <v>59000000</v>
      </c>
      <c r="E25" s="24">
        <f>+'2 Össz'!F118</f>
        <v>30000000</v>
      </c>
      <c r="F25" s="24">
        <f>+'2 Össz'!G118</f>
        <v>63500</v>
      </c>
      <c r="G25" s="25">
        <f t="shared" si="5"/>
        <v>30063500</v>
      </c>
    </row>
    <row r="26" spans="1:7" x14ac:dyDescent="0.25">
      <c r="A26" s="23" t="s">
        <v>32</v>
      </c>
      <c r="B26" s="24">
        <f>+'2 Össz'!C119</f>
        <v>22482500</v>
      </c>
      <c r="C26" s="24">
        <f>+'2 Össz'!D119</f>
        <v>0</v>
      </c>
      <c r="D26" s="25">
        <f t="shared" si="4"/>
        <v>22482500</v>
      </c>
      <c r="E26" s="24">
        <f>+'2 Össz'!F119</f>
        <v>35208149</v>
      </c>
      <c r="F26" s="24">
        <f>+'2 Össz'!G119</f>
        <v>0</v>
      </c>
      <c r="G26" s="25">
        <f t="shared" si="5"/>
        <v>35208149</v>
      </c>
    </row>
    <row r="27" spans="1:7" x14ac:dyDescent="0.25">
      <c r="A27" s="23" t="s">
        <v>33</v>
      </c>
      <c r="B27" s="24">
        <f>+'2 Össz'!C125</f>
        <v>29400000</v>
      </c>
      <c r="C27" s="24">
        <f>+'2 Össz'!D125</f>
        <v>0</v>
      </c>
      <c r="D27" s="25">
        <f t="shared" si="4"/>
        <v>29400000</v>
      </c>
      <c r="E27" s="24">
        <f>+'2 Össz'!F125</f>
        <v>29460000</v>
      </c>
      <c r="F27" s="24">
        <f>+'2 Össz'!G125</f>
        <v>0</v>
      </c>
      <c r="G27" s="25">
        <f t="shared" si="5"/>
        <v>29460000</v>
      </c>
    </row>
    <row r="28" spans="1:7" s="27" customFormat="1" x14ac:dyDescent="0.25">
      <c r="A28" s="26" t="s">
        <v>34</v>
      </c>
      <c r="B28" s="25">
        <f t="shared" ref="B28:G28" si="6">SUM(B21:B27)</f>
        <v>2409069976</v>
      </c>
      <c r="C28" s="25">
        <f t="shared" si="6"/>
        <v>1437104559</v>
      </c>
      <c r="D28" s="25">
        <f t="shared" si="6"/>
        <v>3846174535</v>
      </c>
      <c r="E28" s="25">
        <f t="shared" si="6"/>
        <v>2315392972</v>
      </c>
      <c r="F28" s="25">
        <f t="shared" si="6"/>
        <v>1009537690</v>
      </c>
      <c r="G28" s="25">
        <f t="shared" si="6"/>
        <v>3324930662</v>
      </c>
    </row>
    <row r="29" spans="1:7" s="27" customFormat="1" x14ac:dyDescent="0.25">
      <c r="A29" s="26" t="s">
        <v>35</v>
      </c>
      <c r="B29" s="25">
        <f>+'2 Össz'!C153</f>
        <v>1984235311</v>
      </c>
      <c r="C29" s="25">
        <f>+'2 Össz'!D153</f>
        <v>690512312</v>
      </c>
      <c r="D29" s="25">
        <f>SUM(B29:C29)</f>
        <v>2674747623</v>
      </c>
      <c r="E29" s="25">
        <f>+'2 Össz'!F153</f>
        <v>2006436048</v>
      </c>
      <c r="F29" s="25">
        <f>+'2 Össz'!G153</f>
        <v>719591991</v>
      </c>
      <c r="G29" s="25">
        <f>SUM(E29:F29)</f>
        <v>2726028039</v>
      </c>
    </row>
    <row r="30" spans="1:7" s="27" customFormat="1" x14ac:dyDescent="0.25">
      <c r="A30" s="28" t="s">
        <v>36</v>
      </c>
      <c r="B30" s="29">
        <f t="shared" ref="B30:G30" si="7">+B29+B28</f>
        <v>4393305287</v>
      </c>
      <c r="C30" s="29">
        <f t="shared" si="7"/>
        <v>2127616871</v>
      </c>
      <c r="D30" s="29">
        <f t="shared" si="7"/>
        <v>6520922158</v>
      </c>
      <c r="E30" s="29">
        <f t="shared" si="7"/>
        <v>4321829020</v>
      </c>
      <c r="F30" s="29">
        <f t="shared" si="7"/>
        <v>1729129681</v>
      </c>
      <c r="G30" s="29">
        <f t="shared" si="7"/>
        <v>6050958701</v>
      </c>
    </row>
    <row r="33" spans="2:7" x14ac:dyDescent="0.25">
      <c r="B33" s="14">
        <f t="shared" ref="B33:G33" si="8">+B30-B20</f>
        <v>-0.48999977111816406</v>
      </c>
      <c r="C33" s="14">
        <f t="shared" si="8"/>
        <v>0</v>
      </c>
      <c r="D33" s="14">
        <f t="shared" si="8"/>
        <v>-0.48999977111816406</v>
      </c>
      <c r="E33" s="14">
        <f t="shared" si="8"/>
        <v>-0.48999977111816406</v>
      </c>
      <c r="F33" s="14">
        <f t="shared" si="8"/>
        <v>0</v>
      </c>
      <c r="G33" s="14">
        <f t="shared" si="8"/>
        <v>-0.48999977111816406</v>
      </c>
    </row>
  </sheetData>
  <sheetProtection selectLockedCells="1" selectUnlockedCells="1"/>
  <mergeCells count="2">
    <mergeCell ref="B8:D8"/>
    <mergeCell ref="E8:G8"/>
  </mergeCells>
  <pageMargins left="0.70833333333333337" right="0.40972222222222221" top="0.74791666666666667" bottom="0.74861111111111112" header="0.51180555555555551" footer="0.31527777777777777"/>
  <pageSetup paperSize="9" scale="60" firstPageNumber="0" orientation="portrait" horizontalDpi="300" verticalDpi="300" r:id="rId1"/>
  <headerFooter alignWithMargins="0">
    <oddFooter>&amp;R&amp;P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  <pageSetUpPr fitToPage="1"/>
  </sheetPr>
  <dimension ref="A1:I27"/>
  <sheetViews>
    <sheetView view="pageBreakPreview" zoomScale="80" zoomScaleSheetLayoutView="80" workbookViewId="0">
      <selection activeCell="G8" sqref="G1:L1048576"/>
    </sheetView>
  </sheetViews>
  <sheetFormatPr defaultRowHeight="15.75" x14ac:dyDescent="0.25"/>
  <cols>
    <col min="1" max="1" width="48" style="13" customWidth="1"/>
    <col min="2" max="2" width="15.42578125" style="13" customWidth="1"/>
    <col min="3" max="3" width="15.85546875" style="13" bestFit="1" customWidth="1"/>
    <col min="4" max="4" width="12.7109375" style="13" customWidth="1"/>
    <col min="5" max="5" width="12.28515625" style="13" customWidth="1"/>
    <col min="6" max="6" width="10.5703125" style="13" customWidth="1"/>
    <col min="7" max="7" width="11.5703125" style="13" customWidth="1"/>
    <col min="8" max="8" width="11.42578125" style="13" customWidth="1"/>
    <col min="9" max="9" width="16.28515625" style="13" customWidth="1"/>
    <col min="10" max="16384" width="9.140625" style="13"/>
  </cols>
  <sheetData>
    <row r="1" spans="1:9" x14ac:dyDescent="0.25">
      <c r="I1" s="15" t="s">
        <v>760</v>
      </c>
    </row>
    <row r="2" spans="1:9" x14ac:dyDescent="0.25">
      <c r="I2" s="16" t="s">
        <v>905</v>
      </c>
    </row>
    <row r="3" spans="1:9" ht="30.75" customHeight="1" x14ac:dyDescent="0.3">
      <c r="A3" s="489" t="s">
        <v>857</v>
      </c>
      <c r="B3" s="489"/>
      <c r="C3" s="36"/>
      <c r="D3" s="36"/>
      <c r="E3" s="36"/>
      <c r="F3" s="36"/>
      <c r="G3" s="36"/>
      <c r="H3" s="36"/>
      <c r="I3" s="36"/>
    </row>
    <row r="4" spans="1:9" ht="23.25" customHeight="1" x14ac:dyDescent="0.25">
      <c r="A4" s="493" t="s">
        <v>872</v>
      </c>
      <c r="B4" s="493"/>
      <c r="C4" s="493"/>
      <c r="D4" s="493"/>
      <c r="E4" s="493"/>
      <c r="F4" s="493"/>
      <c r="G4" s="493"/>
      <c r="H4" s="493"/>
      <c r="I4" s="493"/>
    </row>
    <row r="7" spans="1:9" s="22" customFormat="1" ht="47.25" x14ac:dyDescent="0.25">
      <c r="A7" s="272" t="s">
        <v>761</v>
      </c>
      <c r="B7" s="272" t="s">
        <v>762</v>
      </c>
      <c r="C7" s="272" t="s">
        <v>763</v>
      </c>
      <c r="D7" s="272" t="s">
        <v>764</v>
      </c>
      <c r="E7" s="272" t="s">
        <v>765</v>
      </c>
      <c r="F7" s="272" t="s">
        <v>833</v>
      </c>
      <c r="G7" s="272" t="s">
        <v>859</v>
      </c>
      <c r="H7" s="272" t="s">
        <v>860</v>
      </c>
      <c r="I7" s="272" t="s">
        <v>543</v>
      </c>
    </row>
    <row r="8" spans="1:9" x14ac:dyDescent="0.25">
      <c r="A8" s="23"/>
      <c r="B8" s="273"/>
      <c r="C8" s="246"/>
      <c r="D8" s="246"/>
      <c r="E8" s="246"/>
      <c r="F8" s="246"/>
      <c r="G8" s="246"/>
      <c r="H8" s="246"/>
      <c r="I8" s="246">
        <f>SUM(C8:H8)</f>
        <v>0</v>
      </c>
    </row>
    <row r="9" spans="1:9" x14ac:dyDescent="0.25">
      <c r="A9" s="274"/>
      <c r="B9" s="273"/>
      <c r="C9" s="246"/>
      <c r="D9" s="246"/>
      <c r="E9" s="246"/>
      <c r="F9" s="246"/>
      <c r="G9" s="246"/>
      <c r="H9" s="246"/>
      <c r="I9" s="246">
        <f>SUM(C9:H9)</f>
        <v>0</v>
      </c>
    </row>
    <row r="10" spans="1:9" x14ac:dyDescent="0.25">
      <c r="A10" s="23"/>
      <c r="B10" s="273"/>
      <c r="C10" s="246"/>
      <c r="D10" s="246"/>
      <c r="E10" s="246"/>
      <c r="F10" s="246"/>
      <c r="G10" s="246"/>
      <c r="H10" s="246"/>
      <c r="I10" s="246">
        <f>SUM(C10:H10)</f>
        <v>0</v>
      </c>
    </row>
    <row r="11" spans="1:9" s="94" customFormat="1" x14ac:dyDescent="0.25">
      <c r="A11" s="275" t="s">
        <v>766</v>
      </c>
      <c r="B11" s="275"/>
      <c r="C11" s="276">
        <f t="shared" ref="C11:I11" si="0">SUM(C8:C10)</f>
        <v>0</v>
      </c>
      <c r="D11" s="276">
        <f t="shared" si="0"/>
        <v>0</v>
      </c>
      <c r="E11" s="276">
        <f t="shared" si="0"/>
        <v>0</v>
      </c>
      <c r="F11" s="276">
        <f t="shared" si="0"/>
        <v>0</v>
      </c>
      <c r="G11" s="276">
        <f t="shared" si="0"/>
        <v>0</v>
      </c>
      <c r="H11" s="276">
        <f t="shared" si="0"/>
        <v>0</v>
      </c>
      <c r="I11" s="276">
        <f t="shared" si="0"/>
        <v>0</v>
      </c>
    </row>
    <row r="12" spans="1:9" x14ac:dyDescent="0.25">
      <c r="A12" s="273"/>
      <c r="B12" s="273"/>
      <c r="C12" s="246"/>
      <c r="D12" s="246"/>
      <c r="E12" s="246"/>
      <c r="F12" s="246"/>
      <c r="G12" s="246"/>
      <c r="H12" s="246"/>
      <c r="I12" s="246">
        <f>SUM(C12:H12)</f>
        <v>0</v>
      </c>
    </row>
    <row r="13" spans="1:9" x14ac:dyDescent="0.25">
      <c r="A13" s="269"/>
      <c r="B13" s="273"/>
      <c r="C13" s="246"/>
      <c r="D13" s="246"/>
      <c r="E13" s="246"/>
      <c r="F13" s="246"/>
      <c r="G13" s="246"/>
      <c r="H13" s="246"/>
      <c r="I13" s="246"/>
    </row>
    <row r="14" spans="1:9" s="94" customFormat="1" x14ac:dyDescent="0.25">
      <c r="A14" s="275" t="s">
        <v>767</v>
      </c>
      <c r="B14" s="275"/>
      <c r="C14" s="276">
        <f t="shared" ref="C14:I14" si="1">SUM(C13:C13)</f>
        <v>0</v>
      </c>
      <c r="D14" s="276">
        <f t="shared" si="1"/>
        <v>0</v>
      </c>
      <c r="E14" s="276">
        <f t="shared" si="1"/>
        <v>0</v>
      </c>
      <c r="F14" s="276">
        <f t="shared" si="1"/>
        <v>0</v>
      </c>
      <c r="G14" s="276">
        <f t="shared" si="1"/>
        <v>0</v>
      </c>
      <c r="H14" s="276">
        <f t="shared" si="1"/>
        <v>0</v>
      </c>
      <c r="I14" s="276">
        <f t="shared" si="1"/>
        <v>0</v>
      </c>
    </row>
    <row r="15" spans="1:9" x14ac:dyDescent="0.25">
      <c r="A15" s="273"/>
      <c r="B15" s="273"/>
      <c r="C15" s="246"/>
      <c r="D15" s="246"/>
      <c r="E15" s="246"/>
      <c r="F15" s="246"/>
      <c r="G15" s="246"/>
      <c r="H15" s="246"/>
      <c r="I15" s="246">
        <f>SUM(C15:H15)</f>
        <v>0</v>
      </c>
    </row>
    <row r="16" spans="1:9" x14ac:dyDescent="0.25">
      <c r="A16" s="273"/>
      <c r="B16" s="273"/>
      <c r="C16" s="246"/>
      <c r="D16" s="246"/>
      <c r="E16" s="246"/>
      <c r="F16" s="246"/>
      <c r="G16" s="246"/>
      <c r="H16" s="246"/>
      <c r="I16" s="246">
        <f>SUM(C16:H16)</f>
        <v>0</v>
      </c>
    </row>
    <row r="17" spans="1:9" x14ac:dyDescent="0.25">
      <c r="A17" s="273" t="s">
        <v>834</v>
      </c>
      <c r="B17" s="370">
        <v>2018</v>
      </c>
      <c r="C17" s="246">
        <v>35000000</v>
      </c>
      <c r="D17" s="246">
        <v>21500000</v>
      </c>
      <c r="E17" s="246">
        <v>21500000</v>
      </c>
      <c r="F17" s="246"/>
      <c r="G17" s="246"/>
      <c r="H17" s="246"/>
      <c r="I17" s="246">
        <f>SUM(C17:H17)</f>
        <v>78000000</v>
      </c>
    </row>
    <row r="18" spans="1:9" s="94" customFormat="1" x14ac:dyDescent="0.25">
      <c r="A18" s="275" t="s">
        <v>768</v>
      </c>
      <c r="B18" s="275"/>
      <c r="C18" s="276">
        <f t="shared" ref="C18:I18" si="2">SUM(C15:C17)</f>
        <v>35000000</v>
      </c>
      <c r="D18" s="276">
        <f t="shared" si="2"/>
        <v>21500000</v>
      </c>
      <c r="E18" s="276">
        <f t="shared" si="2"/>
        <v>21500000</v>
      </c>
      <c r="F18" s="276">
        <f t="shared" si="2"/>
        <v>0</v>
      </c>
      <c r="G18" s="276">
        <f t="shared" si="2"/>
        <v>0</v>
      </c>
      <c r="H18" s="276">
        <f t="shared" si="2"/>
        <v>0</v>
      </c>
      <c r="I18" s="276">
        <f t="shared" si="2"/>
        <v>78000000</v>
      </c>
    </row>
    <row r="19" spans="1:9" x14ac:dyDescent="0.25">
      <c r="A19" s="273"/>
      <c r="B19" s="273"/>
      <c r="C19" s="246"/>
      <c r="D19" s="246"/>
      <c r="E19" s="246"/>
      <c r="F19" s="246"/>
      <c r="G19" s="246"/>
      <c r="H19" s="246"/>
      <c r="I19" s="246">
        <f>SUM(C19:H19)</f>
        <v>0</v>
      </c>
    </row>
    <row r="20" spans="1:9" x14ac:dyDescent="0.25">
      <c r="A20" s="269"/>
      <c r="B20" s="273"/>
      <c r="C20" s="246"/>
      <c r="D20" s="246"/>
      <c r="E20" s="246"/>
      <c r="F20" s="246"/>
      <c r="G20" s="246"/>
      <c r="H20" s="246"/>
      <c r="I20" s="246">
        <f>SUM(C20:H20)</f>
        <v>0</v>
      </c>
    </row>
    <row r="21" spans="1:9" x14ac:dyDescent="0.25">
      <c r="A21" s="270"/>
      <c r="B21" s="273"/>
      <c r="C21" s="246"/>
      <c r="D21" s="246"/>
      <c r="E21" s="246"/>
      <c r="F21" s="246"/>
      <c r="G21" s="246"/>
      <c r="H21" s="246"/>
      <c r="I21" s="246">
        <f>SUM(C21:H21)</f>
        <v>0</v>
      </c>
    </row>
    <row r="22" spans="1:9" s="94" customFormat="1" x14ac:dyDescent="0.25">
      <c r="A22" s="275" t="s">
        <v>769</v>
      </c>
      <c r="B22" s="275"/>
      <c r="C22" s="276">
        <f t="shared" ref="C22:I22" si="3">SUM(C19:C21)</f>
        <v>0</v>
      </c>
      <c r="D22" s="276">
        <f t="shared" si="3"/>
        <v>0</v>
      </c>
      <c r="E22" s="276">
        <f t="shared" si="3"/>
        <v>0</v>
      </c>
      <c r="F22" s="276">
        <f t="shared" si="3"/>
        <v>0</v>
      </c>
      <c r="G22" s="276">
        <f t="shared" si="3"/>
        <v>0</v>
      </c>
      <c r="H22" s="276">
        <f t="shared" si="3"/>
        <v>0</v>
      </c>
      <c r="I22" s="276">
        <f t="shared" si="3"/>
        <v>0</v>
      </c>
    </row>
    <row r="23" spans="1:9" s="94" customFormat="1" x14ac:dyDescent="0.25">
      <c r="A23" s="277" t="s">
        <v>770</v>
      </c>
      <c r="B23" s="278"/>
      <c r="C23" s="251">
        <f t="shared" ref="C23:I23" si="4">+C22+C18+C14+C11</f>
        <v>35000000</v>
      </c>
      <c r="D23" s="251">
        <f t="shared" si="4"/>
        <v>21500000</v>
      </c>
      <c r="E23" s="251">
        <f t="shared" si="4"/>
        <v>21500000</v>
      </c>
      <c r="F23" s="251">
        <f t="shared" si="4"/>
        <v>0</v>
      </c>
      <c r="G23" s="251">
        <f t="shared" si="4"/>
        <v>0</v>
      </c>
      <c r="H23" s="251">
        <f t="shared" si="4"/>
        <v>0</v>
      </c>
      <c r="I23" s="251">
        <f t="shared" si="4"/>
        <v>78000000</v>
      </c>
    </row>
    <row r="27" spans="1:9" x14ac:dyDescent="0.25">
      <c r="I27" s="82"/>
    </row>
  </sheetData>
  <sheetProtection selectLockedCells="1" selectUnlockedCells="1"/>
  <mergeCells count="2">
    <mergeCell ref="A3:B3"/>
    <mergeCell ref="A4:I4"/>
  </mergeCells>
  <pageMargins left="0.83958333333333335" right="0.83888888888888891" top="0.74791666666666667" bottom="0.74861111111111112" header="0.51180555555555551" footer="0.31527777777777777"/>
  <pageSetup paperSize="9" scale="82" firstPageNumber="0" orientation="landscape" horizontalDpi="300" verticalDpi="300" r:id="rId1"/>
  <headerFooter alignWithMargins="0">
    <oddFooter>&amp;R&amp;P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F23"/>
  <sheetViews>
    <sheetView view="pageBreakPreview" zoomScale="80" zoomScaleSheetLayoutView="80" workbookViewId="0">
      <selection activeCell="G8" sqref="G1:L1048576"/>
    </sheetView>
  </sheetViews>
  <sheetFormatPr defaultRowHeight="12.75" x14ac:dyDescent="0.2"/>
  <cols>
    <col min="1" max="1" width="21" style="279" customWidth="1"/>
    <col min="2" max="2" width="25.7109375" style="279" customWidth="1"/>
    <col min="3" max="3" width="18.42578125" style="279" customWidth="1"/>
    <col min="4" max="4" width="9.28515625" style="279" customWidth="1"/>
    <col min="5" max="5" width="18.28515625" style="279" customWidth="1"/>
    <col min="6" max="16384" width="9.140625" style="279"/>
  </cols>
  <sheetData>
    <row r="1" spans="1:5" ht="15.75" x14ac:dyDescent="0.25">
      <c r="E1" s="15" t="s">
        <v>771</v>
      </c>
    </row>
    <row r="2" spans="1:5" ht="15.75" x14ac:dyDescent="0.25">
      <c r="D2" s="280"/>
      <c r="E2" s="16" t="s">
        <v>905</v>
      </c>
    </row>
    <row r="3" spans="1:5" x14ac:dyDescent="0.2">
      <c r="E3" s="281"/>
    </row>
    <row r="4" spans="1:5" ht="15.75" x14ac:dyDescent="0.25">
      <c r="A4" s="516" t="s">
        <v>861</v>
      </c>
      <c r="B4" s="516"/>
      <c r="C4" s="516"/>
      <c r="D4" s="516"/>
      <c r="E4" s="516"/>
    </row>
    <row r="8" spans="1:5" ht="12.75" customHeight="1" x14ac:dyDescent="0.2">
      <c r="A8" s="517" t="s">
        <v>772</v>
      </c>
      <c r="B8" s="518" t="s">
        <v>542</v>
      </c>
      <c r="C8" s="519" t="s">
        <v>773</v>
      </c>
      <c r="D8" s="519"/>
      <c r="E8" s="519"/>
    </row>
    <row r="9" spans="1:5" ht="25.5" x14ac:dyDescent="0.2">
      <c r="A9" s="517"/>
      <c r="B9" s="518"/>
      <c r="C9" s="282" t="s">
        <v>774</v>
      </c>
      <c r="D9" s="282" t="s">
        <v>775</v>
      </c>
      <c r="E9" s="283" t="s">
        <v>894</v>
      </c>
    </row>
    <row r="10" spans="1:5" x14ac:dyDescent="0.2">
      <c r="A10" s="284">
        <v>1</v>
      </c>
      <c r="B10" s="285">
        <v>2</v>
      </c>
      <c r="C10" s="285">
        <v>3</v>
      </c>
      <c r="D10" s="285">
        <v>4</v>
      </c>
      <c r="E10" s="286">
        <v>5</v>
      </c>
    </row>
    <row r="11" spans="1:5" s="291" customFormat="1" ht="47.25" x14ac:dyDescent="0.25">
      <c r="A11" s="287" t="s">
        <v>776</v>
      </c>
      <c r="B11" s="288" t="s">
        <v>777</v>
      </c>
      <c r="C11" s="288" t="s">
        <v>778</v>
      </c>
      <c r="D11" s="289">
        <v>122</v>
      </c>
      <c r="E11" s="290">
        <v>2589583</v>
      </c>
    </row>
    <row r="12" spans="1:5" s="291" customFormat="1" ht="31.5" x14ac:dyDescent="0.25">
      <c r="A12" s="292" t="s">
        <v>776</v>
      </c>
      <c r="B12" s="293" t="s">
        <v>779</v>
      </c>
      <c r="C12" s="288" t="s">
        <v>780</v>
      </c>
      <c r="D12" s="294">
        <v>4</v>
      </c>
      <c r="E12" s="295">
        <v>72253</v>
      </c>
    </row>
    <row r="13" spans="1:5" s="291" customFormat="1" ht="31.5" x14ac:dyDescent="0.25">
      <c r="A13" s="292" t="s">
        <v>776</v>
      </c>
      <c r="B13" s="293" t="s">
        <v>781</v>
      </c>
      <c r="C13" s="288" t="s">
        <v>780</v>
      </c>
      <c r="D13" s="294">
        <v>5</v>
      </c>
      <c r="E13" s="295">
        <v>26095</v>
      </c>
    </row>
    <row r="14" spans="1:5" s="291" customFormat="1" ht="31.5" x14ac:dyDescent="0.25">
      <c r="A14" s="292" t="s">
        <v>776</v>
      </c>
      <c r="B14" s="293" t="s">
        <v>782</v>
      </c>
      <c r="C14" s="288" t="s">
        <v>780</v>
      </c>
      <c r="D14" s="294">
        <v>5</v>
      </c>
      <c r="E14" s="295">
        <v>58850</v>
      </c>
    </row>
    <row r="15" spans="1:5" s="291" customFormat="1" ht="31.5" x14ac:dyDescent="0.25">
      <c r="A15" s="292" t="s">
        <v>776</v>
      </c>
      <c r="B15" s="293" t="s">
        <v>838</v>
      </c>
      <c r="C15" s="288" t="s">
        <v>780</v>
      </c>
      <c r="D15" s="294">
        <v>8</v>
      </c>
      <c r="E15" s="295">
        <v>628395</v>
      </c>
    </row>
    <row r="16" spans="1:5" s="291" customFormat="1" ht="31.5" x14ac:dyDescent="0.25">
      <c r="A16" s="296"/>
      <c r="B16" s="293" t="s">
        <v>783</v>
      </c>
      <c r="C16" s="288" t="s">
        <v>780</v>
      </c>
      <c r="D16" s="294">
        <v>18</v>
      </c>
      <c r="E16" s="295">
        <v>103804</v>
      </c>
    </row>
    <row r="17" spans="1:6" s="291" customFormat="1" ht="31.5" x14ac:dyDescent="0.25">
      <c r="A17" s="296"/>
      <c r="B17" s="293" t="s">
        <v>784</v>
      </c>
      <c r="C17" s="288" t="s">
        <v>780</v>
      </c>
      <c r="D17" s="294"/>
      <c r="E17" s="295"/>
    </row>
    <row r="18" spans="1:6" s="291" customFormat="1" ht="63.95" customHeight="1" x14ac:dyDescent="0.25">
      <c r="A18" s="297"/>
      <c r="B18" s="298" t="s">
        <v>785</v>
      </c>
      <c r="C18" s="288" t="s">
        <v>786</v>
      </c>
      <c r="D18" s="299">
        <v>518</v>
      </c>
      <c r="E18" s="300">
        <v>5523056</v>
      </c>
    </row>
    <row r="19" spans="1:6" ht="18.75" x14ac:dyDescent="0.3">
      <c r="A19" s="520" t="s">
        <v>787</v>
      </c>
      <c r="B19" s="520"/>
      <c r="C19" s="520"/>
      <c r="D19" s="520"/>
      <c r="E19" s="301">
        <f>SUM(E11:E18)</f>
        <v>9002036</v>
      </c>
      <c r="F19" s="82"/>
    </row>
    <row r="23" spans="1:6" ht="15.75" x14ac:dyDescent="0.25">
      <c r="E23" s="82"/>
    </row>
  </sheetData>
  <sheetProtection selectLockedCells="1" selectUnlockedCells="1"/>
  <mergeCells count="5">
    <mergeCell ref="A4:E4"/>
    <mergeCell ref="A8:A9"/>
    <mergeCell ref="B8:B9"/>
    <mergeCell ref="C8:E8"/>
    <mergeCell ref="A19:D19"/>
  </mergeCells>
  <printOptions horizontalCentered="1"/>
  <pageMargins left="0.55138888888888893" right="0.42986111111111114" top="0.98402777777777772" bottom="0.98402777777777772" header="0.51180555555555551" footer="0.51180555555555551"/>
  <pageSetup paperSize="9" firstPageNumber="0" orientation="portrait" horizontalDpi="300" verticalDpi="300" r:id="rId1"/>
  <headerFooter alignWithMargins="0">
    <oddFooter>&amp;R&amp;P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F158"/>
  <sheetViews>
    <sheetView view="pageBreakPreview" zoomScale="80" zoomScaleSheetLayoutView="80" workbookViewId="0">
      <selection activeCell="G8" sqref="G1:L1048576"/>
    </sheetView>
  </sheetViews>
  <sheetFormatPr defaultRowHeight="15.75" x14ac:dyDescent="0.25"/>
  <cols>
    <col min="1" max="1" width="78" style="13" customWidth="1"/>
    <col min="2" max="2" width="10.42578125" style="13" customWidth="1"/>
    <col min="3" max="4" width="11.5703125" style="13" customWidth="1"/>
    <col min="5" max="5" width="13" style="82" customWidth="1"/>
    <col min="6" max="16384" width="9.140625" style="13"/>
  </cols>
  <sheetData>
    <row r="1" spans="1:5" x14ac:dyDescent="0.25">
      <c r="E1" s="15" t="s">
        <v>788</v>
      </c>
    </row>
    <row r="2" spans="1:5" x14ac:dyDescent="0.25">
      <c r="E2" s="16" t="s">
        <v>905</v>
      </c>
    </row>
    <row r="3" spans="1:5" ht="26.25" customHeight="1" x14ac:dyDescent="0.3">
      <c r="A3" s="4" t="s">
        <v>857</v>
      </c>
      <c r="B3" s="83"/>
      <c r="C3" s="83"/>
      <c r="D3" s="83"/>
      <c r="E3" s="302"/>
    </row>
    <row r="4" spans="1:5" ht="15.6" customHeight="1" x14ac:dyDescent="0.25">
      <c r="A4" s="493" t="s">
        <v>789</v>
      </c>
      <c r="B4" s="493"/>
      <c r="C4" s="493"/>
      <c r="D4" s="493"/>
      <c r="E4" s="493"/>
    </row>
    <row r="6" spans="1:5" ht="47.25" x14ac:dyDescent="0.25">
      <c r="A6" s="19" t="s">
        <v>12</v>
      </c>
      <c r="B6" s="47" t="s">
        <v>38</v>
      </c>
      <c r="C6" s="48" t="s">
        <v>896</v>
      </c>
      <c r="D6" s="48" t="s">
        <v>897</v>
      </c>
      <c r="E6" s="303" t="s">
        <v>898</v>
      </c>
    </row>
    <row r="7" spans="1:5" x14ac:dyDescent="0.25">
      <c r="A7" s="51" t="s">
        <v>39</v>
      </c>
      <c r="B7" s="52" t="s">
        <v>40</v>
      </c>
      <c r="C7" s="24">
        <v>1095761</v>
      </c>
      <c r="D7" s="24">
        <v>1349046</v>
      </c>
      <c r="E7" s="102">
        <f>+'2 Össz'!E7/1000</f>
        <v>1654209.06</v>
      </c>
    </row>
    <row r="8" spans="1:5" x14ac:dyDescent="0.25">
      <c r="A8" s="53" t="s">
        <v>41</v>
      </c>
      <c r="B8" s="52" t="s">
        <v>42</v>
      </c>
      <c r="C8" s="24">
        <v>46371</v>
      </c>
      <c r="D8" s="24">
        <v>62317</v>
      </c>
      <c r="E8" s="102">
        <f>+'2 Össz'!E8/1000</f>
        <v>82670.77</v>
      </c>
    </row>
    <row r="9" spans="1:5" s="107" customFormat="1" x14ac:dyDescent="0.25">
      <c r="A9" s="104" t="s">
        <v>43</v>
      </c>
      <c r="B9" s="304" t="s">
        <v>44</v>
      </c>
      <c r="C9" s="92">
        <f>SUM(C7:C8)</f>
        <v>1142132</v>
      </c>
      <c r="D9" s="92">
        <f>SUM(D7:D8)</f>
        <v>1411363</v>
      </c>
      <c r="E9" s="92">
        <f>SUM(E7:E8)</f>
        <v>1736879.83</v>
      </c>
    </row>
    <row r="10" spans="1:5" s="27" customFormat="1" x14ac:dyDescent="0.25">
      <c r="A10" s="56" t="s">
        <v>45</v>
      </c>
      <c r="B10" s="55" t="s">
        <v>46</v>
      </c>
      <c r="C10" s="25">
        <v>277713</v>
      </c>
      <c r="D10" s="25">
        <v>269490</v>
      </c>
      <c r="E10" s="102">
        <f>+'2 Össz'!E10/1000</f>
        <v>345222.24300000002</v>
      </c>
    </row>
    <row r="11" spans="1:5" x14ac:dyDescent="0.25">
      <c r="A11" s="53" t="s">
        <v>47</v>
      </c>
      <c r="B11" s="52" t="s">
        <v>48</v>
      </c>
      <c r="C11" s="24">
        <v>244998</v>
      </c>
      <c r="D11" s="24">
        <v>250991</v>
      </c>
      <c r="E11" s="102">
        <f>+'2 Össz'!E11/1000</f>
        <v>267966.321</v>
      </c>
    </row>
    <row r="12" spans="1:5" x14ac:dyDescent="0.25">
      <c r="A12" s="53" t="s">
        <v>49</v>
      </c>
      <c r="B12" s="52" t="s">
        <v>50</v>
      </c>
      <c r="C12" s="24">
        <v>14319</v>
      </c>
      <c r="D12" s="24">
        <v>13758</v>
      </c>
      <c r="E12" s="102">
        <f>+'2 Össz'!E12/1000</f>
        <v>15549.76</v>
      </c>
    </row>
    <row r="13" spans="1:5" x14ac:dyDescent="0.25">
      <c r="A13" s="53" t="s">
        <v>51</v>
      </c>
      <c r="B13" s="52" t="s">
        <v>52</v>
      </c>
      <c r="C13" s="24">
        <v>368794</v>
      </c>
      <c r="D13" s="24">
        <v>477426</v>
      </c>
      <c r="E13" s="102">
        <f>+'2 Össz'!E13/1000</f>
        <v>690692.45600000001</v>
      </c>
    </row>
    <row r="14" spans="1:5" x14ac:dyDescent="0.25">
      <c r="A14" s="53" t="s">
        <v>53</v>
      </c>
      <c r="B14" s="52" t="s">
        <v>54</v>
      </c>
      <c r="C14" s="24">
        <v>4737</v>
      </c>
      <c r="D14" s="24">
        <v>7674</v>
      </c>
      <c r="E14" s="102">
        <f>+'2 Össz'!E14/1000</f>
        <v>51373.885000000002</v>
      </c>
    </row>
    <row r="15" spans="1:5" x14ac:dyDescent="0.25">
      <c r="A15" s="53" t="s">
        <v>55</v>
      </c>
      <c r="B15" s="52" t="s">
        <v>56</v>
      </c>
      <c r="C15" s="24">
        <v>275566</v>
      </c>
      <c r="D15" s="24">
        <v>243970</v>
      </c>
      <c r="E15" s="102">
        <f>+'2 Össz'!E15/1000</f>
        <v>287294.99549</v>
      </c>
    </row>
    <row r="16" spans="1:5" s="107" customFormat="1" x14ac:dyDescent="0.25">
      <c r="A16" s="90" t="s">
        <v>57</v>
      </c>
      <c r="B16" s="304" t="s">
        <v>58</v>
      </c>
      <c r="C16" s="92">
        <f>SUM(C11:C15)</f>
        <v>908414</v>
      </c>
      <c r="D16" s="92">
        <f>SUM(D11:D15)</f>
        <v>993819</v>
      </c>
      <c r="E16" s="92">
        <f>SUM(E11:E15)</f>
        <v>1312877.4174899999</v>
      </c>
    </row>
    <row r="17" spans="1:5" s="27" customFormat="1" x14ac:dyDescent="0.25">
      <c r="A17" s="57" t="s">
        <v>59</v>
      </c>
      <c r="B17" s="55" t="s">
        <v>60</v>
      </c>
      <c r="C17" s="25">
        <v>54799</v>
      </c>
      <c r="D17" s="25">
        <v>42911</v>
      </c>
      <c r="E17" s="102">
        <f>+'2 Össz'!E17/1000</f>
        <v>59800</v>
      </c>
    </row>
    <row r="18" spans="1:5" x14ac:dyDescent="0.25">
      <c r="A18" s="58" t="s">
        <v>61</v>
      </c>
      <c r="B18" s="52" t="s">
        <v>62</v>
      </c>
      <c r="C18" s="24"/>
      <c r="D18" s="24"/>
      <c r="E18" s="102">
        <f>+'2 Össz'!E18/1000</f>
        <v>0</v>
      </c>
    </row>
    <row r="19" spans="1:5" x14ac:dyDescent="0.25">
      <c r="A19" s="58" t="s">
        <v>63</v>
      </c>
      <c r="B19" s="52" t="s">
        <v>64</v>
      </c>
      <c r="C19" s="24">
        <v>10848</v>
      </c>
      <c r="D19" s="24">
        <v>183</v>
      </c>
      <c r="E19" s="102">
        <f>+'2 Össz'!E19/1000</f>
        <v>24682.5</v>
      </c>
    </row>
    <row r="20" spans="1:5" x14ac:dyDescent="0.25">
      <c r="A20" s="58" t="s">
        <v>65</v>
      </c>
      <c r="B20" s="52" t="s">
        <v>66</v>
      </c>
      <c r="C20" s="24"/>
      <c r="D20" s="24"/>
      <c r="E20" s="102">
        <f>+'2 Össz'!E20/1000</f>
        <v>0</v>
      </c>
    </row>
    <row r="21" spans="1:5" x14ac:dyDescent="0.25">
      <c r="A21" s="58" t="s">
        <v>67</v>
      </c>
      <c r="B21" s="52" t="s">
        <v>68</v>
      </c>
      <c r="C21" s="24"/>
      <c r="D21" s="24"/>
      <c r="E21" s="102">
        <f>+'2 Össz'!E21/1000</f>
        <v>0</v>
      </c>
    </row>
    <row r="22" spans="1:5" x14ac:dyDescent="0.25">
      <c r="A22" s="58" t="s">
        <v>618</v>
      </c>
      <c r="B22" s="52" t="s">
        <v>70</v>
      </c>
      <c r="C22" s="24"/>
      <c r="D22" s="24"/>
      <c r="E22" s="102">
        <f>+'2 Össz'!E22/1000</f>
        <v>0</v>
      </c>
    </row>
    <row r="23" spans="1:5" x14ac:dyDescent="0.25">
      <c r="A23" s="58" t="s">
        <v>71</v>
      </c>
      <c r="B23" s="52" t="s">
        <v>72</v>
      </c>
      <c r="C23" s="24">
        <v>150628</v>
      </c>
      <c r="D23" s="24">
        <v>23610</v>
      </c>
      <c r="E23" s="102">
        <f>+'2 Össz'!E23/1000</f>
        <v>16676.992999999999</v>
      </c>
    </row>
    <row r="24" spans="1:5" x14ac:dyDescent="0.25">
      <c r="A24" s="58" t="s">
        <v>73</v>
      </c>
      <c r="B24" s="52" t="s">
        <v>74</v>
      </c>
      <c r="C24" s="24"/>
      <c r="D24" s="24"/>
      <c r="E24" s="102">
        <f>+'2 Össz'!E24/1000</f>
        <v>0</v>
      </c>
    </row>
    <row r="25" spans="1:5" x14ac:dyDescent="0.25">
      <c r="A25" s="58" t="s">
        <v>75</v>
      </c>
      <c r="B25" s="52" t="s">
        <v>76</v>
      </c>
      <c r="C25" s="24">
        <v>4000</v>
      </c>
      <c r="D25" s="24">
        <v>0</v>
      </c>
      <c r="E25" s="102">
        <f>+'2 Össz'!E25/1000</f>
        <v>0</v>
      </c>
    </row>
    <row r="26" spans="1:5" x14ac:dyDescent="0.25">
      <c r="A26" s="58" t="s">
        <v>77</v>
      </c>
      <c r="B26" s="52" t="s">
        <v>78</v>
      </c>
      <c r="C26" s="24"/>
      <c r="D26" s="24"/>
      <c r="E26" s="102">
        <f>+'2 Össz'!E26/1000</f>
        <v>0</v>
      </c>
    </row>
    <row r="27" spans="1:5" x14ac:dyDescent="0.25">
      <c r="A27" s="59" t="s">
        <v>79</v>
      </c>
      <c r="B27" s="52" t="s">
        <v>80</v>
      </c>
      <c r="C27" s="24"/>
      <c r="D27" s="24"/>
      <c r="E27" s="102">
        <f>+'2 Össz'!E27/1000</f>
        <v>0</v>
      </c>
    </row>
    <row r="28" spans="1:5" x14ac:dyDescent="0.25">
      <c r="A28" s="58" t="s">
        <v>81</v>
      </c>
      <c r="B28" s="52" t="s">
        <v>82</v>
      </c>
      <c r="C28" s="24"/>
      <c r="D28" s="24"/>
      <c r="E28" s="102">
        <f>+'2 Össz'!E28/1000</f>
        <v>0</v>
      </c>
    </row>
    <row r="29" spans="1:5" x14ac:dyDescent="0.25">
      <c r="A29" s="58" t="s">
        <v>83</v>
      </c>
      <c r="B29" s="52" t="s">
        <v>84</v>
      </c>
      <c r="C29" s="24">
        <v>72469</v>
      </c>
      <c r="D29" s="24">
        <v>91566</v>
      </c>
      <c r="E29" s="102">
        <f>+'2 Össz'!E29/1000</f>
        <v>49380</v>
      </c>
    </row>
    <row r="30" spans="1:5" x14ac:dyDescent="0.25">
      <c r="A30" s="59" t="s">
        <v>85</v>
      </c>
      <c r="B30" s="52" t="s">
        <v>86</v>
      </c>
      <c r="C30" s="24"/>
      <c r="D30" s="24"/>
      <c r="E30" s="102">
        <f>+'2 Össz'!E30/1000</f>
        <v>15000</v>
      </c>
    </row>
    <row r="31" spans="1:5" x14ac:dyDescent="0.25">
      <c r="A31" s="59" t="s">
        <v>87</v>
      </c>
      <c r="B31" s="52" t="s">
        <v>86</v>
      </c>
      <c r="C31" s="24"/>
      <c r="D31" s="24"/>
      <c r="E31" s="102">
        <f>+'2 Össz'!E31/1000</f>
        <v>14300</v>
      </c>
    </row>
    <row r="32" spans="1:5" s="107" customFormat="1" x14ac:dyDescent="0.25">
      <c r="A32" s="137" t="s">
        <v>88</v>
      </c>
      <c r="B32" s="304" t="s">
        <v>89</v>
      </c>
      <c r="C32" s="92">
        <f>SUM(C18:C31)</f>
        <v>237945</v>
      </c>
      <c r="D32" s="92">
        <f>SUM(D18:D31)</f>
        <v>115359</v>
      </c>
      <c r="E32" s="92">
        <f>SUM(E18:E31)</f>
        <v>120039.493</v>
      </c>
    </row>
    <row r="33" spans="1:5" s="107" customFormat="1" x14ac:dyDescent="0.25">
      <c r="A33" s="305" t="s">
        <v>90</v>
      </c>
      <c r="B33" s="304" t="s">
        <v>91</v>
      </c>
      <c r="C33" s="92">
        <f>+C32+C17+C16+C10+C9</f>
        <v>2621003</v>
      </c>
      <c r="D33" s="92">
        <f>+D32+D17+D16+D10+D9</f>
        <v>2832942</v>
      </c>
      <c r="E33" s="92">
        <f>+E32+E17+E16+E10+E9</f>
        <v>3574818.98349</v>
      </c>
    </row>
    <row r="34" spans="1:5" x14ac:dyDescent="0.25">
      <c r="A34" s="63" t="s">
        <v>92</v>
      </c>
      <c r="B34" s="52" t="s">
        <v>93</v>
      </c>
      <c r="C34" s="24">
        <v>200</v>
      </c>
      <c r="D34" s="24">
        <v>2472</v>
      </c>
      <c r="E34" s="102">
        <f>+'2 Össz'!E34/1000</f>
        <v>200</v>
      </c>
    </row>
    <row r="35" spans="1:5" x14ac:dyDescent="0.25">
      <c r="A35" s="63" t="s">
        <v>94</v>
      </c>
      <c r="B35" s="52" t="s">
        <v>95</v>
      </c>
      <c r="C35" s="24">
        <v>245</v>
      </c>
      <c r="D35" s="24">
        <v>133321</v>
      </c>
      <c r="E35" s="102">
        <f>+'2 Össz'!E35/1000</f>
        <v>16929.133999999998</v>
      </c>
    </row>
    <row r="36" spans="1:5" x14ac:dyDescent="0.25">
      <c r="A36" s="63" t="s">
        <v>96</v>
      </c>
      <c r="B36" s="52" t="s">
        <v>97</v>
      </c>
      <c r="C36" s="24">
        <v>3916</v>
      </c>
      <c r="D36" s="24">
        <v>7369</v>
      </c>
      <c r="E36" s="102">
        <f>+'2 Össz'!E36/1000</f>
        <v>2637.7710000000002</v>
      </c>
    </row>
    <row r="37" spans="1:5" x14ac:dyDescent="0.25">
      <c r="A37" s="63" t="s">
        <v>98</v>
      </c>
      <c r="B37" s="52" t="s">
        <v>99</v>
      </c>
      <c r="C37" s="24">
        <v>39948</v>
      </c>
      <c r="D37" s="24">
        <v>128439</v>
      </c>
      <c r="E37" s="102">
        <f>+'2 Össz'!E37/1000</f>
        <v>159318.359</v>
      </c>
    </row>
    <row r="38" spans="1:5" x14ac:dyDescent="0.25">
      <c r="A38" s="64" t="s">
        <v>100</v>
      </c>
      <c r="B38" s="52" t="s">
        <v>101</v>
      </c>
      <c r="C38" s="24"/>
      <c r="D38" s="24"/>
      <c r="E38" s="102">
        <f>+'2 Össz'!E38/1000</f>
        <v>0</v>
      </c>
    </row>
    <row r="39" spans="1:5" x14ac:dyDescent="0.25">
      <c r="A39" s="64" t="s">
        <v>102</v>
      </c>
      <c r="B39" s="52" t="s">
        <v>103</v>
      </c>
      <c r="C39" s="24"/>
      <c r="D39" s="24"/>
      <c r="E39" s="102">
        <f>+'2 Össz'!E39/1000</f>
        <v>0</v>
      </c>
    </row>
    <row r="40" spans="1:5" x14ac:dyDescent="0.25">
      <c r="A40" s="64" t="s">
        <v>104</v>
      </c>
      <c r="B40" s="52" t="s">
        <v>105</v>
      </c>
      <c r="C40" s="24">
        <v>11300</v>
      </c>
      <c r="D40" s="24">
        <v>40313</v>
      </c>
      <c r="E40" s="102">
        <f>+'2 Össz'!E40/1000</f>
        <v>47866.002</v>
      </c>
    </row>
    <row r="41" spans="1:5" s="107" customFormat="1" x14ac:dyDescent="0.25">
      <c r="A41" s="91" t="s">
        <v>106</v>
      </c>
      <c r="B41" s="304" t="s">
        <v>107</v>
      </c>
      <c r="C41" s="92">
        <f>SUM(C34:C40)</f>
        <v>55609</v>
      </c>
      <c r="D41" s="92">
        <f>SUM(D34:D40)</f>
        <v>311914</v>
      </c>
      <c r="E41" s="92">
        <f>SUM(E34:E40)</f>
        <v>226951.266</v>
      </c>
    </row>
    <row r="42" spans="1:5" x14ac:dyDescent="0.25">
      <c r="A42" s="66" t="s">
        <v>108</v>
      </c>
      <c r="B42" s="52" t="s">
        <v>109</v>
      </c>
      <c r="C42" s="24">
        <v>71243</v>
      </c>
      <c r="D42" s="24">
        <v>569688</v>
      </c>
      <c r="E42" s="102">
        <f>+'2 Össz'!E42/1000</f>
        <v>2009396.2560000001</v>
      </c>
    </row>
    <row r="43" spans="1:5" x14ac:dyDescent="0.25">
      <c r="A43" s="66" t="s">
        <v>110</v>
      </c>
      <c r="B43" s="52" t="s">
        <v>111</v>
      </c>
      <c r="C43" s="24"/>
      <c r="D43" s="24"/>
      <c r="E43" s="102">
        <f>+'2 Össz'!E43/1000</f>
        <v>0</v>
      </c>
    </row>
    <row r="44" spans="1:5" x14ac:dyDescent="0.25">
      <c r="A44" s="66" t="s">
        <v>112</v>
      </c>
      <c r="B44" s="52" t="s">
        <v>113</v>
      </c>
      <c r="C44" s="24">
        <v>354</v>
      </c>
      <c r="D44" s="24">
        <v>14644</v>
      </c>
      <c r="E44" s="102">
        <f>+'2 Össz'!E44/1000</f>
        <v>20000</v>
      </c>
    </row>
    <row r="45" spans="1:5" x14ac:dyDescent="0.25">
      <c r="A45" s="66" t="s">
        <v>114</v>
      </c>
      <c r="B45" s="52" t="s">
        <v>115</v>
      </c>
      <c r="C45" s="24">
        <v>19340</v>
      </c>
      <c r="D45" s="24">
        <v>58298</v>
      </c>
      <c r="E45" s="102">
        <f>+'2 Össz'!E45/1000</f>
        <v>547089.12699999998</v>
      </c>
    </row>
    <row r="46" spans="1:5" s="107" customFormat="1" x14ac:dyDescent="0.25">
      <c r="A46" s="90" t="s">
        <v>116</v>
      </c>
      <c r="B46" s="304" t="s">
        <v>117</v>
      </c>
      <c r="C46" s="92">
        <f>SUM(C42:C45)</f>
        <v>90937</v>
      </c>
      <c r="D46" s="92">
        <f>SUM(D42:D45)</f>
        <v>642630</v>
      </c>
      <c r="E46" s="92">
        <f>SUM(E42:E45)</f>
        <v>2576485.3829999999</v>
      </c>
    </row>
    <row r="47" spans="1:5" hidden="1" x14ac:dyDescent="0.25">
      <c r="A47" s="66" t="s">
        <v>790</v>
      </c>
      <c r="B47" s="52" t="s">
        <v>119</v>
      </c>
      <c r="C47" s="24"/>
      <c r="D47" s="24"/>
      <c r="E47" s="102">
        <f>+'2 Össz'!E47</f>
        <v>0</v>
      </c>
    </row>
    <row r="48" spans="1:5" hidden="1" x14ac:dyDescent="0.25">
      <c r="A48" s="66" t="s">
        <v>621</v>
      </c>
      <c r="B48" s="52" t="s">
        <v>121</v>
      </c>
      <c r="C48" s="24"/>
      <c r="D48" s="24"/>
      <c r="E48" s="102">
        <f>+'2 Össz'!E48</f>
        <v>0</v>
      </c>
    </row>
    <row r="49" spans="1:5" hidden="1" x14ac:dyDescent="0.25">
      <c r="A49" s="66" t="s">
        <v>791</v>
      </c>
      <c r="B49" s="52" t="s">
        <v>123</v>
      </c>
      <c r="C49" s="24"/>
      <c r="D49" s="24"/>
      <c r="E49" s="102">
        <f>+'2 Össz'!E49</f>
        <v>0</v>
      </c>
    </row>
    <row r="50" spans="1:5" x14ac:dyDescent="0.25">
      <c r="A50" s="66" t="s">
        <v>124</v>
      </c>
      <c r="B50" s="52" t="s">
        <v>125</v>
      </c>
      <c r="C50" s="24">
        <v>0</v>
      </c>
      <c r="D50" s="24"/>
      <c r="E50" s="102">
        <f>+'2 Össz'!E50/1000</f>
        <v>2000</v>
      </c>
    </row>
    <row r="51" spans="1:5" x14ac:dyDescent="0.25">
      <c r="A51" s="66" t="s">
        <v>792</v>
      </c>
      <c r="B51" s="52" t="s">
        <v>127</v>
      </c>
      <c r="C51" s="24"/>
      <c r="D51" s="24"/>
      <c r="E51" s="102">
        <f>+'2 Össz'!E51/1000</f>
        <v>16101</v>
      </c>
    </row>
    <row r="52" spans="1:5" x14ac:dyDescent="0.25">
      <c r="A52" s="66" t="s">
        <v>793</v>
      </c>
      <c r="B52" s="52" t="s">
        <v>129</v>
      </c>
      <c r="C52" s="24"/>
      <c r="D52" s="24"/>
      <c r="E52" s="102">
        <f>+'2 Össz'!E52/1000</f>
        <v>0</v>
      </c>
    </row>
    <row r="53" spans="1:5" x14ac:dyDescent="0.25">
      <c r="A53" s="66" t="s">
        <v>130</v>
      </c>
      <c r="B53" s="52" t="s">
        <v>131</v>
      </c>
      <c r="C53" s="24"/>
      <c r="D53" s="24"/>
      <c r="E53" s="102">
        <f>+'2 Össz'!E53/1000</f>
        <v>0</v>
      </c>
    </row>
    <row r="54" spans="1:5" x14ac:dyDescent="0.25">
      <c r="A54" s="66" t="s">
        <v>132</v>
      </c>
      <c r="B54" s="52" t="s">
        <v>133</v>
      </c>
      <c r="C54" s="24"/>
      <c r="D54" s="24"/>
      <c r="E54" s="102">
        <f>+'2 Össz'!E54/1000</f>
        <v>0</v>
      </c>
    </row>
    <row r="55" spans="1:5" x14ac:dyDescent="0.25">
      <c r="A55" s="66" t="s">
        <v>134</v>
      </c>
      <c r="B55" s="52" t="s">
        <v>135</v>
      </c>
      <c r="C55" s="24"/>
      <c r="D55" s="24">
        <v>0</v>
      </c>
      <c r="E55" s="102">
        <f>+'2 Össz'!E55/1000</f>
        <v>0</v>
      </c>
    </row>
    <row r="56" spans="1:5" s="107" customFormat="1" x14ac:dyDescent="0.25">
      <c r="A56" s="137" t="s">
        <v>136</v>
      </c>
      <c r="B56" s="304" t="s">
        <v>137</v>
      </c>
      <c r="C56" s="92">
        <f>SUM(C47:C55)</f>
        <v>0</v>
      </c>
      <c r="D56" s="92">
        <f>SUM(D47:D55)</f>
        <v>0</v>
      </c>
      <c r="E56" s="92">
        <f>SUM(E47:E55)</f>
        <v>18101</v>
      </c>
    </row>
    <row r="57" spans="1:5" s="107" customFormat="1" x14ac:dyDescent="0.25">
      <c r="A57" s="305" t="s">
        <v>138</v>
      </c>
      <c r="B57" s="304" t="s">
        <v>139</v>
      </c>
      <c r="C57" s="92">
        <f>+C56+C46+C41</f>
        <v>146546</v>
      </c>
      <c r="D57" s="92">
        <f>+D56+D46+D41</f>
        <v>954544</v>
      </c>
      <c r="E57" s="92">
        <f>+E56+E46+E41</f>
        <v>2821537.6489999997</v>
      </c>
    </row>
    <row r="58" spans="1:5" s="107" customFormat="1" x14ac:dyDescent="0.25">
      <c r="A58" s="91" t="s">
        <v>140</v>
      </c>
      <c r="B58" s="304" t="s">
        <v>141</v>
      </c>
      <c r="C58" s="92">
        <f>+C56+C46+C41+C32+C17+C16+C10+C9</f>
        <v>2767549</v>
      </c>
      <c r="D58" s="92">
        <f>+D56+D46+D41+D32+D17+D16+D10+D9</f>
        <v>3787486</v>
      </c>
      <c r="E58" s="92">
        <f>+E56+E46+E41+E32+E17+E16+E10+E9</f>
        <v>6396356.6324899988</v>
      </c>
    </row>
    <row r="59" spans="1:5" x14ac:dyDescent="0.25">
      <c r="A59" s="66" t="s">
        <v>142</v>
      </c>
      <c r="B59" s="53" t="s">
        <v>143</v>
      </c>
      <c r="C59" s="24"/>
      <c r="D59" s="24"/>
      <c r="E59" s="102">
        <f>+'2 Össz'!E59/1000</f>
        <v>0</v>
      </c>
    </row>
    <row r="60" spans="1:5" x14ac:dyDescent="0.25">
      <c r="A60" s="66" t="s">
        <v>144</v>
      </c>
      <c r="B60" s="53" t="s">
        <v>145</v>
      </c>
      <c r="C60" s="24"/>
      <c r="D60" s="24"/>
      <c r="E60" s="102">
        <f>+'2 Össz'!E60/1000</f>
        <v>0</v>
      </c>
    </row>
    <row r="61" spans="1:5" x14ac:dyDescent="0.25">
      <c r="A61" s="66" t="s">
        <v>146</v>
      </c>
      <c r="B61" s="53" t="s">
        <v>147</v>
      </c>
      <c r="C61" s="24"/>
      <c r="D61" s="24">
        <v>73268</v>
      </c>
      <c r="E61" s="102">
        <f>+'2 Össz'!E61/1000</f>
        <v>88500</v>
      </c>
    </row>
    <row r="62" spans="1:5" s="107" customFormat="1" x14ac:dyDescent="0.25">
      <c r="A62" s="137" t="s">
        <v>148</v>
      </c>
      <c r="B62" s="90" t="s">
        <v>149</v>
      </c>
      <c r="C62" s="306">
        <f>SUM(C59:C61)</f>
        <v>0</v>
      </c>
      <c r="D62" s="306">
        <f>SUM(D59:D61)</f>
        <v>73268</v>
      </c>
      <c r="E62" s="306">
        <f>SUM(E59:E61)</f>
        <v>88500</v>
      </c>
    </row>
    <row r="63" spans="1:5" x14ac:dyDescent="0.25">
      <c r="A63" s="71" t="s">
        <v>150</v>
      </c>
      <c r="B63" s="53" t="s">
        <v>151</v>
      </c>
      <c r="C63" s="24"/>
      <c r="D63" s="24"/>
      <c r="E63" s="102">
        <f>+'2 Össz'!E63/1000</f>
        <v>0</v>
      </c>
    </row>
    <row r="64" spans="1:5" x14ac:dyDescent="0.25">
      <c r="A64" s="71" t="s">
        <v>152</v>
      </c>
      <c r="B64" s="53" t="s">
        <v>153</v>
      </c>
      <c r="C64" s="24"/>
      <c r="D64" s="24"/>
      <c r="E64" s="102">
        <f>+'2 Össz'!E64/1000</f>
        <v>0</v>
      </c>
    </row>
    <row r="65" spans="1:5" x14ac:dyDescent="0.25">
      <c r="A65" s="71" t="s">
        <v>154</v>
      </c>
      <c r="B65" s="53" t="s">
        <v>155</v>
      </c>
      <c r="C65" s="24">
        <v>31526</v>
      </c>
      <c r="D65" s="24">
        <v>35475</v>
      </c>
      <c r="E65" s="102">
        <f>+'2 Össz'!E65/1000</f>
        <v>36065.525999999998</v>
      </c>
    </row>
    <row r="66" spans="1:5" x14ac:dyDescent="0.25">
      <c r="A66" s="71" t="s">
        <v>156</v>
      </c>
      <c r="B66" s="53" t="s">
        <v>157</v>
      </c>
      <c r="C66" s="24"/>
      <c r="D66" s="24"/>
      <c r="E66" s="102">
        <f>+'2 Össz'!E66/1000</f>
        <v>0</v>
      </c>
    </row>
    <row r="67" spans="1:5" s="107" customFormat="1" hidden="1" x14ac:dyDescent="0.25">
      <c r="A67" s="71" t="s">
        <v>158</v>
      </c>
      <c r="B67" s="53" t="s">
        <v>159</v>
      </c>
      <c r="C67" s="24"/>
      <c r="D67" s="24"/>
      <c r="E67" s="102">
        <f>+'2 Össz'!E67</f>
        <v>0</v>
      </c>
    </row>
    <row r="68" spans="1:5" hidden="1" x14ac:dyDescent="0.25">
      <c r="A68" s="71" t="s">
        <v>160</v>
      </c>
      <c r="B68" s="53" t="s">
        <v>161</v>
      </c>
      <c r="C68" s="24"/>
      <c r="D68" s="24"/>
      <c r="E68" s="102">
        <f>+'2 Össz'!E68</f>
        <v>0</v>
      </c>
    </row>
    <row r="69" spans="1:5" hidden="1" x14ac:dyDescent="0.25">
      <c r="A69" s="71" t="s">
        <v>162</v>
      </c>
      <c r="B69" s="53" t="s">
        <v>163</v>
      </c>
      <c r="C69" s="24"/>
      <c r="D69" s="24"/>
      <c r="E69" s="102">
        <f>+'2 Össz'!E69</f>
        <v>0</v>
      </c>
    </row>
    <row r="70" spans="1:5" hidden="1" x14ac:dyDescent="0.25">
      <c r="A70" s="71" t="s">
        <v>164</v>
      </c>
      <c r="B70" s="53" t="s">
        <v>165</v>
      </c>
      <c r="C70" s="24"/>
      <c r="D70" s="24"/>
      <c r="E70" s="102">
        <f>+'2 Össz'!E70</f>
        <v>0</v>
      </c>
    </row>
    <row r="71" spans="1:5" x14ac:dyDescent="0.25">
      <c r="A71" s="307" t="s">
        <v>166</v>
      </c>
      <c r="B71" s="90" t="s">
        <v>167</v>
      </c>
      <c r="C71" s="105">
        <f>SUM(C62:C70)</f>
        <v>31526</v>
      </c>
      <c r="D71" s="105">
        <f>SUM(D62:D70)</f>
        <v>108743</v>
      </c>
      <c r="E71" s="105">
        <f>SUM(E62:E70)</f>
        <v>124565.526</v>
      </c>
    </row>
    <row r="72" spans="1:5" hidden="1" x14ac:dyDescent="0.25">
      <c r="A72" s="71" t="s">
        <v>168</v>
      </c>
      <c r="B72" s="53" t="s">
        <v>169</v>
      </c>
      <c r="C72" s="24"/>
      <c r="D72" s="24"/>
      <c r="E72" s="102">
        <f>+'2 Össz'!E72</f>
        <v>0</v>
      </c>
    </row>
    <row r="73" spans="1:5" hidden="1" x14ac:dyDescent="0.25">
      <c r="A73" s="66" t="s">
        <v>170</v>
      </c>
      <c r="B73" s="53" t="s">
        <v>171</v>
      </c>
      <c r="C73" s="24"/>
      <c r="D73" s="24"/>
      <c r="E73" s="102">
        <f>+'2 Össz'!E73</f>
        <v>0</v>
      </c>
    </row>
    <row r="74" spans="1:5" s="107" customFormat="1" hidden="1" x14ac:dyDescent="0.25">
      <c r="A74" s="66" t="s">
        <v>172</v>
      </c>
      <c r="B74" s="53" t="s">
        <v>173</v>
      </c>
      <c r="C74" s="24"/>
      <c r="D74" s="24"/>
      <c r="E74" s="102">
        <f>+'2 Össz'!E74</f>
        <v>0</v>
      </c>
    </row>
    <row r="75" spans="1:5" s="107" customFormat="1" x14ac:dyDescent="0.25">
      <c r="A75" s="307" t="s">
        <v>174</v>
      </c>
      <c r="B75" s="90" t="s">
        <v>175</v>
      </c>
      <c r="C75" s="308">
        <f>+C73+C72+C71+C74</f>
        <v>31526</v>
      </c>
      <c r="D75" s="308">
        <f>+D73+D72+D71+D74</f>
        <v>108743</v>
      </c>
      <c r="E75" s="308">
        <f>+E73+E72+E71+E74</f>
        <v>124565.526</v>
      </c>
    </row>
    <row r="76" spans="1:5" s="107" customFormat="1" x14ac:dyDescent="0.25">
      <c r="A76" s="113" t="s">
        <v>176</v>
      </c>
      <c r="B76" s="113" t="s">
        <v>177</v>
      </c>
      <c r="C76" s="92">
        <f>+C58+C75</f>
        <v>2799075</v>
      </c>
      <c r="D76" s="92">
        <f>+D58+D75</f>
        <v>3896229</v>
      </c>
      <c r="E76" s="92">
        <f>+E58+E75</f>
        <v>6520922.1584899984</v>
      </c>
    </row>
    <row r="77" spans="1:5" x14ac:dyDescent="0.25">
      <c r="C77" s="14"/>
      <c r="D77" s="14"/>
      <c r="E77" s="115"/>
    </row>
    <row r="78" spans="1:5" x14ac:dyDescent="0.25">
      <c r="C78" s="14"/>
      <c r="D78" s="14"/>
      <c r="E78" s="115"/>
    </row>
    <row r="79" spans="1:5" ht="47.25" customHeight="1" x14ac:dyDescent="0.25">
      <c r="A79" s="19" t="s">
        <v>12</v>
      </c>
      <c r="B79" s="47" t="s">
        <v>178</v>
      </c>
      <c r="C79" s="48" t="str">
        <f>+C6</f>
        <v>2017. évi    teljesítés</v>
      </c>
      <c r="D79" s="48" t="str">
        <f>+D6</f>
        <v>2018. évi várható teljesítés</v>
      </c>
      <c r="E79" s="48" t="str">
        <f>+E6</f>
        <v>2019. évi eredeti ei.</v>
      </c>
    </row>
    <row r="80" spans="1:5" x14ac:dyDescent="0.25">
      <c r="A80" s="51" t="s">
        <v>179</v>
      </c>
      <c r="B80" s="64" t="s">
        <v>180</v>
      </c>
      <c r="C80" s="24">
        <v>192822</v>
      </c>
      <c r="D80" s="24">
        <v>214718</v>
      </c>
      <c r="E80" s="102">
        <f>+'2 Össz'!E80/1000</f>
        <v>202130.44200000001</v>
      </c>
    </row>
    <row r="81" spans="1:5" x14ac:dyDescent="0.25">
      <c r="A81" s="53" t="s">
        <v>181</v>
      </c>
      <c r="B81" s="64" t="s">
        <v>182</v>
      </c>
      <c r="C81" s="24">
        <v>188771</v>
      </c>
      <c r="D81" s="24">
        <v>181223</v>
      </c>
      <c r="E81" s="102">
        <f>+'2 Össz'!E81/1000</f>
        <v>188104.65</v>
      </c>
    </row>
    <row r="82" spans="1:5" x14ac:dyDescent="0.25">
      <c r="A82" s="53" t="s">
        <v>794</v>
      </c>
      <c r="B82" s="64" t="s">
        <v>184</v>
      </c>
      <c r="C82" s="24">
        <v>495242</v>
      </c>
      <c r="D82" s="24">
        <v>597890</v>
      </c>
      <c r="E82" s="102">
        <f>+'2 Össz'!E82/1000</f>
        <v>565150.34</v>
      </c>
    </row>
    <row r="83" spans="1:5" x14ac:dyDescent="0.25">
      <c r="A83" s="53" t="s">
        <v>185</v>
      </c>
      <c r="B83" s="64" t="s">
        <v>186</v>
      </c>
      <c r="C83" s="24">
        <v>12979</v>
      </c>
      <c r="D83" s="24">
        <v>18899</v>
      </c>
      <c r="E83" s="102">
        <f>+'2 Össz'!E83/1000</f>
        <v>13368.08</v>
      </c>
    </row>
    <row r="84" spans="1:5" x14ac:dyDescent="0.25">
      <c r="A84" s="53" t="s">
        <v>187</v>
      </c>
      <c r="B84" s="64" t="s">
        <v>188</v>
      </c>
      <c r="C84" s="24">
        <v>83362</v>
      </c>
      <c r="D84" s="24">
        <v>73859</v>
      </c>
      <c r="E84" s="102">
        <f>+'2 Össz'!E84/1000</f>
        <v>215870.61300000001</v>
      </c>
    </row>
    <row r="85" spans="1:5" x14ac:dyDescent="0.25">
      <c r="A85" s="53" t="s">
        <v>189</v>
      </c>
      <c r="B85" s="64" t="s">
        <v>190</v>
      </c>
      <c r="C85" s="24"/>
      <c r="D85" s="24">
        <v>1172</v>
      </c>
      <c r="E85" s="102">
        <f>+'2 Össz'!E85/1000</f>
        <v>0</v>
      </c>
    </row>
    <row r="86" spans="1:5" s="107" customFormat="1" x14ac:dyDescent="0.25">
      <c r="A86" s="90" t="s">
        <v>191</v>
      </c>
      <c r="B86" s="91" t="s">
        <v>192</v>
      </c>
      <c r="C86" s="92">
        <f>SUM(C80:C85)</f>
        <v>973176</v>
      </c>
      <c r="D86" s="92">
        <f>SUM(D80:D85)</f>
        <v>1087761</v>
      </c>
      <c r="E86" s="92">
        <f>SUM(E80:E85)</f>
        <v>1184624.125</v>
      </c>
    </row>
    <row r="87" spans="1:5" x14ac:dyDescent="0.25">
      <c r="A87" s="53" t="s">
        <v>193</v>
      </c>
      <c r="B87" s="64" t="s">
        <v>194</v>
      </c>
      <c r="C87" s="24"/>
      <c r="D87" s="24"/>
      <c r="E87" s="102">
        <f>+'2 Össz'!E87/1000</f>
        <v>0</v>
      </c>
    </row>
    <row r="88" spans="1:5" x14ac:dyDescent="0.25">
      <c r="A88" s="53" t="s">
        <v>604</v>
      </c>
      <c r="B88" s="64" t="s">
        <v>196</v>
      </c>
      <c r="C88" s="24"/>
      <c r="D88" s="24"/>
      <c r="E88" s="102">
        <f>+'2 Össz'!E88/1000</f>
        <v>0</v>
      </c>
    </row>
    <row r="89" spans="1:5" x14ac:dyDescent="0.25">
      <c r="A89" s="53" t="s">
        <v>605</v>
      </c>
      <c r="B89" s="64" t="s">
        <v>198</v>
      </c>
      <c r="C89" s="24"/>
      <c r="D89" s="24"/>
      <c r="E89" s="102">
        <f>+'2 Össz'!E89/1000</f>
        <v>0</v>
      </c>
    </row>
    <row r="90" spans="1:5" x14ac:dyDescent="0.25">
      <c r="A90" s="53" t="s">
        <v>606</v>
      </c>
      <c r="B90" s="64" t="s">
        <v>200</v>
      </c>
      <c r="C90" s="24"/>
      <c r="D90" s="24"/>
      <c r="E90" s="102">
        <f>+'2 Össz'!E90/1000</f>
        <v>0</v>
      </c>
    </row>
    <row r="91" spans="1:5" x14ac:dyDescent="0.25">
      <c r="A91" s="53" t="s">
        <v>201</v>
      </c>
      <c r="B91" s="64" t="s">
        <v>202</v>
      </c>
      <c r="C91" s="24">
        <v>706902</v>
      </c>
      <c r="D91" s="24">
        <v>1014698</v>
      </c>
      <c r="E91" s="102">
        <f>+'2 Össz'!E91/1000</f>
        <v>1060144.831</v>
      </c>
    </row>
    <row r="92" spans="1:5" s="107" customFormat="1" x14ac:dyDescent="0.25">
      <c r="A92" s="90" t="s">
        <v>203</v>
      </c>
      <c r="B92" s="91" t="s">
        <v>204</v>
      </c>
      <c r="C92" s="92">
        <f>+C91+C90+C89+C88+C87+C86</f>
        <v>1680078</v>
      </c>
      <c r="D92" s="92">
        <f>+D91+D90+D89+D88+D87+D86</f>
        <v>2102459</v>
      </c>
      <c r="E92" s="92">
        <f>+E91+E90+E89+E88+E87+E86</f>
        <v>2244768.9560000002</v>
      </c>
    </row>
    <row r="93" spans="1:5" s="27" customFormat="1" x14ac:dyDescent="0.25">
      <c r="A93" s="56" t="s">
        <v>205</v>
      </c>
      <c r="B93" s="65" t="s">
        <v>206</v>
      </c>
      <c r="C93" s="25">
        <v>12794</v>
      </c>
      <c r="D93" s="25">
        <v>2102123</v>
      </c>
      <c r="E93" s="102">
        <f>+'2 Össz'!E93/1000</f>
        <v>576714.76199999999</v>
      </c>
    </row>
    <row r="94" spans="1:5" x14ac:dyDescent="0.25">
      <c r="A94" s="53" t="s">
        <v>207</v>
      </c>
      <c r="B94" s="64" t="s">
        <v>208</v>
      </c>
      <c r="C94" s="24"/>
      <c r="D94" s="24"/>
      <c r="E94" s="102">
        <f>+'2 Össz'!E94/1000</f>
        <v>0</v>
      </c>
    </row>
    <row r="95" spans="1:5" x14ac:dyDescent="0.25">
      <c r="A95" s="53" t="s">
        <v>209</v>
      </c>
      <c r="B95" s="64" t="s">
        <v>210</v>
      </c>
      <c r="C95" s="24"/>
      <c r="D95" s="24"/>
      <c r="E95" s="102">
        <f>+'2 Össz'!E95/1000</f>
        <v>0</v>
      </c>
    </row>
    <row r="96" spans="1:5" x14ac:dyDescent="0.25">
      <c r="A96" s="53" t="s">
        <v>211</v>
      </c>
      <c r="B96" s="64" t="s">
        <v>212</v>
      </c>
      <c r="C96" s="24"/>
      <c r="D96" s="24"/>
      <c r="E96" s="102">
        <f>+'2 Össz'!E96/1000</f>
        <v>0</v>
      </c>
    </row>
    <row r="97" spans="1:5" x14ac:dyDescent="0.25">
      <c r="A97" s="53" t="s">
        <v>213</v>
      </c>
      <c r="B97" s="64" t="s">
        <v>214</v>
      </c>
      <c r="C97" s="24">
        <v>115339</v>
      </c>
      <c r="D97" s="24">
        <v>113329</v>
      </c>
      <c r="E97" s="102">
        <f>+'2 Össz'!E97/1000</f>
        <v>113500</v>
      </c>
    </row>
    <row r="98" spans="1:5" x14ac:dyDescent="0.25">
      <c r="A98" s="53" t="s">
        <v>215</v>
      </c>
      <c r="B98" s="64" t="s">
        <v>216</v>
      </c>
      <c r="C98" s="24">
        <v>375523</v>
      </c>
      <c r="D98" s="24">
        <v>318751</v>
      </c>
      <c r="E98" s="102">
        <f>+'2 Össz'!E98/1000</f>
        <v>318500</v>
      </c>
    </row>
    <row r="99" spans="1:5" x14ac:dyDescent="0.25">
      <c r="A99" s="53" t="s">
        <v>217</v>
      </c>
      <c r="B99" s="64" t="s">
        <v>218</v>
      </c>
      <c r="C99" s="24">
        <v>5449</v>
      </c>
      <c r="D99" s="24">
        <v>699</v>
      </c>
      <c r="E99" s="102">
        <f>+'2 Össz'!E99/1000</f>
        <v>500</v>
      </c>
    </row>
    <row r="100" spans="1:5" s="107" customFormat="1" x14ac:dyDescent="0.25">
      <c r="A100" s="90" t="s">
        <v>219</v>
      </c>
      <c r="B100" s="91" t="s">
        <v>220</v>
      </c>
      <c r="C100" s="92">
        <f>SUM(C94:C99)</f>
        <v>496311</v>
      </c>
      <c r="D100" s="92">
        <f>SUM(D94:D99)</f>
        <v>432779</v>
      </c>
      <c r="E100" s="92">
        <f>SUM(E94:E99)</f>
        <v>432500</v>
      </c>
    </row>
    <row r="101" spans="1:5" x14ac:dyDescent="0.25">
      <c r="A101" s="66" t="s">
        <v>607</v>
      </c>
      <c r="B101" s="64" t="s">
        <v>222</v>
      </c>
      <c r="C101" s="24">
        <v>1239</v>
      </c>
      <c r="D101" s="24">
        <v>794</v>
      </c>
      <c r="E101" s="102">
        <f>+'2 Össz'!E101/1000</f>
        <v>1044</v>
      </c>
    </row>
    <row r="102" spans="1:5" x14ac:dyDescent="0.25">
      <c r="A102" s="66" t="s">
        <v>223</v>
      </c>
      <c r="B102" s="64" t="s">
        <v>224</v>
      </c>
      <c r="C102" s="24">
        <v>201691</v>
      </c>
      <c r="D102" s="24">
        <v>213014</v>
      </c>
      <c r="E102" s="102">
        <f>+'2 Össz'!E102/1000</f>
        <v>264812.79300000001</v>
      </c>
    </row>
    <row r="103" spans="1:5" x14ac:dyDescent="0.25">
      <c r="A103" s="66" t="s">
        <v>225</v>
      </c>
      <c r="B103" s="64" t="s">
        <v>226</v>
      </c>
      <c r="C103" s="24">
        <v>7869</v>
      </c>
      <c r="D103" s="24">
        <v>6418</v>
      </c>
      <c r="E103" s="102">
        <f>+'2 Össz'!E103/1000</f>
        <v>5621</v>
      </c>
    </row>
    <row r="104" spans="1:5" x14ac:dyDescent="0.25">
      <c r="A104" s="66" t="s">
        <v>227</v>
      </c>
      <c r="B104" s="64" t="s">
        <v>228</v>
      </c>
      <c r="C104" s="24">
        <v>22791</v>
      </c>
      <c r="D104" s="24">
        <v>27476</v>
      </c>
      <c r="E104" s="102">
        <f>+'2 Össz'!E104/1000</f>
        <v>6772.9989999999998</v>
      </c>
    </row>
    <row r="105" spans="1:5" x14ac:dyDescent="0.25">
      <c r="A105" s="66" t="s">
        <v>229</v>
      </c>
      <c r="B105" s="64" t="s">
        <v>230</v>
      </c>
      <c r="C105" s="24">
        <v>151058</v>
      </c>
      <c r="D105" s="24">
        <v>154061</v>
      </c>
      <c r="E105" s="102">
        <f>+'2 Össz'!E105/1000</f>
        <v>155644.54</v>
      </c>
    </row>
    <row r="106" spans="1:5" x14ac:dyDescent="0.25">
      <c r="A106" s="66" t="s">
        <v>231</v>
      </c>
      <c r="B106" s="64" t="s">
        <v>232</v>
      </c>
      <c r="C106" s="24">
        <v>54181</v>
      </c>
      <c r="D106" s="24">
        <v>55106</v>
      </c>
      <c r="E106" s="102">
        <f>+'2 Össz'!E106/1000</f>
        <v>47401.985000000001</v>
      </c>
    </row>
    <row r="107" spans="1:5" x14ac:dyDescent="0.25">
      <c r="A107" s="66" t="s">
        <v>233</v>
      </c>
      <c r="B107" s="64" t="s">
        <v>234</v>
      </c>
      <c r="C107" s="24">
        <v>1590</v>
      </c>
      <c r="D107" s="24">
        <v>0</v>
      </c>
      <c r="E107" s="102">
        <f>+'2 Össz'!E107/1000</f>
        <v>0</v>
      </c>
    </row>
    <row r="108" spans="1:5" x14ac:dyDescent="0.25">
      <c r="A108" s="66" t="s">
        <v>235</v>
      </c>
      <c r="B108" s="64" t="s">
        <v>236</v>
      </c>
      <c r="C108" s="24">
        <v>12</v>
      </c>
      <c r="D108" s="24">
        <v>0</v>
      </c>
      <c r="E108" s="102">
        <f>+'2 Össz'!E108/1000</f>
        <v>1</v>
      </c>
    </row>
    <row r="109" spans="1:5" x14ac:dyDescent="0.25">
      <c r="A109" s="66" t="s">
        <v>237</v>
      </c>
      <c r="B109" s="64" t="s">
        <v>238</v>
      </c>
      <c r="C109" s="24">
        <v>7</v>
      </c>
      <c r="D109" s="24">
        <v>0</v>
      </c>
      <c r="E109" s="102">
        <f>+'2 Össz'!E109/1000</f>
        <v>10</v>
      </c>
    </row>
    <row r="110" spans="1:5" x14ac:dyDescent="0.25">
      <c r="A110" s="66" t="s">
        <v>239</v>
      </c>
      <c r="B110" s="64" t="s">
        <v>240</v>
      </c>
      <c r="C110" s="24">
        <v>1367</v>
      </c>
      <c r="D110" s="24">
        <v>2526</v>
      </c>
      <c r="E110" s="102">
        <f>+'2 Össz'!E110/1000</f>
        <v>0</v>
      </c>
    </row>
    <row r="111" spans="1:5" x14ac:dyDescent="0.25">
      <c r="A111" s="66" t="s">
        <v>241</v>
      </c>
      <c r="B111" s="64" t="s">
        <v>242</v>
      </c>
      <c r="C111" s="24">
        <v>2094</v>
      </c>
      <c r="D111" s="24">
        <v>2094</v>
      </c>
      <c r="E111" s="102">
        <f>+'2 Össz'!E111/1000</f>
        <v>0</v>
      </c>
    </row>
    <row r="112" spans="1:5" s="107" customFormat="1" x14ac:dyDescent="0.25">
      <c r="A112" s="137" t="s">
        <v>243</v>
      </c>
      <c r="B112" s="91" t="s">
        <v>244</v>
      </c>
      <c r="C112" s="92">
        <f>SUM(C101:C111)</f>
        <v>443899</v>
      </c>
      <c r="D112" s="92">
        <f>SUM(D101:D111)</f>
        <v>461489</v>
      </c>
      <c r="E112" s="92">
        <f>SUM(E101:E111)</f>
        <v>481308.31700000004</v>
      </c>
    </row>
    <row r="113" spans="1:5" x14ac:dyDescent="0.25">
      <c r="A113" s="66" t="s">
        <v>245</v>
      </c>
      <c r="B113" s="64" t="s">
        <v>246</v>
      </c>
      <c r="C113" s="24"/>
      <c r="D113" s="24"/>
      <c r="E113" s="102">
        <f>+'2 Össz'!E113/1000</f>
        <v>0</v>
      </c>
    </row>
    <row r="114" spans="1:5" x14ac:dyDescent="0.25">
      <c r="A114" s="66" t="s">
        <v>247</v>
      </c>
      <c r="B114" s="64" t="s">
        <v>248</v>
      </c>
      <c r="C114" s="24">
        <v>19895</v>
      </c>
      <c r="D114" s="24">
        <v>51118</v>
      </c>
      <c r="E114" s="102">
        <f>+'2 Össz'!E114/1000</f>
        <v>59000</v>
      </c>
    </row>
    <row r="115" spans="1:5" x14ac:dyDescent="0.25">
      <c r="A115" s="66" t="s">
        <v>249</v>
      </c>
      <c r="B115" s="64" t="s">
        <v>250</v>
      </c>
      <c r="C115" s="24">
        <v>2661</v>
      </c>
      <c r="D115" s="24">
        <v>591</v>
      </c>
      <c r="E115" s="102">
        <f>+'2 Össz'!E115/1000</f>
        <v>0</v>
      </c>
    </row>
    <row r="116" spans="1:5" x14ac:dyDescent="0.25">
      <c r="A116" s="66" t="s">
        <v>251</v>
      </c>
      <c r="B116" s="64" t="s">
        <v>252</v>
      </c>
      <c r="C116" s="24"/>
      <c r="D116" s="24">
        <v>0</v>
      </c>
      <c r="E116" s="102">
        <f>+'2 Össz'!E116</f>
        <v>0</v>
      </c>
    </row>
    <row r="117" spans="1:5" hidden="1" x14ac:dyDescent="0.25">
      <c r="A117" s="66" t="s">
        <v>253</v>
      </c>
      <c r="B117" s="64" t="s">
        <v>254</v>
      </c>
      <c r="C117" s="24"/>
      <c r="D117" s="24"/>
      <c r="E117" s="102">
        <f>+'2 Össz'!E117</f>
        <v>0</v>
      </c>
    </row>
    <row r="118" spans="1:5" s="107" customFormat="1" x14ac:dyDescent="0.25">
      <c r="A118" s="90" t="s">
        <v>255</v>
      </c>
      <c r="B118" s="91" t="s">
        <v>256</v>
      </c>
      <c r="C118" s="92">
        <f>SUM(C113:C117)</f>
        <v>22556</v>
      </c>
      <c r="D118" s="92">
        <f>SUM(D113:D117)</f>
        <v>51709</v>
      </c>
      <c r="E118" s="92">
        <f>SUM(E113:E117)</f>
        <v>59000</v>
      </c>
    </row>
    <row r="119" spans="1:5" s="27" customFormat="1" x14ac:dyDescent="0.25">
      <c r="A119" s="56" t="s">
        <v>257</v>
      </c>
      <c r="B119" s="65" t="s">
        <v>258</v>
      </c>
      <c r="C119" s="25">
        <v>7048</v>
      </c>
      <c r="D119" s="25">
        <v>18127</v>
      </c>
      <c r="E119" s="102">
        <f>+'2 Össz'!E119/1000</f>
        <v>22482.5</v>
      </c>
    </row>
    <row r="120" spans="1:5" hidden="1" x14ac:dyDescent="0.25">
      <c r="A120" s="66" t="s">
        <v>608</v>
      </c>
      <c r="B120" s="64" t="s">
        <v>260</v>
      </c>
      <c r="C120" s="24"/>
      <c r="D120" s="24"/>
      <c r="E120" s="102">
        <f>+'2 Össz'!E120/1000</f>
        <v>0</v>
      </c>
    </row>
    <row r="121" spans="1:5" hidden="1" x14ac:dyDescent="0.25">
      <c r="A121" s="53" t="s">
        <v>610</v>
      </c>
      <c r="B121" s="64" t="s">
        <v>262</v>
      </c>
      <c r="C121" s="24"/>
      <c r="D121" s="24"/>
      <c r="E121" s="102">
        <f>+'2 Össz'!E121/1000</f>
        <v>0</v>
      </c>
    </row>
    <row r="122" spans="1:5" ht="31.5" hidden="1" x14ac:dyDescent="0.25">
      <c r="A122" s="66" t="s">
        <v>263</v>
      </c>
      <c r="B122" s="64" t="s">
        <v>264</v>
      </c>
      <c r="C122" s="24"/>
      <c r="D122" s="24"/>
      <c r="E122" s="102">
        <f>+'2 Össz'!E122/1000</f>
        <v>0</v>
      </c>
    </row>
    <row r="123" spans="1:5" x14ac:dyDescent="0.25">
      <c r="A123" s="66" t="s">
        <v>610</v>
      </c>
      <c r="B123" s="64" t="s">
        <v>266</v>
      </c>
      <c r="C123" s="24">
        <v>12</v>
      </c>
      <c r="D123" s="24">
        <v>0</v>
      </c>
      <c r="E123" s="102">
        <f>+'2 Össz'!E123/1000</f>
        <v>0</v>
      </c>
    </row>
    <row r="124" spans="1:5" x14ac:dyDescent="0.25">
      <c r="A124" s="66" t="s">
        <v>267</v>
      </c>
      <c r="B124" s="64" t="s">
        <v>268</v>
      </c>
      <c r="C124" s="24">
        <v>6985</v>
      </c>
      <c r="D124" s="24">
        <v>15282</v>
      </c>
      <c r="E124" s="102">
        <f>+'2 Össz'!E124/1000</f>
        <v>29400</v>
      </c>
    </row>
    <row r="125" spans="1:5" s="107" customFormat="1" x14ac:dyDescent="0.25">
      <c r="A125" s="90" t="s">
        <v>269</v>
      </c>
      <c r="B125" s="91" t="s">
        <v>270</v>
      </c>
      <c r="C125" s="92">
        <f>SUM(C120:C124)</f>
        <v>6997</v>
      </c>
      <c r="D125" s="92">
        <f>SUM(D120:D124)</f>
        <v>15282</v>
      </c>
      <c r="E125" s="92">
        <f>SUM(E120:E124)</f>
        <v>29400</v>
      </c>
    </row>
    <row r="126" spans="1:5" s="107" customFormat="1" x14ac:dyDescent="0.25">
      <c r="A126" s="137" t="s">
        <v>271</v>
      </c>
      <c r="B126" s="91" t="s">
        <v>272</v>
      </c>
      <c r="C126" s="92">
        <f>+C125+C119+C118+C112+C100+C93+C92</f>
        <v>2669683</v>
      </c>
      <c r="D126" s="92">
        <f>+D125+D119+D118+D112+D100+D93+D92</f>
        <v>5183968</v>
      </c>
      <c r="E126" s="92">
        <f>+E125+E119+E118+E112+E100+E93+E92</f>
        <v>3846174.5350000001</v>
      </c>
    </row>
    <row r="127" spans="1:5" s="107" customFormat="1" x14ac:dyDescent="0.25">
      <c r="A127" s="309" t="s">
        <v>273</v>
      </c>
      <c r="B127" s="121"/>
      <c r="C127" s="122">
        <f>+C119+C112+C100+C92-C33</f>
        <v>6333</v>
      </c>
      <c r="D127" s="122">
        <f>+D119+D112+D100+D92-D33</f>
        <v>181912</v>
      </c>
      <c r="E127" s="122">
        <f>+E119+E112+E100+E92-E33</f>
        <v>-393759.21048999997</v>
      </c>
    </row>
    <row r="128" spans="1:5" s="107" customFormat="1" x14ac:dyDescent="0.25">
      <c r="A128" s="309" t="s">
        <v>274</v>
      </c>
      <c r="B128" s="121"/>
      <c r="C128" s="122">
        <f>+C125+C118+C93-C57</f>
        <v>-104199</v>
      </c>
      <c r="D128" s="122">
        <f>+D125+D118+D93-D57</f>
        <v>1214570</v>
      </c>
      <c r="E128" s="122">
        <f>+E125+E118+E93-E57</f>
        <v>-2156422.8869999996</v>
      </c>
    </row>
    <row r="129" spans="1:5" x14ac:dyDescent="0.25">
      <c r="A129" s="71" t="s">
        <v>275</v>
      </c>
      <c r="B129" s="53" t="s">
        <v>276</v>
      </c>
      <c r="C129" s="24"/>
      <c r="D129" s="24"/>
      <c r="E129" s="102">
        <f>+'2 Össz'!E129/1000</f>
        <v>0</v>
      </c>
    </row>
    <row r="130" spans="1:5" x14ac:dyDescent="0.25">
      <c r="A130" s="66" t="s">
        <v>740</v>
      </c>
      <c r="B130" s="53" t="s">
        <v>278</v>
      </c>
      <c r="C130" s="24"/>
      <c r="D130" s="24"/>
      <c r="E130" s="102">
        <f>+'2 Össz'!E130/1000</f>
        <v>0</v>
      </c>
    </row>
    <row r="131" spans="1:5" x14ac:dyDescent="0.25">
      <c r="A131" s="71" t="s">
        <v>279</v>
      </c>
      <c r="B131" s="53" t="s">
        <v>280</v>
      </c>
      <c r="C131" s="24"/>
      <c r="D131" s="24">
        <v>73268</v>
      </c>
      <c r="E131" s="102">
        <f>+'2 Össz'!E131/1000</f>
        <v>88500</v>
      </c>
    </row>
    <row r="132" spans="1:5" s="107" customFormat="1" x14ac:dyDescent="0.25">
      <c r="A132" s="137" t="s">
        <v>743</v>
      </c>
      <c r="B132" s="90" t="s">
        <v>282</v>
      </c>
      <c r="C132" s="92">
        <f>SUM(C129:C131)</f>
        <v>0</v>
      </c>
      <c r="D132" s="92">
        <f>SUM(D129:D131)</f>
        <v>73268</v>
      </c>
      <c r="E132" s="92">
        <f>SUM(E129:E131)</f>
        <v>88500</v>
      </c>
    </row>
    <row r="133" spans="1:5" hidden="1" x14ac:dyDescent="0.25">
      <c r="A133" s="66" t="s">
        <v>283</v>
      </c>
      <c r="B133" s="53" t="s">
        <v>284</v>
      </c>
      <c r="C133" s="24"/>
      <c r="D133" s="24"/>
      <c r="E133" s="102">
        <f>+'2 Össz'!E133</f>
        <v>0</v>
      </c>
    </row>
    <row r="134" spans="1:5" hidden="1" x14ac:dyDescent="0.25">
      <c r="A134" s="71" t="s">
        <v>745</v>
      </c>
      <c r="B134" s="53" t="s">
        <v>286</v>
      </c>
      <c r="C134" s="24"/>
      <c r="D134" s="24"/>
      <c r="E134" s="102">
        <f>+'2 Össz'!E134</f>
        <v>0</v>
      </c>
    </row>
    <row r="135" spans="1:5" hidden="1" x14ac:dyDescent="0.25">
      <c r="A135" s="66" t="s">
        <v>287</v>
      </c>
      <c r="B135" s="53" t="s">
        <v>288</v>
      </c>
      <c r="C135" s="24"/>
      <c r="D135" s="24"/>
      <c r="E135" s="102">
        <f>+'2 Össz'!E135</f>
        <v>0</v>
      </c>
    </row>
    <row r="136" spans="1:5" hidden="1" x14ac:dyDescent="0.25">
      <c r="A136" s="71" t="s">
        <v>747</v>
      </c>
      <c r="B136" s="53" t="s">
        <v>290</v>
      </c>
      <c r="C136" s="24"/>
      <c r="D136" s="24"/>
      <c r="E136" s="102">
        <f>+'2 Össz'!E136</f>
        <v>0</v>
      </c>
    </row>
    <row r="137" spans="1:5" s="107" customFormat="1" x14ac:dyDescent="0.25">
      <c r="A137" s="307" t="s">
        <v>291</v>
      </c>
      <c r="B137" s="90" t="s">
        <v>292</v>
      </c>
      <c r="C137" s="92">
        <f>SUM(C133:C136)</f>
        <v>0</v>
      </c>
      <c r="D137" s="92">
        <f>SUM(D133:D136)</f>
        <v>0</v>
      </c>
      <c r="E137" s="92">
        <f>SUM(E133:E136)</f>
        <v>0</v>
      </c>
    </row>
    <row r="138" spans="1:5" x14ac:dyDescent="0.25">
      <c r="A138" s="53" t="s">
        <v>293</v>
      </c>
      <c r="B138" s="53" t="s">
        <v>294</v>
      </c>
      <c r="C138" s="24">
        <v>282408</v>
      </c>
      <c r="D138" s="24">
        <v>300966</v>
      </c>
      <c r="E138" s="102">
        <f>+'2 Össz'!E138/1000</f>
        <v>343254.51</v>
      </c>
    </row>
    <row r="139" spans="1:5" x14ac:dyDescent="0.25">
      <c r="A139" s="53" t="s">
        <v>295</v>
      </c>
      <c r="B139" s="53" t="s">
        <v>294</v>
      </c>
      <c r="C139" s="24">
        <v>38700</v>
      </c>
      <c r="D139" s="24">
        <v>937346</v>
      </c>
      <c r="E139" s="102">
        <f>+'2 Össz'!E139/1000</f>
        <v>2242993.1129999999</v>
      </c>
    </row>
    <row r="140" spans="1:5" x14ac:dyDescent="0.25">
      <c r="A140" s="53" t="s">
        <v>296</v>
      </c>
      <c r="B140" s="53" t="s">
        <v>297</v>
      </c>
      <c r="C140" s="24"/>
      <c r="D140" s="24"/>
      <c r="E140" s="102">
        <f>+'2 Össz'!E140/1000</f>
        <v>0</v>
      </c>
    </row>
    <row r="141" spans="1:5" x14ac:dyDescent="0.25">
      <c r="A141" s="53" t="s">
        <v>298</v>
      </c>
      <c r="B141" s="53" t="s">
        <v>297</v>
      </c>
      <c r="C141" s="24"/>
      <c r="D141" s="24"/>
      <c r="E141" s="102">
        <f>+'2 Össz'!E141/1000</f>
        <v>0</v>
      </c>
    </row>
    <row r="142" spans="1:5" s="107" customFormat="1" x14ac:dyDescent="0.25">
      <c r="A142" s="90" t="s">
        <v>299</v>
      </c>
      <c r="B142" s="90" t="s">
        <v>300</v>
      </c>
      <c r="C142" s="92">
        <f>SUM(C138:C141)</f>
        <v>321108</v>
      </c>
      <c r="D142" s="92">
        <f>SUM(D138:D141)</f>
        <v>1238312</v>
      </c>
      <c r="E142" s="92">
        <f>SUM(E138:E141)</f>
        <v>2586247.6229999997</v>
      </c>
    </row>
    <row r="143" spans="1:5" x14ac:dyDescent="0.25">
      <c r="A143" s="71" t="s">
        <v>301</v>
      </c>
      <c r="B143" s="53" t="s">
        <v>302</v>
      </c>
      <c r="C143" s="24">
        <v>26494</v>
      </c>
      <c r="D143" s="24">
        <v>35475</v>
      </c>
      <c r="E143" s="102">
        <f>+'2 Össz'!E143/1000</f>
        <v>0</v>
      </c>
    </row>
    <row r="144" spans="1:5" x14ac:dyDescent="0.25">
      <c r="A144" s="71" t="s">
        <v>303</v>
      </c>
      <c r="B144" s="53" t="s">
        <v>304</v>
      </c>
      <c r="C144" s="24"/>
      <c r="D144" s="24"/>
      <c r="E144" s="102">
        <f>+'2 Össz'!E144/1000</f>
        <v>0</v>
      </c>
    </row>
    <row r="145" spans="1:6" hidden="1" x14ac:dyDescent="0.25">
      <c r="A145" s="71" t="s">
        <v>305</v>
      </c>
      <c r="B145" s="53" t="s">
        <v>306</v>
      </c>
      <c r="C145" s="24"/>
      <c r="D145" s="24"/>
      <c r="E145" s="102">
        <f>+'2 Össz'!E145</f>
        <v>0</v>
      </c>
    </row>
    <row r="146" spans="1:6" hidden="1" x14ac:dyDescent="0.25">
      <c r="A146" s="71" t="s">
        <v>748</v>
      </c>
      <c r="B146" s="53" t="s">
        <v>308</v>
      </c>
      <c r="C146" s="24"/>
      <c r="D146" s="24"/>
      <c r="E146" s="102">
        <f>+'2 Össz'!E146</f>
        <v>0</v>
      </c>
    </row>
    <row r="147" spans="1:6" hidden="1" x14ac:dyDescent="0.25">
      <c r="A147" s="66" t="s">
        <v>309</v>
      </c>
      <c r="B147" s="53" t="s">
        <v>310</v>
      </c>
      <c r="C147" s="24"/>
      <c r="D147" s="24"/>
      <c r="E147" s="102">
        <f>+'2 Össz'!E147</f>
        <v>0</v>
      </c>
    </row>
    <row r="148" spans="1:6" hidden="1" x14ac:dyDescent="0.25">
      <c r="A148" s="66" t="s">
        <v>311</v>
      </c>
      <c r="B148" s="53" t="s">
        <v>312</v>
      </c>
      <c r="C148" s="24"/>
      <c r="D148" s="24"/>
      <c r="E148" s="102">
        <f>+'2 Össz'!E148</f>
        <v>0</v>
      </c>
    </row>
    <row r="149" spans="1:6" s="107" customFormat="1" x14ac:dyDescent="0.25">
      <c r="A149" s="137" t="s">
        <v>313</v>
      </c>
      <c r="B149" s="90" t="s">
        <v>314</v>
      </c>
      <c r="C149" s="92">
        <f>+C142+C137+C132+C143</f>
        <v>347602</v>
      </c>
      <c r="D149" s="92">
        <f>+D142+D137+D132+D143</f>
        <v>1347055</v>
      </c>
      <c r="E149" s="92">
        <f>+E142+E137+E132+E143</f>
        <v>2674747.6229999997</v>
      </c>
    </row>
    <row r="150" spans="1:6" hidden="1" x14ac:dyDescent="0.25">
      <c r="A150" s="71" t="s">
        <v>315</v>
      </c>
      <c r="B150" s="53" t="s">
        <v>316</v>
      </c>
      <c r="C150" s="24"/>
      <c r="D150" s="24"/>
      <c r="E150" s="102">
        <f>+'2 Össz'!E150</f>
        <v>0</v>
      </c>
    </row>
    <row r="151" spans="1:6" hidden="1" x14ac:dyDescent="0.25">
      <c r="A151" s="66" t="s">
        <v>317</v>
      </c>
      <c r="B151" s="53" t="s">
        <v>318</v>
      </c>
      <c r="C151" s="24"/>
      <c r="D151" s="24"/>
      <c r="E151" s="102">
        <f>+'2 Össz'!E151</f>
        <v>0</v>
      </c>
    </row>
    <row r="152" spans="1:6" hidden="1" x14ac:dyDescent="0.25">
      <c r="A152" s="66" t="s">
        <v>319</v>
      </c>
      <c r="B152" s="53" t="s">
        <v>320</v>
      </c>
      <c r="C152" s="24"/>
      <c r="D152" s="24"/>
      <c r="E152" s="102">
        <f>+'2 Össz'!E152</f>
        <v>0</v>
      </c>
    </row>
    <row r="153" spans="1:6" s="107" customFormat="1" x14ac:dyDescent="0.25">
      <c r="A153" s="307" t="s">
        <v>321</v>
      </c>
      <c r="B153" s="90" t="s">
        <v>322</v>
      </c>
      <c r="C153" s="92">
        <f>+C152+C150+C149</f>
        <v>347602</v>
      </c>
      <c r="D153" s="92">
        <f>+D152+D150+D149</f>
        <v>1347055</v>
      </c>
      <c r="E153" s="92">
        <f>+E152+E150+E149</f>
        <v>2674747.6229999997</v>
      </c>
    </row>
    <row r="154" spans="1:6" s="107" customFormat="1" x14ac:dyDescent="0.25">
      <c r="A154" s="113" t="s">
        <v>323</v>
      </c>
      <c r="B154" s="113" t="s">
        <v>324</v>
      </c>
      <c r="C154" s="92">
        <f>+C126+C153</f>
        <v>3017285</v>
      </c>
      <c r="D154" s="92">
        <f>+D126+D153</f>
        <v>6531023</v>
      </c>
      <c r="E154" s="92">
        <f>+E126+E153</f>
        <v>6520922.1579999998</v>
      </c>
    </row>
    <row r="155" spans="1:6" x14ac:dyDescent="0.25">
      <c r="C155" s="14">
        <f>+C154-C76</f>
        <v>218210</v>
      </c>
      <c r="D155" s="14">
        <f>+D154-D76</f>
        <v>2634794</v>
      </c>
      <c r="E155" s="14">
        <f>+E154-E76</f>
        <v>-4.8999860882759094E-4</v>
      </c>
      <c r="F155" s="14"/>
    </row>
    <row r="156" spans="1:6" x14ac:dyDescent="0.25">
      <c r="A156" s="82"/>
      <c r="C156" s="14"/>
      <c r="D156" s="14"/>
      <c r="E156" s="14"/>
    </row>
    <row r="157" spans="1:6" x14ac:dyDescent="0.25">
      <c r="C157" s="14"/>
    </row>
    <row r="158" spans="1:6" x14ac:dyDescent="0.25">
      <c r="E158" s="82" t="s">
        <v>903</v>
      </c>
    </row>
  </sheetData>
  <sheetProtection selectLockedCells="1" selectUnlockedCells="1"/>
  <mergeCells count="1">
    <mergeCell ref="A4:E4"/>
  </mergeCells>
  <printOptions horizontalCentered="1"/>
  <pageMargins left="0.70833333333333337" right="0.55000000000000004" top="0.51180555555555551" bottom="0.59097222222222223" header="0.51180555555555551" footer="0.31527777777777777"/>
  <pageSetup paperSize="9" scale="70" firstPageNumber="0" orientation="portrait" horizontalDpi="300" verticalDpi="300" r:id="rId1"/>
  <headerFooter alignWithMargins="0">
    <oddFooter>&amp;R&amp;P</oddFooter>
  </headerFooter>
  <rowBreaks count="1" manualBreakCount="1">
    <brk id="77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R156"/>
  <sheetViews>
    <sheetView view="pageBreakPreview" zoomScale="80" zoomScaleSheetLayoutView="80" workbookViewId="0">
      <selection activeCell="G8" sqref="G1:L1048576"/>
    </sheetView>
  </sheetViews>
  <sheetFormatPr defaultRowHeight="15" x14ac:dyDescent="0.25"/>
  <cols>
    <col min="1" max="1" width="76.28515625" customWidth="1"/>
    <col min="2" max="2" width="10.28515625" customWidth="1"/>
    <col min="3" max="3" width="12.140625" customWidth="1"/>
    <col min="4" max="4" width="12.85546875" style="310" customWidth="1"/>
    <col min="5" max="15" width="12.85546875" customWidth="1"/>
    <col min="16" max="16" width="15.5703125" style="441" customWidth="1"/>
    <col min="17" max="17" width="10.5703125" customWidth="1"/>
  </cols>
  <sheetData>
    <row r="1" spans="1:18" ht="15.75" x14ac:dyDescent="0.25">
      <c r="O1" s="15" t="s">
        <v>795</v>
      </c>
    </row>
    <row r="2" spans="1:18" ht="15.75" x14ac:dyDescent="0.25">
      <c r="O2" s="16" t="s">
        <v>905</v>
      </c>
    </row>
    <row r="3" spans="1:18" ht="18.75" x14ac:dyDescent="0.3">
      <c r="A3" s="4" t="s">
        <v>857</v>
      </c>
      <c r="B3" s="311"/>
      <c r="C3" s="311"/>
      <c r="D3" s="312"/>
      <c r="E3" s="311"/>
      <c r="F3" s="311"/>
      <c r="G3" s="311"/>
      <c r="H3" s="311"/>
      <c r="I3" s="311"/>
      <c r="J3" s="311"/>
      <c r="K3" s="311"/>
      <c r="L3" s="311"/>
      <c r="M3" s="311"/>
      <c r="N3" s="311"/>
      <c r="O3" s="311"/>
      <c r="P3" s="442"/>
    </row>
    <row r="4" spans="1:18" ht="15.75" x14ac:dyDescent="0.25">
      <c r="A4" s="313" t="s">
        <v>796</v>
      </c>
      <c r="B4" s="311"/>
      <c r="C4" s="311"/>
      <c r="D4" s="312"/>
      <c r="E4" s="311"/>
      <c r="F4" s="311"/>
      <c r="G4" s="311"/>
      <c r="H4" s="311"/>
      <c r="I4" s="311"/>
      <c r="J4" s="311"/>
      <c r="K4" s="311"/>
      <c r="L4" s="311"/>
      <c r="M4" s="311"/>
      <c r="N4" s="311"/>
      <c r="O4" s="311"/>
      <c r="P4" s="442"/>
    </row>
    <row r="6" spans="1:18" x14ac:dyDescent="0.25">
      <c r="A6" s="314"/>
    </row>
    <row r="7" spans="1:18" s="318" customFormat="1" ht="31.5" x14ac:dyDescent="0.25">
      <c r="A7" s="19" t="s">
        <v>12</v>
      </c>
      <c r="B7" s="47" t="s">
        <v>38</v>
      </c>
      <c r="C7" s="47" t="s">
        <v>543</v>
      </c>
      <c r="D7" s="315" t="s">
        <v>797</v>
      </c>
      <c r="E7" s="316" t="s">
        <v>798</v>
      </c>
      <c r="F7" s="316" t="s">
        <v>799</v>
      </c>
      <c r="G7" s="316" t="s">
        <v>800</v>
      </c>
      <c r="H7" s="316" t="s">
        <v>801</v>
      </c>
      <c r="I7" s="316" t="s">
        <v>802</v>
      </c>
      <c r="J7" s="316" t="s">
        <v>803</v>
      </c>
      <c r="K7" s="316" t="s">
        <v>804</v>
      </c>
      <c r="L7" s="316" t="s">
        <v>805</v>
      </c>
      <c r="M7" s="316" t="s">
        <v>806</v>
      </c>
      <c r="N7" s="316" t="s">
        <v>807</v>
      </c>
      <c r="O7" s="316" t="s">
        <v>808</v>
      </c>
      <c r="P7" s="443"/>
      <c r="Q7" s="317"/>
      <c r="R7" s="317"/>
    </row>
    <row r="8" spans="1:18" ht="15.75" x14ac:dyDescent="0.25">
      <c r="A8" s="51" t="s">
        <v>39</v>
      </c>
      <c r="B8" s="52" t="s">
        <v>40</v>
      </c>
      <c r="C8" s="319">
        <f>+'2 Össz'!E7/1000</f>
        <v>1654209.06</v>
      </c>
      <c r="D8" s="24">
        <f t="shared" ref="D8:N8" si="0">+ROUND($C$8/12,0)</f>
        <v>137851</v>
      </c>
      <c r="E8" s="24">
        <f t="shared" si="0"/>
        <v>137851</v>
      </c>
      <c r="F8" s="24">
        <f t="shared" si="0"/>
        <v>137851</v>
      </c>
      <c r="G8" s="24">
        <f t="shared" si="0"/>
        <v>137851</v>
      </c>
      <c r="H8" s="24">
        <f t="shared" si="0"/>
        <v>137851</v>
      </c>
      <c r="I8" s="24">
        <f t="shared" si="0"/>
        <v>137851</v>
      </c>
      <c r="J8" s="24">
        <f t="shared" si="0"/>
        <v>137851</v>
      </c>
      <c r="K8" s="24">
        <f t="shared" si="0"/>
        <v>137851</v>
      </c>
      <c r="L8" s="24">
        <f t="shared" si="0"/>
        <v>137851</v>
      </c>
      <c r="M8" s="24">
        <f t="shared" si="0"/>
        <v>137851</v>
      </c>
      <c r="N8" s="24">
        <f t="shared" si="0"/>
        <v>137851</v>
      </c>
      <c r="O8" s="24">
        <f>+ROUND($C$8/12,0)-3</f>
        <v>137848</v>
      </c>
      <c r="P8" s="444">
        <f t="shared" ref="P8:P39" si="1">+C8-SUM(D8:O8)</f>
        <v>6.0000000055879354E-2</v>
      </c>
      <c r="Q8" s="320"/>
      <c r="R8" s="314"/>
    </row>
    <row r="9" spans="1:18" ht="15.75" x14ac:dyDescent="0.25">
      <c r="A9" s="53" t="s">
        <v>41</v>
      </c>
      <c r="B9" s="52" t="s">
        <v>42</v>
      </c>
      <c r="C9" s="319">
        <f>+'2 Össz'!E8/1000</f>
        <v>82670.77</v>
      </c>
      <c r="D9" s="24">
        <f t="shared" ref="D9:N9" si="2">+ROUND($C$9/12,0)</f>
        <v>6889</v>
      </c>
      <c r="E9" s="24">
        <f t="shared" si="2"/>
        <v>6889</v>
      </c>
      <c r="F9" s="24">
        <f t="shared" si="2"/>
        <v>6889</v>
      </c>
      <c r="G9" s="24">
        <f t="shared" si="2"/>
        <v>6889</v>
      </c>
      <c r="H9" s="24">
        <f t="shared" si="2"/>
        <v>6889</v>
      </c>
      <c r="I9" s="24">
        <f t="shared" si="2"/>
        <v>6889</v>
      </c>
      <c r="J9" s="24">
        <f t="shared" si="2"/>
        <v>6889</v>
      </c>
      <c r="K9" s="24">
        <f t="shared" si="2"/>
        <v>6889</v>
      </c>
      <c r="L9" s="24">
        <f t="shared" si="2"/>
        <v>6889</v>
      </c>
      <c r="M9" s="24">
        <f t="shared" si="2"/>
        <v>6889</v>
      </c>
      <c r="N9" s="24">
        <f t="shared" si="2"/>
        <v>6889</v>
      </c>
      <c r="O9" s="24">
        <f>+ROUND($C$9/12,0)+3</f>
        <v>6892</v>
      </c>
      <c r="P9" s="444">
        <f t="shared" si="1"/>
        <v>-0.22999999999592546</v>
      </c>
      <c r="Q9" s="320"/>
      <c r="R9" s="314"/>
    </row>
    <row r="10" spans="1:18" s="324" customFormat="1" ht="15.75" x14ac:dyDescent="0.25">
      <c r="A10" s="104" t="s">
        <v>43</v>
      </c>
      <c r="B10" s="304" t="s">
        <v>44</v>
      </c>
      <c r="C10" s="92">
        <f t="shared" ref="C10:O10" si="3">SUM(C8:C9)</f>
        <v>1736879.83</v>
      </c>
      <c r="D10" s="92">
        <f t="shared" si="3"/>
        <v>144740</v>
      </c>
      <c r="E10" s="92">
        <f t="shared" si="3"/>
        <v>144740</v>
      </c>
      <c r="F10" s="92">
        <f t="shared" si="3"/>
        <v>144740</v>
      </c>
      <c r="G10" s="92">
        <f t="shared" si="3"/>
        <v>144740</v>
      </c>
      <c r="H10" s="92">
        <f t="shared" si="3"/>
        <v>144740</v>
      </c>
      <c r="I10" s="92">
        <f t="shared" si="3"/>
        <v>144740</v>
      </c>
      <c r="J10" s="92">
        <f t="shared" si="3"/>
        <v>144740</v>
      </c>
      <c r="K10" s="92">
        <f t="shared" si="3"/>
        <v>144740</v>
      </c>
      <c r="L10" s="92">
        <f t="shared" si="3"/>
        <v>144740</v>
      </c>
      <c r="M10" s="92">
        <f t="shared" si="3"/>
        <v>144740</v>
      </c>
      <c r="N10" s="92">
        <f t="shared" si="3"/>
        <v>144740</v>
      </c>
      <c r="O10" s="92">
        <f t="shared" si="3"/>
        <v>144740</v>
      </c>
      <c r="P10" s="444">
        <f t="shared" si="1"/>
        <v>-0.16999999992549419</v>
      </c>
      <c r="Q10" s="322"/>
      <c r="R10" s="323"/>
    </row>
    <row r="11" spans="1:18" ht="15.75" x14ac:dyDescent="0.25">
      <c r="A11" s="56" t="s">
        <v>809</v>
      </c>
      <c r="B11" s="55" t="s">
        <v>46</v>
      </c>
      <c r="C11" s="319">
        <f>+'2 Össz'!E10/1000</f>
        <v>345222.24300000002</v>
      </c>
      <c r="D11" s="24">
        <f t="shared" ref="D11:N11" si="4">+ROUND($C$11/12,0)</f>
        <v>28769</v>
      </c>
      <c r="E11" s="24">
        <f t="shared" si="4"/>
        <v>28769</v>
      </c>
      <c r="F11" s="24">
        <f t="shared" si="4"/>
        <v>28769</v>
      </c>
      <c r="G11" s="24">
        <f t="shared" si="4"/>
        <v>28769</v>
      </c>
      <c r="H11" s="24">
        <f t="shared" si="4"/>
        <v>28769</v>
      </c>
      <c r="I11" s="24">
        <f t="shared" si="4"/>
        <v>28769</v>
      </c>
      <c r="J11" s="24">
        <f t="shared" si="4"/>
        <v>28769</v>
      </c>
      <c r="K11" s="24">
        <f t="shared" si="4"/>
        <v>28769</v>
      </c>
      <c r="L11" s="24">
        <f t="shared" si="4"/>
        <v>28769</v>
      </c>
      <c r="M11" s="24">
        <f t="shared" si="4"/>
        <v>28769</v>
      </c>
      <c r="N11" s="24">
        <f t="shared" si="4"/>
        <v>28769</v>
      </c>
      <c r="O11" s="24">
        <f>+ROUND($C$11/12,0)-6</f>
        <v>28763</v>
      </c>
      <c r="P11" s="444">
        <f t="shared" si="1"/>
        <v>0.24300000001676381</v>
      </c>
      <c r="Q11" s="320"/>
      <c r="R11" s="314"/>
    </row>
    <row r="12" spans="1:18" ht="15.75" x14ac:dyDescent="0.25">
      <c r="A12" s="53" t="s">
        <v>47</v>
      </c>
      <c r="B12" s="52" t="s">
        <v>48</v>
      </c>
      <c r="C12" s="319">
        <f>+'2 Össz'!E11/1000</f>
        <v>267966.321</v>
      </c>
      <c r="D12" s="24">
        <f t="shared" ref="D12:N12" si="5">+ROUND($C$12/12,0)</f>
        <v>22331</v>
      </c>
      <c r="E12" s="24">
        <f t="shared" si="5"/>
        <v>22331</v>
      </c>
      <c r="F12" s="24">
        <f t="shared" si="5"/>
        <v>22331</v>
      </c>
      <c r="G12" s="24">
        <f t="shared" si="5"/>
        <v>22331</v>
      </c>
      <c r="H12" s="24">
        <f t="shared" si="5"/>
        <v>22331</v>
      </c>
      <c r="I12" s="24">
        <f t="shared" si="5"/>
        <v>22331</v>
      </c>
      <c r="J12" s="24">
        <f t="shared" si="5"/>
        <v>22331</v>
      </c>
      <c r="K12" s="24">
        <f t="shared" si="5"/>
        <v>22331</v>
      </c>
      <c r="L12" s="24">
        <f t="shared" si="5"/>
        <v>22331</v>
      </c>
      <c r="M12" s="24">
        <f t="shared" si="5"/>
        <v>22331</v>
      </c>
      <c r="N12" s="24">
        <f t="shared" si="5"/>
        <v>22331</v>
      </c>
      <c r="O12" s="24">
        <f>+ROUND($C$12/12,0)-5.7</f>
        <v>22325.3</v>
      </c>
      <c r="P12" s="444">
        <f t="shared" si="1"/>
        <v>2.1000000007916242E-2</v>
      </c>
      <c r="Q12" s="320"/>
      <c r="R12" s="314"/>
    </row>
    <row r="13" spans="1:18" ht="15.75" x14ac:dyDescent="0.25">
      <c r="A13" s="53" t="s">
        <v>49</v>
      </c>
      <c r="B13" s="52" t="s">
        <v>50</v>
      </c>
      <c r="C13" s="319">
        <f>+'2 Össz'!E12/1000</f>
        <v>15549.76</v>
      </c>
      <c r="D13" s="24">
        <f t="shared" ref="D13:N13" si="6">+ROUND($C$13/12,0)</f>
        <v>1296</v>
      </c>
      <c r="E13" s="24">
        <f t="shared" si="6"/>
        <v>1296</v>
      </c>
      <c r="F13" s="24">
        <f t="shared" si="6"/>
        <v>1296</v>
      </c>
      <c r="G13" s="24">
        <f t="shared" si="6"/>
        <v>1296</v>
      </c>
      <c r="H13" s="24">
        <f t="shared" si="6"/>
        <v>1296</v>
      </c>
      <c r="I13" s="24">
        <f t="shared" si="6"/>
        <v>1296</v>
      </c>
      <c r="J13" s="24">
        <f t="shared" si="6"/>
        <v>1296</v>
      </c>
      <c r="K13" s="24">
        <f t="shared" si="6"/>
        <v>1296</v>
      </c>
      <c r="L13" s="24">
        <f t="shared" si="6"/>
        <v>1296</v>
      </c>
      <c r="M13" s="24">
        <f t="shared" si="6"/>
        <v>1296</v>
      </c>
      <c r="N13" s="24">
        <f t="shared" si="6"/>
        <v>1296</v>
      </c>
      <c r="O13" s="24">
        <f>+ROUND($C$13/12,0)-2</f>
        <v>1294</v>
      </c>
      <c r="P13" s="444">
        <f t="shared" si="1"/>
        <v>-0.23999999999978172</v>
      </c>
      <c r="Q13" s="320"/>
      <c r="R13" s="314"/>
    </row>
    <row r="14" spans="1:18" ht="15.75" x14ac:dyDescent="0.25">
      <c r="A14" s="53" t="s">
        <v>51</v>
      </c>
      <c r="B14" s="52" t="s">
        <v>52</v>
      </c>
      <c r="C14" s="319">
        <f>+'2 Össz'!E13/1000</f>
        <v>690692.45600000001</v>
      </c>
      <c r="D14" s="24">
        <f t="shared" ref="D14:N14" si="7">+ROUND($C$14/12,0)</f>
        <v>57558</v>
      </c>
      <c r="E14" s="24">
        <f t="shared" si="7"/>
        <v>57558</v>
      </c>
      <c r="F14" s="24">
        <f t="shared" si="7"/>
        <v>57558</v>
      </c>
      <c r="G14" s="24">
        <f t="shared" si="7"/>
        <v>57558</v>
      </c>
      <c r="H14" s="24">
        <f t="shared" si="7"/>
        <v>57558</v>
      </c>
      <c r="I14" s="24">
        <f t="shared" si="7"/>
        <v>57558</v>
      </c>
      <c r="J14" s="24">
        <f t="shared" si="7"/>
        <v>57558</v>
      </c>
      <c r="K14" s="24">
        <f t="shared" si="7"/>
        <v>57558</v>
      </c>
      <c r="L14" s="24">
        <f t="shared" si="7"/>
        <v>57558</v>
      </c>
      <c r="M14" s="24">
        <f t="shared" si="7"/>
        <v>57558</v>
      </c>
      <c r="N14" s="24">
        <f t="shared" si="7"/>
        <v>57558</v>
      </c>
      <c r="O14" s="24">
        <f>+ROUND($C$14/12,0)-3.5</f>
        <v>57554.5</v>
      </c>
      <c r="P14" s="444">
        <f t="shared" si="1"/>
        <v>-4.3999999994412065E-2</v>
      </c>
      <c r="Q14" s="320"/>
      <c r="R14" s="314"/>
    </row>
    <row r="15" spans="1:18" ht="15.75" x14ac:dyDescent="0.25">
      <c r="A15" s="53" t="s">
        <v>53</v>
      </c>
      <c r="B15" s="52" t="s">
        <v>54</v>
      </c>
      <c r="C15" s="319">
        <f>+'2 Össz'!E14/1000</f>
        <v>51373.885000000002</v>
      </c>
      <c r="D15" s="24">
        <f t="shared" ref="D15:N15" si="8">+ROUND($C$15/12,0)</f>
        <v>4281</v>
      </c>
      <c r="E15" s="24">
        <f t="shared" si="8"/>
        <v>4281</v>
      </c>
      <c r="F15" s="24">
        <f t="shared" si="8"/>
        <v>4281</v>
      </c>
      <c r="G15" s="24">
        <f t="shared" si="8"/>
        <v>4281</v>
      </c>
      <c r="H15" s="24">
        <f t="shared" si="8"/>
        <v>4281</v>
      </c>
      <c r="I15" s="24">
        <f t="shared" si="8"/>
        <v>4281</v>
      </c>
      <c r="J15" s="24">
        <f t="shared" si="8"/>
        <v>4281</v>
      </c>
      <c r="K15" s="24">
        <f t="shared" si="8"/>
        <v>4281</v>
      </c>
      <c r="L15" s="24">
        <f t="shared" si="8"/>
        <v>4281</v>
      </c>
      <c r="M15" s="24">
        <f t="shared" si="8"/>
        <v>4281</v>
      </c>
      <c r="N15" s="24">
        <f t="shared" si="8"/>
        <v>4281</v>
      </c>
      <c r="O15" s="24">
        <f>+ROUND($C$15/12,0)+2</f>
        <v>4283</v>
      </c>
      <c r="P15" s="444">
        <f t="shared" si="1"/>
        <v>-0.11499999999796273</v>
      </c>
      <c r="Q15" s="320"/>
      <c r="R15" s="314"/>
    </row>
    <row r="16" spans="1:18" ht="15.75" x14ac:dyDescent="0.25">
      <c r="A16" s="53" t="s">
        <v>55</v>
      </c>
      <c r="B16" s="52" t="s">
        <v>56</v>
      </c>
      <c r="C16" s="319">
        <f>+'2 Össz'!E15/1000</f>
        <v>287294.99549</v>
      </c>
      <c r="D16" s="24">
        <f t="shared" ref="D16:N16" si="9">+ROUND($C$16/12,0)</f>
        <v>23941</v>
      </c>
      <c r="E16" s="24">
        <f t="shared" si="9"/>
        <v>23941</v>
      </c>
      <c r="F16" s="24">
        <f t="shared" si="9"/>
        <v>23941</v>
      </c>
      <c r="G16" s="24">
        <f t="shared" si="9"/>
        <v>23941</v>
      </c>
      <c r="H16" s="24">
        <f t="shared" si="9"/>
        <v>23941</v>
      </c>
      <c r="I16" s="24">
        <f t="shared" si="9"/>
        <v>23941</v>
      </c>
      <c r="J16" s="24">
        <f t="shared" si="9"/>
        <v>23941</v>
      </c>
      <c r="K16" s="24">
        <f t="shared" si="9"/>
        <v>23941</v>
      </c>
      <c r="L16" s="24">
        <f t="shared" si="9"/>
        <v>23941</v>
      </c>
      <c r="M16" s="24">
        <f t="shared" si="9"/>
        <v>23941</v>
      </c>
      <c r="N16" s="24">
        <f t="shared" si="9"/>
        <v>23941</v>
      </c>
      <c r="O16" s="24">
        <f>+ROUND($C$16/12,0)+3</f>
        <v>23944</v>
      </c>
      <c r="P16" s="444">
        <f t="shared" si="1"/>
        <v>-4.50999999884516E-3</v>
      </c>
      <c r="Q16" s="320"/>
      <c r="R16" s="314"/>
    </row>
    <row r="17" spans="1:18" s="324" customFormat="1" ht="15.75" x14ac:dyDescent="0.25">
      <c r="A17" s="90" t="s">
        <v>57</v>
      </c>
      <c r="B17" s="304" t="s">
        <v>58</v>
      </c>
      <c r="C17" s="92">
        <f t="shared" ref="C17:O17" si="10">SUM(C12:C16)</f>
        <v>1312877.4174899999</v>
      </c>
      <c r="D17" s="92">
        <f t="shared" si="10"/>
        <v>109407</v>
      </c>
      <c r="E17" s="92">
        <f t="shared" si="10"/>
        <v>109407</v>
      </c>
      <c r="F17" s="92">
        <f t="shared" si="10"/>
        <v>109407</v>
      </c>
      <c r="G17" s="92">
        <f t="shared" si="10"/>
        <v>109407</v>
      </c>
      <c r="H17" s="92">
        <f t="shared" si="10"/>
        <v>109407</v>
      </c>
      <c r="I17" s="92">
        <f t="shared" si="10"/>
        <v>109407</v>
      </c>
      <c r="J17" s="92">
        <f t="shared" si="10"/>
        <v>109407</v>
      </c>
      <c r="K17" s="92">
        <f t="shared" si="10"/>
        <v>109407</v>
      </c>
      <c r="L17" s="92">
        <f t="shared" si="10"/>
        <v>109407</v>
      </c>
      <c r="M17" s="92">
        <f t="shared" si="10"/>
        <v>109407</v>
      </c>
      <c r="N17" s="92">
        <f t="shared" si="10"/>
        <v>109407</v>
      </c>
      <c r="O17" s="92">
        <f t="shared" si="10"/>
        <v>109400.8</v>
      </c>
      <c r="P17" s="444">
        <f t="shared" si="1"/>
        <v>-0.38251000014133751</v>
      </c>
      <c r="Q17" s="322"/>
      <c r="R17" s="323"/>
    </row>
    <row r="18" spans="1:18" ht="15.75" x14ac:dyDescent="0.25">
      <c r="A18" s="57" t="s">
        <v>59</v>
      </c>
      <c r="B18" s="55" t="s">
        <v>60</v>
      </c>
      <c r="C18" s="319">
        <f>+'2 Össz'!E17/1000</f>
        <v>59800</v>
      </c>
      <c r="D18" s="24">
        <f t="shared" ref="D18:N18" si="11">+ROUND($C$18/12,0)</f>
        <v>4983</v>
      </c>
      <c r="E18" s="24">
        <f t="shared" si="11"/>
        <v>4983</v>
      </c>
      <c r="F18" s="24">
        <f t="shared" si="11"/>
        <v>4983</v>
      </c>
      <c r="G18" s="24">
        <f t="shared" si="11"/>
        <v>4983</v>
      </c>
      <c r="H18" s="24">
        <f t="shared" si="11"/>
        <v>4983</v>
      </c>
      <c r="I18" s="24">
        <f t="shared" si="11"/>
        <v>4983</v>
      </c>
      <c r="J18" s="24">
        <f t="shared" si="11"/>
        <v>4983</v>
      </c>
      <c r="K18" s="24">
        <f t="shared" si="11"/>
        <v>4983</v>
      </c>
      <c r="L18" s="24">
        <f t="shared" si="11"/>
        <v>4983</v>
      </c>
      <c r="M18" s="24">
        <f t="shared" si="11"/>
        <v>4983</v>
      </c>
      <c r="N18" s="24">
        <f t="shared" si="11"/>
        <v>4983</v>
      </c>
      <c r="O18" s="24">
        <f>+ROUND($C$18/12,0)+4</f>
        <v>4987</v>
      </c>
      <c r="P18" s="444">
        <f t="shared" si="1"/>
        <v>0</v>
      </c>
      <c r="Q18" s="320"/>
      <c r="R18" s="314"/>
    </row>
    <row r="19" spans="1:18" ht="15.75" x14ac:dyDescent="0.25">
      <c r="A19" s="58" t="s">
        <v>61</v>
      </c>
      <c r="B19" s="52" t="s">
        <v>62</v>
      </c>
      <c r="C19" s="319">
        <f>+'2 Össz'!E18/1000</f>
        <v>0</v>
      </c>
      <c r="D19" s="24">
        <f t="shared" ref="D19:O19" si="12">+ROUND($C$19/12,0)</f>
        <v>0</v>
      </c>
      <c r="E19" s="24">
        <f t="shared" si="12"/>
        <v>0</v>
      </c>
      <c r="F19" s="24">
        <f t="shared" si="12"/>
        <v>0</v>
      </c>
      <c r="G19" s="24">
        <f t="shared" si="12"/>
        <v>0</v>
      </c>
      <c r="H19" s="24">
        <f t="shared" si="12"/>
        <v>0</v>
      </c>
      <c r="I19" s="24">
        <f t="shared" si="12"/>
        <v>0</v>
      </c>
      <c r="J19" s="24">
        <f t="shared" si="12"/>
        <v>0</v>
      </c>
      <c r="K19" s="24">
        <f t="shared" si="12"/>
        <v>0</v>
      </c>
      <c r="L19" s="24">
        <f t="shared" si="12"/>
        <v>0</v>
      </c>
      <c r="M19" s="24">
        <f t="shared" si="12"/>
        <v>0</v>
      </c>
      <c r="N19" s="24">
        <f t="shared" si="12"/>
        <v>0</v>
      </c>
      <c r="O19" s="24">
        <f t="shared" si="12"/>
        <v>0</v>
      </c>
      <c r="P19" s="444">
        <f t="shared" si="1"/>
        <v>0</v>
      </c>
      <c r="Q19" s="320"/>
      <c r="R19" s="314"/>
    </row>
    <row r="20" spans="1:18" ht="15.75" x14ac:dyDescent="0.25">
      <c r="A20" s="58" t="s">
        <v>63</v>
      </c>
      <c r="B20" s="52" t="s">
        <v>64</v>
      </c>
      <c r="C20" s="319">
        <f>+'2 Össz'!E19/1000</f>
        <v>24682.5</v>
      </c>
      <c r="D20" s="24">
        <v>0</v>
      </c>
      <c r="E20" s="24">
        <v>22482.5</v>
      </c>
      <c r="F20" s="24">
        <v>0</v>
      </c>
      <c r="G20" s="24">
        <v>2200</v>
      </c>
      <c r="H20" s="24">
        <v>0</v>
      </c>
      <c r="I20" s="24">
        <v>0</v>
      </c>
      <c r="J20" s="24">
        <v>0</v>
      </c>
      <c r="K20" s="24">
        <v>0</v>
      </c>
      <c r="L20" s="24">
        <v>0</v>
      </c>
      <c r="M20" s="24">
        <v>0</v>
      </c>
      <c r="N20" s="24">
        <v>0</v>
      </c>
      <c r="O20" s="24">
        <v>0</v>
      </c>
      <c r="P20" s="444">
        <f t="shared" si="1"/>
        <v>0</v>
      </c>
      <c r="Q20" s="320"/>
      <c r="R20" s="314"/>
    </row>
    <row r="21" spans="1:18" ht="15.75" x14ac:dyDescent="0.25">
      <c r="A21" s="58" t="s">
        <v>65</v>
      </c>
      <c r="B21" s="52" t="s">
        <v>66</v>
      </c>
      <c r="C21" s="319">
        <f>+'2 Össz'!E20/1000</f>
        <v>0</v>
      </c>
      <c r="D21" s="24">
        <f t="shared" ref="D21:O21" si="13">+ROUND($C$21/12,0)</f>
        <v>0</v>
      </c>
      <c r="E21" s="24">
        <f t="shared" si="13"/>
        <v>0</v>
      </c>
      <c r="F21" s="24">
        <f t="shared" si="13"/>
        <v>0</v>
      </c>
      <c r="G21" s="24">
        <f t="shared" si="13"/>
        <v>0</v>
      </c>
      <c r="H21" s="24">
        <f t="shared" si="13"/>
        <v>0</v>
      </c>
      <c r="I21" s="24">
        <f t="shared" si="13"/>
        <v>0</v>
      </c>
      <c r="J21" s="24">
        <f t="shared" si="13"/>
        <v>0</v>
      </c>
      <c r="K21" s="24">
        <f t="shared" si="13"/>
        <v>0</v>
      </c>
      <c r="L21" s="24">
        <f t="shared" si="13"/>
        <v>0</v>
      </c>
      <c r="M21" s="24">
        <f t="shared" si="13"/>
        <v>0</v>
      </c>
      <c r="N21" s="24">
        <f t="shared" si="13"/>
        <v>0</v>
      </c>
      <c r="O21" s="24">
        <f t="shared" si="13"/>
        <v>0</v>
      </c>
      <c r="P21" s="444">
        <f t="shared" si="1"/>
        <v>0</v>
      </c>
      <c r="Q21" s="320"/>
      <c r="R21" s="314"/>
    </row>
    <row r="22" spans="1:18" ht="15.75" x14ac:dyDescent="0.25">
      <c r="A22" s="58" t="s">
        <v>67</v>
      </c>
      <c r="B22" s="52" t="s">
        <v>68</v>
      </c>
      <c r="C22" s="319">
        <f>+'2 Össz'!E21/1000</f>
        <v>0</v>
      </c>
      <c r="D22" s="24">
        <f t="shared" ref="D22:O22" si="14">+ROUND($C$22/12,0)</f>
        <v>0</v>
      </c>
      <c r="E22" s="24">
        <f t="shared" si="14"/>
        <v>0</v>
      </c>
      <c r="F22" s="24">
        <f t="shared" si="14"/>
        <v>0</v>
      </c>
      <c r="G22" s="24">
        <f t="shared" si="14"/>
        <v>0</v>
      </c>
      <c r="H22" s="24">
        <f t="shared" si="14"/>
        <v>0</v>
      </c>
      <c r="I22" s="24">
        <f t="shared" si="14"/>
        <v>0</v>
      </c>
      <c r="J22" s="24">
        <f t="shared" si="14"/>
        <v>0</v>
      </c>
      <c r="K22" s="24">
        <f t="shared" si="14"/>
        <v>0</v>
      </c>
      <c r="L22" s="24">
        <f t="shared" si="14"/>
        <v>0</v>
      </c>
      <c r="M22" s="24">
        <f t="shared" si="14"/>
        <v>0</v>
      </c>
      <c r="N22" s="24">
        <f t="shared" si="14"/>
        <v>0</v>
      </c>
      <c r="O22" s="24">
        <f t="shared" si="14"/>
        <v>0</v>
      </c>
      <c r="P22" s="444">
        <f t="shared" si="1"/>
        <v>0</v>
      </c>
      <c r="Q22" s="320"/>
      <c r="R22" s="314"/>
    </row>
    <row r="23" spans="1:18" ht="15.75" x14ac:dyDescent="0.25">
      <c r="A23" s="58" t="s">
        <v>618</v>
      </c>
      <c r="B23" s="52" t="s">
        <v>70</v>
      </c>
      <c r="C23" s="319">
        <f>+'2 Össz'!E22/1000</f>
        <v>0</v>
      </c>
      <c r="D23" s="24">
        <f t="shared" ref="D23:O23" si="15">+ROUND($C$23/12,0)</f>
        <v>0</v>
      </c>
      <c r="E23" s="24">
        <f t="shared" si="15"/>
        <v>0</v>
      </c>
      <c r="F23" s="24">
        <f t="shared" si="15"/>
        <v>0</v>
      </c>
      <c r="G23" s="24">
        <f t="shared" si="15"/>
        <v>0</v>
      </c>
      <c r="H23" s="24">
        <f t="shared" si="15"/>
        <v>0</v>
      </c>
      <c r="I23" s="24">
        <f t="shared" si="15"/>
        <v>0</v>
      </c>
      <c r="J23" s="24">
        <f t="shared" si="15"/>
        <v>0</v>
      </c>
      <c r="K23" s="24">
        <f t="shared" si="15"/>
        <v>0</v>
      </c>
      <c r="L23" s="24">
        <f t="shared" si="15"/>
        <v>0</v>
      </c>
      <c r="M23" s="24">
        <f t="shared" si="15"/>
        <v>0</v>
      </c>
      <c r="N23" s="24">
        <f t="shared" si="15"/>
        <v>0</v>
      </c>
      <c r="O23" s="24">
        <f t="shared" si="15"/>
        <v>0</v>
      </c>
      <c r="P23" s="444">
        <f t="shared" si="1"/>
        <v>0</v>
      </c>
      <c r="Q23" s="320"/>
      <c r="R23" s="314"/>
    </row>
    <row r="24" spans="1:18" ht="15.75" x14ac:dyDescent="0.25">
      <c r="A24" s="58" t="s">
        <v>71</v>
      </c>
      <c r="B24" s="52" t="s">
        <v>72</v>
      </c>
      <c r="C24" s="319">
        <f>+'2 Össz'!E23/1000</f>
        <v>16676.992999999999</v>
      </c>
      <c r="D24" s="24">
        <f t="shared" ref="D24:N24" si="16">+ROUND($C$24/12,0)</f>
        <v>1390</v>
      </c>
      <c r="E24" s="24">
        <f t="shared" si="16"/>
        <v>1390</v>
      </c>
      <c r="F24" s="24">
        <f t="shared" si="16"/>
        <v>1390</v>
      </c>
      <c r="G24" s="24">
        <f t="shared" si="16"/>
        <v>1390</v>
      </c>
      <c r="H24" s="24">
        <f t="shared" si="16"/>
        <v>1390</v>
      </c>
      <c r="I24" s="24">
        <f t="shared" si="16"/>
        <v>1390</v>
      </c>
      <c r="J24" s="24">
        <f t="shared" si="16"/>
        <v>1390</v>
      </c>
      <c r="K24" s="24">
        <f t="shared" si="16"/>
        <v>1390</v>
      </c>
      <c r="L24" s="24">
        <f t="shared" si="16"/>
        <v>1390</v>
      </c>
      <c r="M24" s="24">
        <f t="shared" si="16"/>
        <v>1390</v>
      </c>
      <c r="N24" s="24">
        <f t="shared" si="16"/>
        <v>1390</v>
      </c>
      <c r="O24" s="24">
        <f>+ROUND($C$24/12,0)-3</f>
        <v>1387</v>
      </c>
      <c r="P24" s="444">
        <f t="shared" si="1"/>
        <v>-7.0000000014260877E-3</v>
      </c>
      <c r="Q24" s="320"/>
      <c r="R24" s="314"/>
    </row>
    <row r="25" spans="1:18" ht="15.75" x14ac:dyDescent="0.25">
      <c r="A25" s="58" t="s">
        <v>73</v>
      </c>
      <c r="B25" s="52" t="s">
        <v>74</v>
      </c>
      <c r="C25" s="319">
        <f>+'2 Össz'!E24/1000</f>
        <v>0</v>
      </c>
      <c r="D25" s="24">
        <f t="shared" ref="D25:O25" si="17">+ROUND($C$25/12,0)</f>
        <v>0</v>
      </c>
      <c r="E25" s="24">
        <f t="shared" si="17"/>
        <v>0</v>
      </c>
      <c r="F25" s="24">
        <f t="shared" si="17"/>
        <v>0</v>
      </c>
      <c r="G25" s="24">
        <f t="shared" si="17"/>
        <v>0</v>
      </c>
      <c r="H25" s="24">
        <f t="shared" si="17"/>
        <v>0</v>
      </c>
      <c r="I25" s="24">
        <f t="shared" si="17"/>
        <v>0</v>
      </c>
      <c r="J25" s="24">
        <f t="shared" si="17"/>
        <v>0</v>
      </c>
      <c r="K25" s="24">
        <f t="shared" si="17"/>
        <v>0</v>
      </c>
      <c r="L25" s="24">
        <f t="shared" si="17"/>
        <v>0</v>
      </c>
      <c r="M25" s="24">
        <f t="shared" si="17"/>
        <v>0</v>
      </c>
      <c r="N25" s="24">
        <f t="shared" si="17"/>
        <v>0</v>
      </c>
      <c r="O25" s="24">
        <f t="shared" si="17"/>
        <v>0</v>
      </c>
      <c r="P25" s="444">
        <f t="shared" si="1"/>
        <v>0</v>
      </c>
      <c r="Q25" s="320"/>
      <c r="R25" s="314"/>
    </row>
    <row r="26" spans="1:18" ht="15.75" x14ac:dyDescent="0.25">
      <c r="A26" s="58" t="s">
        <v>75</v>
      </c>
      <c r="B26" s="52" t="s">
        <v>76</v>
      </c>
      <c r="C26" s="319">
        <f>+'2 Össz'!E25/1000</f>
        <v>0</v>
      </c>
      <c r="D26" s="24">
        <f t="shared" ref="D26:O26" si="18">+ROUND($C$26/12,0)</f>
        <v>0</v>
      </c>
      <c r="E26" s="24">
        <f t="shared" si="18"/>
        <v>0</v>
      </c>
      <c r="F26" s="24">
        <f t="shared" si="18"/>
        <v>0</v>
      </c>
      <c r="G26" s="24">
        <f t="shared" si="18"/>
        <v>0</v>
      </c>
      <c r="H26" s="24">
        <f t="shared" si="18"/>
        <v>0</v>
      </c>
      <c r="I26" s="24">
        <f t="shared" si="18"/>
        <v>0</v>
      </c>
      <c r="J26" s="24">
        <f t="shared" si="18"/>
        <v>0</v>
      </c>
      <c r="K26" s="24">
        <f t="shared" si="18"/>
        <v>0</v>
      </c>
      <c r="L26" s="24">
        <f t="shared" si="18"/>
        <v>0</v>
      </c>
      <c r="M26" s="24">
        <f t="shared" si="18"/>
        <v>0</v>
      </c>
      <c r="N26" s="24">
        <f t="shared" si="18"/>
        <v>0</v>
      </c>
      <c r="O26" s="24">
        <f t="shared" si="18"/>
        <v>0</v>
      </c>
      <c r="P26" s="444">
        <f t="shared" si="1"/>
        <v>0</v>
      </c>
      <c r="Q26" s="320"/>
      <c r="R26" s="314"/>
    </row>
    <row r="27" spans="1:18" ht="15.75" x14ac:dyDescent="0.25">
      <c r="A27" s="58" t="s">
        <v>77</v>
      </c>
      <c r="B27" s="52" t="s">
        <v>78</v>
      </c>
      <c r="C27" s="319">
        <f>+'2 Össz'!E26/1000</f>
        <v>0</v>
      </c>
      <c r="D27" s="24">
        <f t="shared" ref="D27:O27" si="19">+ROUND($C$27/12,0)</f>
        <v>0</v>
      </c>
      <c r="E27" s="24">
        <f t="shared" si="19"/>
        <v>0</v>
      </c>
      <c r="F27" s="24">
        <f t="shared" si="19"/>
        <v>0</v>
      </c>
      <c r="G27" s="24">
        <f t="shared" si="19"/>
        <v>0</v>
      </c>
      <c r="H27" s="24">
        <f t="shared" si="19"/>
        <v>0</v>
      </c>
      <c r="I27" s="24">
        <f t="shared" si="19"/>
        <v>0</v>
      </c>
      <c r="J27" s="24">
        <f t="shared" si="19"/>
        <v>0</v>
      </c>
      <c r="K27" s="24">
        <f t="shared" si="19"/>
        <v>0</v>
      </c>
      <c r="L27" s="24">
        <f t="shared" si="19"/>
        <v>0</v>
      </c>
      <c r="M27" s="24">
        <f t="shared" si="19"/>
        <v>0</v>
      </c>
      <c r="N27" s="24">
        <f t="shared" si="19"/>
        <v>0</v>
      </c>
      <c r="O27" s="24">
        <f t="shared" si="19"/>
        <v>0</v>
      </c>
      <c r="P27" s="444">
        <f t="shared" si="1"/>
        <v>0</v>
      </c>
      <c r="Q27" s="320"/>
      <c r="R27" s="314"/>
    </row>
    <row r="28" spans="1:18" ht="15.75" x14ac:dyDescent="0.25">
      <c r="A28" s="59" t="s">
        <v>79</v>
      </c>
      <c r="B28" s="52" t="s">
        <v>80</v>
      </c>
      <c r="C28" s="319">
        <f>+'2 Össz'!E27/1000</f>
        <v>0</v>
      </c>
      <c r="D28" s="24">
        <f t="shared" ref="D28:O29" si="20">+ROUND($C$28/12,0)</f>
        <v>0</v>
      </c>
      <c r="E28" s="24">
        <f t="shared" si="20"/>
        <v>0</v>
      </c>
      <c r="F28" s="24">
        <f t="shared" si="20"/>
        <v>0</v>
      </c>
      <c r="G28" s="24">
        <f t="shared" si="20"/>
        <v>0</v>
      </c>
      <c r="H28" s="24">
        <f t="shared" si="20"/>
        <v>0</v>
      </c>
      <c r="I28" s="24">
        <f t="shared" si="20"/>
        <v>0</v>
      </c>
      <c r="J28" s="24">
        <f t="shared" si="20"/>
        <v>0</v>
      </c>
      <c r="K28" s="24">
        <f t="shared" si="20"/>
        <v>0</v>
      </c>
      <c r="L28" s="24">
        <f t="shared" si="20"/>
        <v>0</v>
      </c>
      <c r="M28" s="24">
        <f t="shared" si="20"/>
        <v>0</v>
      </c>
      <c r="N28" s="24">
        <f t="shared" si="20"/>
        <v>0</v>
      </c>
      <c r="O28" s="24">
        <f t="shared" si="20"/>
        <v>0</v>
      </c>
      <c r="P28" s="444">
        <f t="shared" si="1"/>
        <v>0</v>
      </c>
      <c r="Q28" s="320"/>
      <c r="R28" s="314"/>
    </row>
    <row r="29" spans="1:18" ht="15.75" x14ac:dyDescent="0.25">
      <c r="A29" s="58" t="s">
        <v>81</v>
      </c>
      <c r="B29" s="52" t="s">
        <v>82</v>
      </c>
      <c r="C29" s="319">
        <f>+'2 Össz'!E28/1000</f>
        <v>0</v>
      </c>
      <c r="D29" s="24">
        <f t="shared" si="20"/>
        <v>0</v>
      </c>
      <c r="E29" s="24">
        <f t="shared" si="20"/>
        <v>0</v>
      </c>
      <c r="F29" s="24">
        <f t="shared" si="20"/>
        <v>0</v>
      </c>
      <c r="G29" s="24">
        <f t="shared" si="20"/>
        <v>0</v>
      </c>
      <c r="H29" s="24">
        <f t="shared" si="20"/>
        <v>0</v>
      </c>
      <c r="I29" s="24">
        <f t="shared" si="20"/>
        <v>0</v>
      </c>
      <c r="J29" s="24">
        <f t="shared" si="20"/>
        <v>0</v>
      </c>
      <c r="K29" s="24">
        <f t="shared" si="20"/>
        <v>0</v>
      </c>
      <c r="L29" s="24">
        <f t="shared" si="20"/>
        <v>0</v>
      </c>
      <c r="M29" s="24">
        <f t="shared" si="20"/>
        <v>0</v>
      </c>
      <c r="N29" s="24">
        <f t="shared" si="20"/>
        <v>0</v>
      </c>
      <c r="O29" s="24">
        <f t="shared" si="20"/>
        <v>0</v>
      </c>
      <c r="P29" s="444">
        <f t="shared" si="1"/>
        <v>0</v>
      </c>
      <c r="Q29" s="320"/>
      <c r="R29" s="314"/>
    </row>
    <row r="30" spans="1:18" ht="15.75" x14ac:dyDescent="0.25">
      <c r="A30" s="58" t="s">
        <v>83</v>
      </c>
      <c r="B30" s="52" t="s">
        <v>84</v>
      </c>
      <c r="C30" s="319">
        <f>+'2 Össz'!E29/1000</f>
        <v>49380</v>
      </c>
      <c r="D30" s="24">
        <f t="shared" ref="D30:N30" si="21">+ROUND($C$30/12,0)</f>
        <v>4115</v>
      </c>
      <c r="E30" s="24">
        <f t="shared" si="21"/>
        <v>4115</v>
      </c>
      <c r="F30" s="24">
        <f t="shared" si="21"/>
        <v>4115</v>
      </c>
      <c r="G30" s="24">
        <f t="shared" si="21"/>
        <v>4115</v>
      </c>
      <c r="H30" s="24">
        <f t="shared" si="21"/>
        <v>4115</v>
      </c>
      <c r="I30" s="24">
        <f t="shared" si="21"/>
        <v>4115</v>
      </c>
      <c r="J30" s="24">
        <f t="shared" si="21"/>
        <v>4115</v>
      </c>
      <c r="K30" s="24">
        <f t="shared" si="21"/>
        <v>4115</v>
      </c>
      <c r="L30" s="24">
        <f t="shared" si="21"/>
        <v>4115</v>
      </c>
      <c r="M30" s="24">
        <f t="shared" si="21"/>
        <v>4115</v>
      </c>
      <c r="N30" s="24">
        <f t="shared" si="21"/>
        <v>4115</v>
      </c>
      <c r="O30" s="24">
        <f>+ROUND($C$30/12,0)</f>
        <v>4115</v>
      </c>
      <c r="P30" s="444">
        <f t="shared" si="1"/>
        <v>0</v>
      </c>
      <c r="Q30" s="320"/>
      <c r="R30" s="314"/>
    </row>
    <row r="31" spans="1:18" ht="15.75" x14ac:dyDescent="0.25">
      <c r="A31" s="59" t="s">
        <v>85</v>
      </c>
      <c r="B31" s="52" t="s">
        <v>86</v>
      </c>
      <c r="C31" s="319">
        <f>+'2 Össz'!E30/1000</f>
        <v>15000</v>
      </c>
      <c r="D31" s="24"/>
      <c r="E31" s="24"/>
      <c r="F31" s="24"/>
      <c r="G31" s="24"/>
      <c r="H31" s="24">
        <v>5000</v>
      </c>
      <c r="I31" s="24"/>
      <c r="J31" s="24"/>
      <c r="K31" s="24">
        <v>5000</v>
      </c>
      <c r="L31" s="24"/>
      <c r="M31" s="24">
        <v>5000</v>
      </c>
      <c r="N31" s="24"/>
      <c r="O31" s="24"/>
      <c r="P31" s="444">
        <f t="shared" si="1"/>
        <v>0</v>
      </c>
      <c r="Q31" s="320"/>
      <c r="R31" s="314"/>
    </row>
    <row r="32" spans="1:18" ht="15.75" x14ac:dyDescent="0.25">
      <c r="A32" s="59" t="s">
        <v>87</v>
      </c>
      <c r="B32" s="52" t="s">
        <v>86</v>
      </c>
      <c r="C32" s="319">
        <f>+'2 Össz'!E31/1000</f>
        <v>14300</v>
      </c>
      <c r="D32" s="24"/>
      <c r="E32" s="24"/>
      <c r="F32" s="24"/>
      <c r="G32" s="24">
        <v>1000</v>
      </c>
      <c r="H32" s="24"/>
      <c r="I32" s="24">
        <v>1000</v>
      </c>
      <c r="J32" s="24"/>
      <c r="K32" s="24"/>
      <c r="L32" s="24"/>
      <c r="M32" s="24">
        <v>1000</v>
      </c>
      <c r="N32" s="24">
        <v>10000</v>
      </c>
      <c r="O32" s="24">
        <v>1300</v>
      </c>
      <c r="P32" s="444">
        <f t="shared" si="1"/>
        <v>0</v>
      </c>
      <c r="Q32" s="320"/>
      <c r="R32" s="314"/>
    </row>
    <row r="33" spans="1:18" s="324" customFormat="1" ht="15.75" x14ac:dyDescent="0.25">
      <c r="A33" s="137" t="s">
        <v>88</v>
      </c>
      <c r="B33" s="304" t="s">
        <v>89</v>
      </c>
      <c r="C33" s="321">
        <f t="shared" ref="C33:O33" si="22">SUM(C19:C32)</f>
        <v>120039.493</v>
      </c>
      <c r="D33" s="92">
        <f t="shared" si="22"/>
        <v>5505</v>
      </c>
      <c r="E33" s="92">
        <f t="shared" si="22"/>
        <v>27987.5</v>
      </c>
      <c r="F33" s="92">
        <f t="shared" si="22"/>
        <v>5505</v>
      </c>
      <c r="G33" s="92">
        <f t="shared" si="22"/>
        <v>8705</v>
      </c>
      <c r="H33" s="92">
        <f t="shared" si="22"/>
        <v>10505</v>
      </c>
      <c r="I33" s="92">
        <f t="shared" si="22"/>
        <v>6505</v>
      </c>
      <c r="J33" s="92">
        <f t="shared" si="22"/>
        <v>5505</v>
      </c>
      <c r="K33" s="92">
        <f t="shared" si="22"/>
        <v>10505</v>
      </c>
      <c r="L33" s="92">
        <f t="shared" si="22"/>
        <v>5505</v>
      </c>
      <c r="M33" s="92">
        <f t="shared" si="22"/>
        <v>11505</v>
      </c>
      <c r="N33" s="92">
        <f t="shared" si="22"/>
        <v>15505</v>
      </c>
      <c r="O33" s="92">
        <f t="shared" si="22"/>
        <v>6802</v>
      </c>
      <c r="P33" s="444">
        <f t="shared" si="1"/>
        <v>-6.9999999977881089E-3</v>
      </c>
      <c r="Q33" s="322"/>
      <c r="R33" s="323"/>
    </row>
    <row r="34" spans="1:18" s="324" customFormat="1" ht="15.75" x14ac:dyDescent="0.25">
      <c r="A34" s="305" t="s">
        <v>90</v>
      </c>
      <c r="B34" s="304" t="s">
        <v>91</v>
      </c>
      <c r="C34" s="321">
        <f t="shared" ref="C34:O34" si="23">+C33+C18+C17+C11+C10</f>
        <v>3574818.98349</v>
      </c>
      <c r="D34" s="92">
        <f t="shared" si="23"/>
        <v>293404</v>
      </c>
      <c r="E34" s="92">
        <f t="shared" si="23"/>
        <v>315886.5</v>
      </c>
      <c r="F34" s="92">
        <f t="shared" si="23"/>
        <v>293404</v>
      </c>
      <c r="G34" s="92">
        <f t="shared" si="23"/>
        <v>296604</v>
      </c>
      <c r="H34" s="92">
        <f t="shared" si="23"/>
        <v>298404</v>
      </c>
      <c r="I34" s="92">
        <f t="shared" si="23"/>
        <v>294404</v>
      </c>
      <c r="J34" s="92">
        <f t="shared" si="23"/>
        <v>293404</v>
      </c>
      <c r="K34" s="92">
        <f t="shared" si="23"/>
        <v>298404</v>
      </c>
      <c r="L34" s="92">
        <f t="shared" si="23"/>
        <v>293404</v>
      </c>
      <c r="M34" s="92">
        <f t="shared" si="23"/>
        <v>299404</v>
      </c>
      <c r="N34" s="92">
        <f t="shared" si="23"/>
        <v>303404</v>
      </c>
      <c r="O34" s="92">
        <f t="shared" si="23"/>
        <v>294692.8</v>
      </c>
      <c r="P34" s="444">
        <f t="shared" si="1"/>
        <v>-0.31650999980047345</v>
      </c>
      <c r="Q34" s="320"/>
      <c r="R34" s="323"/>
    </row>
    <row r="35" spans="1:18" ht="15.75" x14ac:dyDescent="0.25">
      <c r="A35" s="63" t="s">
        <v>92</v>
      </c>
      <c r="B35" s="52" t="s">
        <v>93</v>
      </c>
      <c r="C35" s="319">
        <f>+'2 Össz'!E34/1000</f>
        <v>200</v>
      </c>
      <c r="D35" s="24"/>
      <c r="E35" s="24"/>
      <c r="F35" s="24"/>
      <c r="G35" s="24">
        <v>200</v>
      </c>
      <c r="H35" s="24"/>
      <c r="I35" s="24"/>
      <c r="J35" s="24"/>
      <c r="K35" s="24"/>
      <c r="L35" s="24"/>
      <c r="M35" s="24"/>
      <c r="N35" s="24"/>
      <c r="O35" s="24"/>
      <c r="P35" s="444">
        <f t="shared" si="1"/>
        <v>0</v>
      </c>
      <c r="Q35" s="320"/>
      <c r="R35" s="314"/>
    </row>
    <row r="36" spans="1:18" ht="15.75" x14ac:dyDescent="0.25">
      <c r="A36" s="63" t="s">
        <v>94</v>
      </c>
      <c r="B36" s="52" t="s">
        <v>95</v>
      </c>
      <c r="C36" s="319">
        <f>+'2 Össz'!E35/1000</f>
        <v>16929.133999999998</v>
      </c>
      <c r="D36" s="24"/>
      <c r="E36" s="24"/>
      <c r="F36" s="24"/>
      <c r="G36" s="24">
        <v>16929</v>
      </c>
      <c r="H36" s="24"/>
      <c r="I36" s="24"/>
      <c r="J36" s="24"/>
      <c r="K36" s="24"/>
      <c r="L36" s="24"/>
      <c r="M36" s="24"/>
      <c r="N36" s="24"/>
      <c r="O36" s="24"/>
      <c r="P36" s="444">
        <f t="shared" si="1"/>
        <v>0.13399999999819556</v>
      </c>
      <c r="Q36" s="320"/>
      <c r="R36" s="314"/>
    </row>
    <row r="37" spans="1:18" ht="15.75" x14ac:dyDescent="0.25">
      <c r="A37" s="63" t="s">
        <v>96</v>
      </c>
      <c r="B37" s="52" t="s">
        <v>97</v>
      </c>
      <c r="C37" s="319">
        <f>+'2 Össz'!E36/1000</f>
        <v>2637.7710000000002</v>
      </c>
      <c r="D37" s="24"/>
      <c r="E37" s="24"/>
      <c r="F37" s="24"/>
      <c r="G37" s="24"/>
      <c r="H37" s="24">
        <v>2638</v>
      </c>
      <c r="I37" s="24"/>
      <c r="J37" s="24"/>
      <c r="K37" s="24"/>
      <c r="L37" s="24"/>
      <c r="M37" s="24"/>
      <c r="N37" s="24"/>
      <c r="O37" s="24"/>
      <c r="P37" s="444">
        <f t="shared" si="1"/>
        <v>-0.22899999999981446</v>
      </c>
      <c r="Q37" s="320"/>
      <c r="R37" s="314"/>
    </row>
    <row r="38" spans="1:18" ht="15.75" x14ac:dyDescent="0.25">
      <c r="A38" s="63" t="s">
        <v>98</v>
      </c>
      <c r="B38" s="52" t="s">
        <v>99</v>
      </c>
      <c r="C38" s="319">
        <f>+'2 Össz'!E37/1000</f>
        <v>159318.359</v>
      </c>
      <c r="D38" s="24"/>
      <c r="E38" s="24"/>
      <c r="F38" s="24">
        <v>5600</v>
      </c>
      <c r="G38" s="24">
        <v>6496</v>
      </c>
      <c r="H38" s="24">
        <v>682</v>
      </c>
      <c r="I38" s="24">
        <v>8698</v>
      </c>
      <c r="J38" s="24">
        <v>7134</v>
      </c>
      <c r="K38" s="24">
        <v>34270</v>
      </c>
      <c r="L38" s="24"/>
      <c r="M38" s="24"/>
      <c r="N38" s="24">
        <v>96438</v>
      </c>
      <c r="O38" s="24"/>
      <c r="P38" s="444">
        <f t="shared" si="1"/>
        <v>0.35899999999674037</v>
      </c>
      <c r="Q38" s="320"/>
      <c r="R38" s="314"/>
    </row>
    <row r="39" spans="1:18" ht="15.75" x14ac:dyDescent="0.25">
      <c r="A39" s="64" t="s">
        <v>100</v>
      </c>
      <c r="B39" s="52" t="s">
        <v>101</v>
      </c>
      <c r="C39" s="319">
        <f>+'2 Össz'!E38/1000</f>
        <v>0</v>
      </c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444">
        <f t="shared" si="1"/>
        <v>0</v>
      </c>
      <c r="Q39" s="320"/>
      <c r="R39" s="314"/>
    </row>
    <row r="40" spans="1:18" ht="15.75" x14ac:dyDescent="0.25">
      <c r="A40" s="64" t="s">
        <v>102</v>
      </c>
      <c r="B40" s="52" t="s">
        <v>103</v>
      </c>
      <c r="C40" s="319">
        <f>+'2 Össz'!E39/1000</f>
        <v>0</v>
      </c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444">
        <f t="shared" ref="P40:P71" si="24">+C40-SUM(D40:O40)</f>
        <v>0</v>
      </c>
      <c r="Q40" s="320"/>
      <c r="R40" s="314"/>
    </row>
    <row r="41" spans="1:18" ht="15.75" x14ac:dyDescent="0.25">
      <c r="A41" s="64" t="s">
        <v>104</v>
      </c>
      <c r="B41" s="52" t="s">
        <v>105</v>
      </c>
      <c r="C41" s="319">
        <f>+'2 Össz'!E40/1000</f>
        <v>47866.002</v>
      </c>
      <c r="D41" s="24">
        <f t="shared" ref="D41:K41" si="25">ROUND(SUM(D35:D40)*0.27,0)</f>
        <v>0</v>
      </c>
      <c r="E41" s="24">
        <f t="shared" si="25"/>
        <v>0</v>
      </c>
      <c r="F41" s="24">
        <f t="shared" si="25"/>
        <v>1512</v>
      </c>
      <c r="G41" s="24">
        <f t="shared" si="25"/>
        <v>6379</v>
      </c>
      <c r="H41" s="24">
        <f t="shared" si="25"/>
        <v>896</v>
      </c>
      <c r="I41" s="24">
        <f t="shared" si="25"/>
        <v>2348</v>
      </c>
      <c r="J41" s="24">
        <f t="shared" si="25"/>
        <v>1926</v>
      </c>
      <c r="K41" s="24">
        <f t="shared" si="25"/>
        <v>9253</v>
      </c>
      <c r="L41" s="24">
        <f>ROUND(SUM(L35:L40)*0.27,0)</f>
        <v>0</v>
      </c>
      <c r="M41" s="24">
        <f>ROUND(SUM(M35:M40)*0.27,0)</f>
        <v>0</v>
      </c>
      <c r="N41" s="24">
        <f>ROUND(SUM(N35:N40)*0.27,0)-486</f>
        <v>25552</v>
      </c>
      <c r="O41" s="24">
        <f>ROUND(SUM(O35:O40)*0.27,0)</f>
        <v>0</v>
      </c>
      <c r="P41" s="444">
        <f t="shared" si="24"/>
        <v>2.0000000004074536E-3</v>
      </c>
      <c r="Q41" s="320"/>
      <c r="R41" s="314"/>
    </row>
    <row r="42" spans="1:18" s="324" customFormat="1" ht="15.75" x14ac:dyDescent="0.25">
      <c r="A42" s="91" t="s">
        <v>106</v>
      </c>
      <c r="B42" s="304" t="s">
        <v>107</v>
      </c>
      <c r="C42" s="321">
        <f t="shared" ref="C42:O42" si="26">SUM(C35:C41)</f>
        <v>226951.266</v>
      </c>
      <c r="D42" s="92">
        <f t="shared" si="26"/>
        <v>0</v>
      </c>
      <c r="E42" s="92">
        <f t="shared" si="26"/>
        <v>0</v>
      </c>
      <c r="F42" s="92">
        <f t="shared" si="26"/>
        <v>7112</v>
      </c>
      <c r="G42" s="92">
        <f t="shared" si="26"/>
        <v>30004</v>
      </c>
      <c r="H42" s="92">
        <f t="shared" si="26"/>
        <v>4216</v>
      </c>
      <c r="I42" s="92">
        <f t="shared" si="26"/>
        <v>11046</v>
      </c>
      <c r="J42" s="92">
        <f t="shared" si="26"/>
        <v>9060</v>
      </c>
      <c r="K42" s="92">
        <f t="shared" si="26"/>
        <v>43523</v>
      </c>
      <c r="L42" s="92">
        <f t="shared" si="26"/>
        <v>0</v>
      </c>
      <c r="M42" s="92">
        <f t="shared" si="26"/>
        <v>0</v>
      </c>
      <c r="N42" s="92">
        <f t="shared" si="26"/>
        <v>121990</v>
      </c>
      <c r="O42" s="92">
        <f t="shared" si="26"/>
        <v>0</v>
      </c>
      <c r="P42" s="444">
        <f t="shared" si="24"/>
        <v>0.26600000000325963</v>
      </c>
      <c r="Q42" s="320"/>
      <c r="R42" s="323"/>
    </row>
    <row r="43" spans="1:18" ht="15.75" x14ac:dyDescent="0.25">
      <c r="A43" s="66" t="s">
        <v>108</v>
      </c>
      <c r="B43" s="52" t="s">
        <v>109</v>
      </c>
      <c r="C43" s="319">
        <f>+'2 Össz'!E42/1000</f>
        <v>2009396.2560000001</v>
      </c>
      <c r="D43" s="24"/>
      <c r="E43" s="24"/>
      <c r="F43" s="24">
        <f>8505</f>
        <v>8505</v>
      </c>
      <c r="G43" s="24">
        <v>105000</v>
      </c>
      <c r="H43" s="24">
        <v>128916</v>
      </c>
      <c r="I43" s="24">
        <v>156220</v>
      </c>
      <c r="J43" s="24">
        <v>93996</v>
      </c>
      <c r="K43" s="24">
        <f>244627+144636</f>
        <v>389263</v>
      </c>
      <c r="L43" s="24">
        <f>218794+118106</f>
        <v>336900</v>
      </c>
      <c r="M43" s="24">
        <v>232455</v>
      </c>
      <c r="N43" s="24">
        <v>240576</v>
      </c>
      <c r="O43" s="24">
        <v>317565.2</v>
      </c>
      <c r="P43" s="444">
        <f t="shared" si="24"/>
        <v>5.6000000098720193E-2</v>
      </c>
      <c r="Q43" s="320"/>
      <c r="R43" s="314"/>
    </row>
    <row r="44" spans="1:18" ht="15.75" x14ac:dyDescent="0.25">
      <c r="A44" s="66" t="s">
        <v>110</v>
      </c>
      <c r="B44" s="52" t="s">
        <v>111</v>
      </c>
      <c r="C44" s="319">
        <f>+'2 Össz'!E43/1000</f>
        <v>0</v>
      </c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444">
        <f t="shared" si="24"/>
        <v>0</v>
      </c>
      <c r="Q44" s="320"/>
      <c r="R44" s="314"/>
    </row>
    <row r="45" spans="1:18" ht="15.75" x14ac:dyDescent="0.25">
      <c r="A45" s="66" t="s">
        <v>112</v>
      </c>
      <c r="B45" s="52" t="s">
        <v>113</v>
      </c>
      <c r="C45" s="319">
        <f>+'2 Össz'!E44/1000</f>
        <v>20000</v>
      </c>
      <c r="D45" s="24"/>
      <c r="E45" s="24"/>
      <c r="F45" s="24"/>
      <c r="G45" s="24">
        <v>5000</v>
      </c>
      <c r="H45" s="24" t="s">
        <v>418</v>
      </c>
      <c r="I45" s="24"/>
      <c r="J45" s="24">
        <v>5000</v>
      </c>
      <c r="K45" s="24"/>
      <c r="L45" s="24">
        <v>5000</v>
      </c>
      <c r="M45" s="24" t="s">
        <v>418</v>
      </c>
      <c r="N45" s="24"/>
      <c r="O45" s="24">
        <v>5000</v>
      </c>
      <c r="P45" s="444">
        <f t="shared" si="24"/>
        <v>0</v>
      </c>
      <c r="Q45" s="320"/>
      <c r="R45" s="314"/>
    </row>
    <row r="46" spans="1:18" ht="15.75" x14ac:dyDescent="0.25">
      <c r="A46" s="66" t="s">
        <v>114</v>
      </c>
      <c r="B46" s="52" t="s">
        <v>115</v>
      </c>
      <c r="C46" s="319">
        <f>+'2 Össz'!E45/1000</f>
        <v>547089.12699999998</v>
      </c>
      <c r="D46" s="24">
        <f t="shared" ref="D46:M46" si="27">ROUND(SUM(D43:D45)*0.27,0)</f>
        <v>0</v>
      </c>
      <c r="E46" s="24">
        <f t="shared" si="27"/>
        <v>0</v>
      </c>
      <c r="F46" s="24">
        <f t="shared" si="27"/>
        <v>2296</v>
      </c>
      <c r="G46" s="24">
        <f t="shared" si="27"/>
        <v>29700</v>
      </c>
      <c r="H46" s="24">
        <f t="shared" si="27"/>
        <v>34807</v>
      </c>
      <c r="I46" s="24">
        <f t="shared" si="27"/>
        <v>42179</v>
      </c>
      <c r="J46" s="24">
        <f t="shared" si="27"/>
        <v>26729</v>
      </c>
      <c r="K46" s="24">
        <f>ROUND(SUM(K43:K45)*0.27,0)-847</f>
        <v>104254</v>
      </c>
      <c r="L46" s="24">
        <f t="shared" si="27"/>
        <v>92313</v>
      </c>
      <c r="M46" s="24">
        <f t="shared" si="27"/>
        <v>62763</v>
      </c>
      <c r="N46" s="24">
        <f>ROUND(SUM(N43:N45)*0.27,0)</f>
        <v>64956</v>
      </c>
      <c r="O46" s="24">
        <f>ROUND(SUM(O43:O45)*0.27,0)-1</f>
        <v>87092</v>
      </c>
      <c r="P46" s="444">
        <f t="shared" si="24"/>
        <v>0.12699999997857958</v>
      </c>
      <c r="Q46" s="320"/>
      <c r="R46" s="314"/>
    </row>
    <row r="47" spans="1:18" s="324" customFormat="1" ht="15.75" x14ac:dyDescent="0.25">
      <c r="A47" s="90" t="s">
        <v>116</v>
      </c>
      <c r="B47" s="304" t="s">
        <v>117</v>
      </c>
      <c r="C47" s="321">
        <f t="shared" ref="C47:O47" si="28">SUM(C43:C46)</f>
        <v>2576485.3829999999</v>
      </c>
      <c r="D47" s="92">
        <f t="shared" si="28"/>
        <v>0</v>
      </c>
      <c r="E47" s="92">
        <f t="shared" si="28"/>
        <v>0</v>
      </c>
      <c r="F47" s="92">
        <f t="shared" si="28"/>
        <v>10801</v>
      </c>
      <c r="G47" s="92">
        <f t="shared" si="28"/>
        <v>139700</v>
      </c>
      <c r="H47" s="92">
        <f t="shared" si="28"/>
        <v>163723</v>
      </c>
      <c r="I47" s="92">
        <f t="shared" si="28"/>
        <v>198399</v>
      </c>
      <c r="J47" s="92">
        <f t="shared" si="28"/>
        <v>125725</v>
      </c>
      <c r="K47" s="92">
        <f t="shared" si="28"/>
        <v>493517</v>
      </c>
      <c r="L47" s="92">
        <f t="shared" si="28"/>
        <v>434213</v>
      </c>
      <c r="M47" s="92">
        <f t="shared" si="28"/>
        <v>295218</v>
      </c>
      <c r="N47" s="92">
        <f t="shared" si="28"/>
        <v>305532</v>
      </c>
      <c r="O47" s="92">
        <f t="shared" si="28"/>
        <v>409657.2</v>
      </c>
      <c r="P47" s="444">
        <f t="shared" si="24"/>
        <v>0.18299999972805381</v>
      </c>
      <c r="Q47" s="320"/>
      <c r="R47" s="323"/>
    </row>
    <row r="48" spans="1:18" ht="15.75" hidden="1" x14ac:dyDescent="0.25">
      <c r="A48" s="66" t="s">
        <v>790</v>
      </c>
      <c r="B48" s="52" t="s">
        <v>119</v>
      </c>
      <c r="C48" s="319">
        <f>+'2 Össz'!E47</f>
        <v>0</v>
      </c>
      <c r="D48" s="24">
        <f t="shared" ref="D48:O48" si="29">+ROUND($C$48/12,0)</f>
        <v>0</v>
      </c>
      <c r="E48" s="24">
        <f t="shared" si="29"/>
        <v>0</v>
      </c>
      <c r="F48" s="24">
        <f t="shared" si="29"/>
        <v>0</v>
      </c>
      <c r="G48" s="24">
        <f t="shared" si="29"/>
        <v>0</v>
      </c>
      <c r="H48" s="24">
        <f t="shared" si="29"/>
        <v>0</v>
      </c>
      <c r="I48" s="24">
        <f t="shared" si="29"/>
        <v>0</v>
      </c>
      <c r="J48" s="24">
        <f t="shared" si="29"/>
        <v>0</v>
      </c>
      <c r="K48" s="24">
        <f t="shared" si="29"/>
        <v>0</v>
      </c>
      <c r="L48" s="24">
        <f t="shared" si="29"/>
        <v>0</v>
      </c>
      <c r="M48" s="24">
        <f t="shared" si="29"/>
        <v>0</v>
      </c>
      <c r="N48" s="24">
        <f t="shared" si="29"/>
        <v>0</v>
      </c>
      <c r="O48" s="24">
        <f t="shared" si="29"/>
        <v>0</v>
      </c>
      <c r="P48" s="444">
        <f t="shared" si="24"/>
        <v>0</v>
      </c>
      <c r="Q48" s="320"/>
      <c r="R48" s="314"/>
    </row>
    <row r="49" spans="1:18" ht="15.75" hidden="1" x14ac:dyDescent="0.25">
      <c r="A49" s="66" t="s">
        <v>621</v>
      </c>
      <c r="B49" s="52" t="s">
        <v>121</v>
      </c>
      <c r="C49" s="319">
        <f>+'2 Össz'!E48</f>
        <v>0</v>
      </c>
      <c r="D49" s="24">
        <f t="shared" ref="D49:O49" si="30">+ROUND($C$49/12,0)</f>
        <v>0</v>
      </c>
      <c r="E49" s="24">
        <f t="shared" si="30"/>
        <v>0</v>
      </c>
      <c r="F49" s="24">
        <f t="shared" si="30"/>
        <v>0</v>
      </c>
      <c r="G49" s="24">
        <f t="shared" si="30"/>
        <v>0</v>
      </c>
      <c r="H49" s="24">
        <f t="shared" si="30"/>
        <v>0</v>
      </c>
      <c r="I49" s="24">
        <f t="shared" si="30"/>
        <v>0</v>
      </c>
      <c r="J49" s="24">
        <f t="shared" si="30"/>
        <v>0</v>
      </c>
      <c r="K49" s="24">
        <f t="shared" si="30"/>
        <v>0</v>
      </c>
      <c r="L49" s="24">
        <f t="shared" si="30"/>
        <v>0</v>
      </c>
      <c r="M49" s="24">
        <f t="shared" si="30"/>
        <v>0</v>
      </c>
      <c r="N49" s="24">
        <f t="shared" si="30"/>
        <v>0</v>
      </c>
      <c r="O49" s="24">
        <f t="shared" si="30"/>
        <v>0</v>
      </c>
      <c r="P49" s="444">
        <f t="shared" si="24"/>
        <v>0</v>
      </c>
      <c r="Q49" s="320"/>
      <c r="R49" s="314"/>
    </row>
    <row r="50" spans="1:18" ht="15.75" hidden="1" x14ac:dyDescent="0.25">
      <c r="A50" s="66" t="s">
        <v>791</v>
      </c>
      <c r="B50" s="52" t="s">
        <v>123</v>
      </c>
      <c r="C50" s="319">
        <f>+'2 Össz'!E49</f>
        <v>0</v>
      </c>
      <c r="D50" s="24">
        <f t="shared" ref="D50:O50" si="31">+ROUND($C$50/12,0)</f>
        <v>0</v>
      </c>
      <c r="E50" s="24">
        <f t="shared" si="31"/>
        <v>0</v>
      </c>
      <c r="F50" s="24">
        <f t="shared" si="31"/>
        <v>0</v>
      </c>
      <c r="G50" s="24">
        <f t="shared" si="31"/>
        <v>0</v>
      </c>
      <c r="H50" s="24">
        <f t="shared" si="31"/>
        <v>0</v>
      </c>
      <c r="I50" s="24">
        <f t="shared" si="31"/>
        <v>0</v>
      </c>
      <c r="J50" s="24">
        <f t="shared" si="31"/>
        <v>0</v>
      </c>
      <c r="K50" s="24">
        <f t="shared" si="31"/>
        <v>0</v>
      </c>
      <c r="L50" s="24">
        <f t="shared" si="31"/>
        <v>0</v>
      </c>
      <c r="M50" s="24">
        <f t="shared" si="31"/>
        <v>0</v>
      </c>
      <c r="N50" s="24">
        <f t="shared" si="31"/>
        <v>0</v>
      </c>
      <c r="O50" s="24">
        <f t="shared" si="31"/>
        <v>0</v>
      </c>
      <c r="P50" s="444">
        <f t="shared" si="24"/>
        <v>0</v>
      </c>
      <c r="Q50" s="320"/>
      <c r="R50" s="314"/>
    </row>
    <row r="51" spans="1:18" ht="15.75" x14ac:dyDescent="0.25">
      <c r="A51" s="66" t="s">
        <v>124</v>
      </c>
      <c r="B51" s="52" t="s">
        <v>125</v>
      </c>
      <c r="C51" s="319">
        <f>+'2 Össz'!E50/1000</f>
        <v>2000</v>
      </c>
      <c r="D51" s="24">
        <f t="shared" ref="D51:N51" si="32">+ROUND($C$51/12,0)</f>
        <v>167</v>
      </c>
      <c r="E51" s="24">
        <f t="shared" si="32"/>
        <v>167</v>
      </c>
      <c r="F51" s="24">
        <f t="shared" si="32"/>
        <v>167</v>
      </c>
      <c r="G51" s="24">
        <f t="shared" si="32"/>
        <v>167</v>
      </c>
      <c r="H51" s="24">
        <f t="shared" si="32"/>
        <v>167</v>
      </c>
      <c r="I51" s="24">
        <f t="shared" si="32"/>
        <v>167</v>
      </c>
      <c r="J51" s="24">
        <f t="shared" si="32"/>
        <v>167</v>
      </c>
      <c r="K51" s="24">
        <f t="shared" si="32"/>
        <v>167</v>
      </c>
      <c r="L51" s="24">
        <f t="shared" si="32"/>
        <v>167</v>
      </c>
      <c r="M51" s="24">
        <f t="shared" si="32"/>
        <v>167</v>
      </c>
      <c r="N51" s="24">
        <f t="shared" si="32"/>
        <v>167</v>
      </c>
      <c r="O51" s="24">
        <f>+ROUND($C$51/12,0)-4</f>
        <v>163</v>
      </c>
      <c r="P51" s="444">
        <f t="shared" si="24"/>
        <v>0</v>
      </c>
      <c r="Q51" s="320"/>
      <c r="R51" s="314"/>
    </row>
    <row r="52" spans="1:18" ht="15.75" x14ac:dyDescent="0.25">
      <c r="A52" s="66" t="s">
        <v>792</v>
      </c>
      <c r="B52" s="52" t="s">
        <v>127</v>
      </c>
      <c r="C52" s="319">
        <f>+'2 Össz'!E51/1000</f>
        <v>16101</v>
      </c>
      <c r="D52" s="24"/>
      <c r="E52" s="24"/>
      <c r="F52" s="24">
        <f>+ROUND($C$52/12,0)*2+1</f>
        <v>2685</v>
      </c>
      <c r="G52" s="24">
        <f>+ROUND($C$52/12,0)*2</f>
        <v>2684</v>
      </c>
      <c r="H52" s="24">
        <f t="shared" ref="H52:N52" si="33">+ROUND($C$52/12,0)</f>
        <v>1342</v>
      </c>
      <c r="I52" s="24">
        <f t="shared" si="33"/>
        <v>1342</v>
      </c>
      <c r="J52" s="24">
        <f t="shared" si="33"/>
        <v>1342</v>
      </c>
      <c r="K52" s="24">
        <f t="shared" si="33"/>
        <v>1342</v>
      </c>
      <c r="L52" s="24">
        <f t="shared" si="33"/>
        <v>1342</v>
      </c>
      <c r="M52" s="24">
        <f t="shared" si="33"/>
        <v>1342</v>
      </c>
      <c r="N52" s="24">
        <f t="shared" si="33"/>
        <v>1342</v>
      </c>
      <c r="O52" s="24">
        <f>+ROUND($C$52/12,0)-4</f>
        <v>1338</v>
      </c>
      <c r="P52" s="444">
        <f t="shared" si="24"/>
        <v>0</v>
      </c>
      <c r="Q52" s="320"/>
      <c r="R52" s="314"/>
    </row>
    <row r="53" spans="1:18" ht="15.75" x14ac:dyDescent="0.25">
      <c r="A53" s="66" t="s">
        <v>793</v>
      </c>
      <c r="B53" s="52" t="s">
        <v>129</v>
      </c>
      <c r="C53" s="319">
        <f>+'2 Össz'!E52/1000</f>
        <v>0</v>
      </c>
      <c r="D53" s="24">
        <f t="shared" ref="D53:O53" si="34">+ROUND($C$53/12,0)</f>
        <v>0</v>
      </c>
      <c r="E53" s="24">
        <f t="shared" si="34"/>
        <v>0</v>
      </c>
      <c r="F53" s="24">
        <f t="shared" si="34"/>
        <v>0</v>
      </c>
      <c r="G53" s="24">
        <f t="shared" si="34"/>
        <v>0</v>
      </c>
      <c r="H53" s="24">
        <f t="shared" si="34"/>
        <v>0</v>
      </c>
      <c r="I53" s="24">
        <f t="shared" si="34"/>
        <v>0</v>
      </c>
      <c r="J53" s="24">
        <f t="shared" si="34"/>
        <v>0</v>
      </c>
      <c r="K53" s="24">
        <f t="shared" si="34"/>
        <v>0</v>
      </c>
      <c r="L53" s="24">
        <f t="shared" si="34"/>
        <v>0</v>
      </c>
      <c r="M53" s="24">
        <f t="shared" si="34"/>
        <v>0</v>
      </c>
      <c r="N53" s="24">
        <f t="shared" si="34"/>
        <v>0</v>
      </c>
      <c r="O53" s="24">
        <f t="shared" si="34"/>
        <v>0</v>
      </c>
      <c r="P53" s="444">
        <f t="shared" si="24"/>
        <v>0</v>
      </c>
      <c r="Q53" s="320"/>
      <c r="R53" s="314"/>
    </row>
    <row r="54" spans="1:18" ht="15.75" x14ac:dyDescent="0.25">
      <c r="A54" s="66" t="s">
        <v>130</v>
      </c>
      <c r="B54" s="52" t="s">
        <v>131</v>
      </c>
      <c r="C54" s="319">
        <f>+'2 Össz'!E53/1000</f>
        <v>0</v>
      </c>
      <c r="D54" s="24">
        <f t="shared" ref="D54:O55" si="35">+ROUND($C$54/12,0)</f>
        <v>0</v>
      </c>
      <c r="E54" s="24">
        <f t="shared" si="35"/>
        <v>0</v>
      </c>
      <c r="F54" s="24">
        <f t="shared" si="35"/>
        <v>0</v>
      </c>
      <c r="G54" s="24">
        <f t="shared" si="35"/>
        <v>0</v>
      </c>
      <c r="H54" s="24">
        <f t="shared" si="35"/>
        <v>0</v>
      </c>
      <c r="I54" s="24">
        <f t="shared" si="35"/>
        <v>0</v>
      </c>
      <c r="J54" s="24">
        <f t="shared" si="35"/>
        <v>0</v>
      </c>
      <c r="K54" s="24">
        <f t="shared" si="35"/>
        <v>0</v>
      </c>
      <c r="L54" s="24">
        <f t="shared" si="35"/>
        <v>0</v>
      </c>
      <c r="M54" s="24">
        <f t="shared" si="35"/>
        <v>0</v>
      </c>
      <c r="N54" s="24">
        <f t="shared" si="35"/>
        <v>0</v>
      </c>
      <c r="O54" s="24">
        <f t="shared" si="35"/>
        <v>0</v>
      </c>
      <c r="P54" s="444">
        <f t="shared" si="24"/>
        <v>0</v>
      </c>
      <c r="Q54" s="320"/>
      <c r="R54" s="314"/>
    </row>
    <row r="55" spans="1:18" ht="15.75" x14ac:dyDescent="0.25">
      <c r="A55" s="66" t="s">
        <v>132</v>
      </c>
      <c r="B55" s="52" t="s">
        <v>133</v>
      </c>
      <c r="C55" s="319">
        <f>+'2 Össz'!E54/1000</f>
        <v>0</v>
      </c>
      <c r="D55" s="24">
        <f t="shared" si="35"/>
        <v>0</v>
      </c>
      <c r="E55" s="24">
        <f t="shared" si="35"/>
        <v>0</v>
      </c>
      <c r="F55" s="24">
        <f t="shared" si="35"/>
        <v>0</v>
      </c>
      <c r="G55" s="24">
        <f t="shared" si="35"/>
        <v>0</v>
      </c>
      <c r="H55" s="24">
        <f t="shared" si="35"/>
        <v>0</v>
      </c>
      <c r="I55" s="24">
        <f t="shared" si="35"/>
        <v>0</v>
      </c>
      <c r="J55" s="24">
        <f t="shared" si="35"/>
        <v>0</v>
      </c>
      <c r="K55" s="24">
        <f t="shared" si="35"/>
        <v>0</v>
      </c>
      <c r="L55" s="24">
        <f t="shared" si="35"/>
        <v>0</v>
      </c>
      <c r="M55" s="24">
        <f t="shared" si="35"/>
        <v>0</v>
      </c>
      <c r="N55" s="24">
        <f t="shared" si="35"/>
        <v>0</v>
      </c>
      <c r="O55" s="24">
        <f t="shared" si="35"/>
        <v>0</v>
      </c>
      <c r="P55" s="444">
        <f t="shared" si="24"/>
        <v>0</v>
      </c>
      <c r="Q55" s="320"/>
      <c r="R55" s="314"/>
    </row>
    <row r="56" spans="1:18" ht="15.75" x14ac:dyDescent="0.25">
      <c r="A56" s="66" t="s">
        <v>134</v>
      </c>
      <c r="B56" s="52" t="s">
        <v>135</v>
      </c>
      <c r="C56" s="319">
        <f>+'2 Össz'!E55/1000</f>
        <v>0</v>
      </c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444">
        <f t="shared" si="24"/>
        <v>0</v>
      </c>
      <c r="Q56" s="320"/>
      <c r="R56" s="314"/>
    </row>
    <row r="57" spans="1:18" s="324" customFormat="1" ht="15.75" x14ac:dyDescent="0.25">
      <c r="A57" s="137" t="s">
        <v>136</v>
      </c>
      <c r="B57" s="304" t="s">
        <v>137</v>
      </c>
      <c r="C57" s="321">
        <f t="shared" ref="C57:O57" si="36">SUM(C48:C56)</f>
        <v>18101</v>
      </c>
      <c r="D57" s="92">
        <f t="shared" si="36"/>
        <v>167</v>
      </c>
      <c r="E57" s="92">
        <f t="shared" si="36"/>
        <v>167</v>
      </c>
      <c r="F57" s="92">
        <f t="shared" si="36"/>
        <v>2852</v>
      </c>
      <c r="G57" s="92">
        <f t="shared" si="36"/>
        <v>2851</v>
      </c>
      <c r="H57" s="92">
        <f t="shared" si="36"/>
        <v>1509</v>
      </c>
      <c r="I57" s="92">
        <f t="shared" si="36"/>
        <v>1509</v>
      </c>
      <c r="J57" s="92">
        <f t="shared" si="36"/>
        <v>1509</v>
      </c>
      <c r="K57" s="92">
        <f t="shared" si="36"/>
        <v>1509</v>
      </c>
      <c r="L57" s="92">
        <f t="shared" si="36"/>
        <v>1509</v>
      </c>
      <c r="M57" s="92">
        <f t="shared" si="36"/>
        <v>1509</v>
      </c>
      <c r="N57" s="92">
        <f t="shared" si="36"/>
        <v>1509</v>
      </c>
      <c r="O57" s="92">
        <f t="shared" si="36"/>
        <v>1501</v>
      </c>
      <c r="P57" s="444">
        <f t="shared" si="24"/>
        <v>0</v>
      </c>
      <c r="Q57" s="320"/>
      <c r="R57" s="323"/>
    </row>
    <row r="58" spans="1:18" s="324" customFormat="1" ht="15.75" x14ac:dyDescent="0.25">
      <c r="A58" s="305" t="s">
        <v>138</v>
      </c>
      <c r="B58" s="304" t="s">
        <v>139</v>
      </c>
      <c r="C58" s="321">
        <f t="shared" ref="C58:O58" si="37">+C57+C47+C42</f>
        <v>2821537.6489999997</v>
      </c>
      <c r="D58" s="92">
        <f t="shared" si="37"/>
        <v>167</v>
      </c>
      <c r="E58" s="92">
        <f t="shared" si="37"/>
        <v>167</v>
      </c>
      <c r="F58" s="92">
        <f t="shared" si="37"/>
        <v>20765</v>
      </c>
      <c r="G58" s="92">
        <f t="shared" si="37"/>
        <v>172555</v>
      </c>
      <c r="H58" s="92">
        <f t="shared" si="37"/>
        <v>169448</v>
      </c>
      <c r="I58" s="92">
        <f t="shared" si="37"/>
        <v>210954</v>
      </c>
      <c r="J58" s="92">
        <f t="shared" si="37"/>
        <v>136294</v>
      </c>
      <c r="K58" s="92">
        <f t="shared" si="37"/>
        <v>538549</v>
      </c>
      <c r="L58" s="92">
        <f t="shared" si="37"/>
        <v>435722</v>
      </c>
      <c r="M58" s="92">
        <f t="shared" si="37"/>
        <v>296727</v>
      </c>
      <c r="N58" s="92">
        <f t="shared" si="37"/>
        <v>429031</v>
      </c>
      <c r="O58" s="92">
        <f t="shared" si="37"/>
        <v>411158.2</v>
      </c>
      <c r="P58" s="444">
        <f t="shared" si="24"/>
        <v>0.44899999955669045</v>
      </c>
      <c r="Q58" s="320"/>
      <c r="R58" s="323"/>
    </row>
    <row r="59" spans="1:18" s="324" customFormat="1" ht="15.75" x14ac:dyDescent="0.25">
      <c r="A59" s="91" t="s">
        <v>140</v>
      </c>
      <c r="B59" s="304" t="s">
        <v>141</v>
      </c>
      <c r="C59" s="321">
        <f>+C34+C58</f>
        <v>6396356.6324899998</v>
      </c>
      <c r="D59" s="92">
        <f t="shared" ref="D59:O59" si="38">+D57+D47+D42+D33+D18+D17+D11+D10</f>
        <v>293571</v>
      </c>
      <c r="E59" s="92">
        <f t="shared" si="38"/>
        <v>316053.5</v>
      </c>
      <c r="F59" s="92">
        <f t="shared" si="38"/>
        <v>314169</v>
      </c>
      <c r="G59" s="92">
        <f t="shared" si="38"/>
        <v>469159</v>
      </c>
      <c r="H59" s="92">
        <f t="shared" si="38"/>
        <v>467852</v>
      </c>
      <c r="I59" s="92">
        <f t="shared" si="38"/>
        <v>505358</v>
      </c>
      <c r="J59" s="92">
        <f t="shared" si="38"/>
        <v>429698</v>
      </c>
      <c r="K59" s="92">
        <f t="shared" si="38"/>
        <v>836953</v>
      </c>
      <c r="L59" s="92">
        <f t="shared" si="38"/>
        <v>729126</v>
      </c>
      <c r="M59" s="92">
        <f t="shared" si="38"/>
        <v>596131</v>
      </c>
      <c r="N59" s="92">
        <f t="shared" si="38"/>
        <v>732435</v>
      </c>
      <c r="O59" s="92">
        <f t="shared" si="38"/>
        <v>705851</v>
      </c>
      <c r="P59" s="444">
        <f t="shared" si="24"/>
        <v>0.132489999756217</v>
      </c>
      <c r="Q59" s="322"/>
      <c r="R59" s="323"/>
    </row>
    <row r="60" spans="1:18" ht="15.75" hidden="1" x14ac:dyDescent="0.25">
      <c r="A60" s="66" t="s">
        <v>142</v>
      </c>
      <c r="B60" s="53" t="s">
        <v>143</v>
      </c>
      <c r="C60" s="319">
        <f>+'2 Össz'!E59</f>
        <v>0</v>
      </c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444">
        <f t="shared" si="24"/>
        <v>0</v>
      </c>
      <c r="Q60" s="320"/>
      <c r="R60" s="314"/>
    </row>
    <row r="61" spans="1:18" ht="15.75" hidden="1" x14ac:dyDescent="0.25">
      <c r="A61" s="66" t="s">
        <v>144</v>
      </c>
      <c r="B61" s="53" t="s">
        <v>145</v>
      </c>
      <c r="C61" s="319">
        <f>+'2 Össz'!E60</f>
        <v>0</v>
      </c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444">
        <f t="shared" si="24"/>
        <v>0</v>
      </c>
      <c r="Q61" s="320"/>
      <c r="R61" s="314"/>
    </row>
    <row r="62" spans="1:18" ht="15.75" x14ac:dyDescent="0.25">
      <c r="A62" s="66" t="s">
        <v>146</v>
      </c>
      <c r="B62" s="53" t="s">
        <v>147</v>
      </c>
      <c r="C62" s="319">
        <f>+'2 Össz'!E61/1000</f>
        <v>88500</v>
      </c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>
        <v>88500</v>
      </c>
      <c r="P62" s="444">
        <f t="shared" si="24"/>
        <v>0</v>
      </c>
      <c r="Q62" s="320"/>
      <c r="R62" s="314"/>
    </row>
    <row r="63" spans="1:18" s="324" customFormat="1" ht="15.75" x14ac:dyDescent="0.25">
      <c r="A63" s="137" t="s">
        <v>148</v>
      </c>
      <c r="B63" s="90" t="s">
        <v>149</v>
      </c>
      <c r="C63" s="321">
        <f t="shared" ref="C63:O63" si="39">SUM(C60:C62)</f>
        <v>88500</v>
      </c>
      <c r="D63" s="306">
        <f t="shared" si="39"/>
        <v>0</v>
      </c>
      <c r="E63" s="306">
        <f t="shared" si="39"/>
        <v>0</v>
      </c>
      <c r="F63" s="306">
        <f t="shared" si="39"/>
        <v>0</v>
      </c>
      <c r="G63" s="306">
        <f t="shared" si="39"/>
        <v>0</v>
      </c>
      <c r="H63" s="306">
        <f t="shared" si="39"/>
        <v>0</v>
      </c>
      <c r="I63" s="306">
        <f t="shared" si="39"/>
        <v>0</v>
      </c>
      <c r="J63" s="306">
        <f t="shared" si="39"/>
        <v>0</v>
      </c>
      <c r="K63" s="306">
        <f t="shared" si="39"/>
        <v>0</v>
      </c>
      <c r="L63" s="306">
        <f t="shared" si="39"/>
        <v>0</v>
      </c>
      <c r="M63" s="306">
        <f t="shared" si="39"/>
        <v>0</v>
      </c>
      <c r="N63" s="306">
        <f t="shared" si="39"/>
        <v>0</v>
      </c>
      <c r="O63" s="306">
        <f t="shared" si="39"/>
        <v>88500</v>
      </c>
      <c r="P63" s="444">
        <f t="shared" si="24"/>
        <v>0</v>
      </c>
      <c r="Q63" s="322"/>
      <c r="R63" s="323"/>
    </row>
    <row r="64" spans="1:18" ht="15.75" hidden="1" x14ac:dyDescent="0.25">
      <c r="A64" s="71" t="s">
        <v>150</v>
      </c>
      <c r="B64" s="53" t="s">
        <v>151</v>
      </c>
      <c r="C64" s="319">
        <f>+'2 Össz'!E63</f>
        <v>0</v>
      </c>
      <c r="D64" s="24">
        <f t="shared" ref="D64:O65" si="40">+ROUND($C$65/12,0)</f>
        <v>0</v>
      </c>
      <c r="E64" s="24">
        <f t="shared" si="40"/>
        <v>0</v>
      </c>
      <c r="F64" s="24">
        <f t="shared" si="40"/>
        <v>0</v>
      </c>
      <c r="G64" s="24">
        <f t="shared" si="40"/>
        <v>0</v>
      </c>
      <c r="H64" s="24">
        <f t="shared" si="40"/>
        <v>0</v>
      </c>
      <c r="I64" s="24">
        <f t="shared" si="40"/>
        <v>0</v>
      </c>
      <c r="J64" s="24">
        <f t="shared" si="40"/>
        <v>0</v>
      </c>
      <c r="K64" s="24">
        <f t="shared" si="40"/>
        <v>0</v>
      </c>
      <c r="L64" s="24">
        <f t="shared" si="40"/>
        <v>0</v>
      </c>
      <c r="M64" s="24">
        <f t="shared" si="40"/>
        <v>0</v>
      </c>
      <c r="N64" s="24">
        <f t="shared" si="40"/>
        <v>0</v>
      </c>
      <c r="O64" s="24">
        <f t="shared" si="40"/>
        <v>0</v>
      </c>
      <c r="P64" s="444">
        <f t="shared" si="24"/>
        <v>0</v>
      </c>
      <c r="Q64" s="320"/>
      <c r="R64" s="314"/>
    </row>
    <row r="65" spans="1:18" ht="15.75" x14ac:dyDescent="0.25">
      <c r="A65" s="71" t="s">
        <v>152</v>
      </c>
      <c r="B65" s="53" t="s">
        <v>153</v>
      </c>
      <c r="C65" s="319">
        <f>+'2 Össz'!E64/1000</f>
        <v>0</v>
      </c>
      <c r="D65" s="24">
        <f t="shared" si="40"/>
        <v>0</v>
      </c>
      <c r="E65" s="24">
        <f t="shared" si="40"/>
        <v>0</v>
      </c>
      <c r="F65" s="24">
        <f t="shared" si="40"/>
        <v>0</v>
      </c>
      <c r="G65" s="24">
        <f t="shared" si="40"/>
        <v>0</v>
      </c>
      <c r="H65" s="24">
        <f t="shared" si="40"/>
        <v>0</v>
      </c>
      <c r="I65" s="24">
        <f t="shared" si="40"/>
        <v>0</v>
      </c>
      <c r="J65" s="24">
        <f t="shared" si="40"/>
        <v>0</v>
      </c>
      <c r="K65" s="24">
        <f t="shared" si="40"/>
        <v>0</v>
      </c>
      <c r="L65" s="24">
        <f t="shared" si="40"/>
        <v>0</v>
      </c>
      <c r="M65" s="24">
        <f t="shared" si="40"/>
        <v>0</v>
      </c>
      <c r="N65" s="24">
        <f t="shared" si="40"/>
        <v>0</v>
      </c>
      <c r="O65" s="24">
        <f t="shared" si="40"/>
        <v>0</v>
      </c>
      <c r="P65" s="444">
        <f t="shared" si="24"/>
        <v>0</v>
      </c>
      <c r="Q65" s="320"/>
      <c r="R65" s="314"/>
    </row>
    <row r="66" spans="1:18" ht="15.75" x14ac:dyDescent="0.25">
      <c r="A66" s="71" t="s">
        <v>154</v>
      </c>
      <c r="B66" s="53" t="s">
        <v>155</v>
      </c>
      <c r="C66" s="319">
        <f>+'2 Össz'!E65/1000</f>
        <v>36065.525999999998</v>
      </c>
      <c r="D66" s="24">
        <v>36066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444">
        <f t="shared" si="24"/>
        <v>-0.47400000000197906</v>
      </c>
      <c r="Q66" s="320"/>
      <c r="R66" s="314"/>
    </row>
    <row r="67" spans="1:18" ht="15.75" hidden="1" x14ac:dyDescent="0.25">
      <c r="A67" s="71" t="s">
        <v>810</v>
      </c>
      <c r="B67" s="53" t="s">
        <v>157</v>
      </c>
      <c r="C67" s="319">
        <f>+'2 Össz'!E66</f>
        <v>0</v>
      </c>
      <c r="D67" s="24">
        <f t="shared" ref="D67:O67" si="41">+ROUND($C$67/12,0)</f>
        <v>0</v>
      </c>
      <c r="E67" s="24">
        <f t="shared" si="41"/>
        <v>0</v>
      </c>
      <c r="F67" s="24">
        <f t="shared" si="41"/>
        <v>0</v>
      </c>
      <c r="G67" s="24">
        <f t="shared" si="41"/>
        <v>0</v>
      </c>
      <c r="H67" s="24">
        <f t="shared" si="41"/>
        <v>0</v>
      </c>
      <c r="I67" s="24">
        <f t="shared" si="41"/>
        <v>0</v>
      </c>
      <c r="J67" s="24">
        <f t="shared" si="41"/>
        <v>0</v>
      </c>
      <c r="K67" s="24">
        <f t="shared" si="41"/>
        <v>0</v>
      </c>
      <c r="L67" s="24">
        <f t="shared" si="41"/>
        <v>0</v>
      </c>
      <c r="M67" s="24">
        <f t="shared" si="41"/>
        <v>0</v>
      </c>
      <c r="N67" s="24">
        <f t="shared" si="41"/>
        <v>0</v>
      </c>
      <c r="O67" s="24">
        <f t="shared" si="41"/>
        <v>0</v>
      </c>
      <c r="P67" s="444">
        <f t="shared" si="24"/>
        <v>0</v>
      </c>
      <c r="Q67" s="320"/>
      <c r="R67" s="314"/>
    </row>
    <row r="68" spans="1:18" ht="15.75" hidden="1" x14ac:dyDescent="0.25">
      <c r="A68" s="71" t="s">
        <v>723</v>
      </c>
      <c r="B68" s="53" t="s">
        <v>159</v>
      </c>
      <c r="C68" s="319">
        <f>+'2 Össz'!E67</f>
        <v>0</v>
      </c>
      <c r="D68" s="24">
        <f t="shared" ref="D68:O68" si="42">+ROUND($C$68/12,0)</f>
        <v>0</v>
      </c>
      <c r="E68" s="24">
        <f t="shared" si="42"/>
        <v>0</v>
      </c>
      <c r="F68" s="24">
        <f t="shared" si="42"/>
        <v>0</v>
      </c>
      <c r="G68" s="24">
        <f t="shared" si="42"/>
        <v>0</v>
      </c>
      <c r="H68" s="24">
        <f t="shared" si="42"/>
        <v>0</v>
      </c>
      <c r="I68" s="24">
        <f t="shared" si="42"/>
        <v>0</v>
      </c>
      <c r="J68" s="24">
        <f t="shared" si="42"/>
        <v>0</v>
      </c>
      <c r="K68" s="24">
        <f t="shared" si="42"/>
        <v>0</v>
      </c>
      <c r="L68" s="24">
        <f t="shared" si="42"/>
        <v>0</v>
      </c>
      <c r="M68" s="24">
        <f t="shared" si="42"/>
        <v>0</v>
      </c>
      <c r="N68" s="24">
        <f t="shared" si="42"/>
        <v>0</v>
      </c>
      <c r="O68" s="24">
        <f t="shared" si="42"/>
        <v>0</v>
      </c>
      <c r="P68" s="444">
        <f t="shared" si="24"/>
        <v>0</v>
      </c>
      <c r="Q68" s="320"/>
      <c r="R68" s="314"/>
    </row>
    <row r="69" spans="1:18" ht="15.75" hidden="1" x14ac:dyDescent="0.25">
      <c r="A69" s="71" t="s">
        <v>160</v>
      </c>
      <c r="B69" s="53" t="s">
        <v>161</v>
      </c>
      <c r="C69" s="319">
        <f>+'2 Össz'!E68</f>
        <v>0</v>
      </c>
      <c r="D69" s="24">
        <f t="shared" ref="D69:O69" si="43">+ROUND($C$69/12,0)</f>
        <v>0</v>
      </c>
      <c r="E69" s="24">
        <f t="shared" si="43"/>
        <v>0</v>
      </c>
      <c r="F69" s="24">
        <f t="shared" si="43"/>
        <v>0</v>
      </c>
      <c r="G69" s="24">
        <f t="shared" si="43"/>
        <v>0</v>
      </c>
      <c r="H69" s="24">
        <f t="shared" si="43"/>
        <v>0</v>
      </c>
      <c r="I69" s="24">
        <f t="shared" si="43"/>
        <v>0</v>
      </c>
      <c r="J69" s="24">
        <f t="shared" si="43"/>
        <v>0</v>
      </c>
      <c r="K69" s="24">
        <f t="shared" si="43"/>
        <v>0</v>
      </c>
      <c r="L69" s="24">
        <f t="shared" si="43"/>
        <v>0</v>
      </c>
      <c r="M69" s="24">
        <f t="shared" si="43"/>
        <v>0</v>
      </c>
      <c r="N69" s="24">
        <f t="shared" si="43"/>
        <v>0</v>
      </c>
      <c r="O69" s="24">
        <f t="shared" si="43"/>
        <v>0</v>
      </c>
      <c r="P69" s="444">
        <f t="shared" si="24"/>
        <v>0</v>
      </c>
      <c r="Q69" s="320"/>
      <c r="R69" s="314"/>
    </row>
    <row r="70" spans="1:18" ht="15.75" hidden="1" x14ac:dyDescent="0.25">
      <c r="A70" s="71" t="s">
        <v>162</v>
      </c>
      <c r="B70" s="53" t="s">
        <v>163</v>
      </c>
      <c r="C70" s="319">
        <f>+'2 Össz'!E69</f>
        <v>0</v>
      </c>
      <c r="D70" s="24">
        <f t="shared" ref="D70:O71" si="44">+ROUND($C$70/12,0)</f>
        <v>0</v>
      </c>
      <c r="E70" s="24">
        <f t="shared" si="44"/>
        <v>0</v>
      </c>
      <c r="F70" s="24">
        <f t="shared" si="44"/>
        <v>0</v>
      </c>
      <c r="G70" s="24">
        <f t="shared" si="44"/>
        <v>0</v>
      </c>
      <c r="H70" s="24">
        <f t="shared" si="44"/>
        <v>0</v>
      </c>
      <c r="I70" s="24">
        <f t="shared" si="44"/>
        <v>0</v>
      </c>
      <c r="J70" s="24">
        <f t="shared" si="44"/>
        <v>0</v>
      </c>
      <c r="K70" s="24">
        <f t="shared" si="44"/>
        <v>0</v>
      </c>
      <c r="L70" s="24">
        <f t="shared" si="44"/>
        <v>0</v>
      </c>
      <c r="M70" s="24">
        <f t="shared" si="44"/>
        <v>0</v>
      </c>
      <c r="N70" s="24">
        <f t="shared" si="44"/>
        <v>0</v>
      </c>
      <c r="O70" s="24">
        <f t="shared" si="44"/>
        <v>0</v>
      </c>
      <c r="P70" s="444">
        <f t="shared" si="24"/>
        <v>0</v>
      </c>
      <c r="Q70" s="320"/>
      <c r="R70" s="314"/>
    </row>
    <row r="71" spans="1:18" ht="15.75" hidden="1" x14ac:dyDescent="0.25">
      <c r="A71" s="71" t="s">
        <v>164</v>
      </c>
      <c r="B71" s="53" t="s">
        <v>165</v>
      </c>
      <c r="C71" s="319">
        <f>+'2 Össz'!E70</f>
        <v>0</v>
      </c>
      <c r="D71" s="24">
        <f t="shared" si="44"/>
        <v>0</v>
      </c>
      <c r="E71" s="24">
        <f t="shared" si="44"/>
        <v>0</v>
      </c>
      <c r="F71" s="24">
        <f t="shared" si="44"/>
        <v>0</v>
      </c>
      <c r="G71" s="24">
        <f t="shared" si="44"/>
        <v>0</v>
      </c>
      <c r="H71" s="24">
        <f t="shared" si="44"/>
        <v>0</v>
      </c>
      <c r="I71" s="24">
        <f t="shared" si="44"/>
        <v>0</v>
      </c>
      <c r="J71" s="24">
        <f t="shared" si="44"/>
        <v>0</v>
      </c>
      <c r="K71" s="24">
        <f t="shared" si="44"/>
        <v>0</v>
      </c>
      <c r="L71" s="24">
        <f t="shared" si="44"/>
        <v>0</v>
      </c>
      <c r="M71" s="24">
        <f t="shared" si="44"/>
        <v>0</v>
      </c>
      <c r="N71" s="24">
        <f t="shared" si="44"/>
        <v>0</v>
      </c>
      <c r="O71" s="24">
        <f t="shared" si="44"/>
        <v>0</v>
      </c>
      <c r="P71" s="444">
        <f t="shared" si="24"/>
        <v>0</v>
      </c>
      <c r="Q71" s="320"/>
      <c r="R71" s="314"/>
    </row>
    <row r="72" spans="1:18" s="324" customFormat="1" ht="15.75" x14ac:dyDescent="0.25">
      <c r="A72" s="307" t="s">
        <v>166</v>
      </c>
      <c r="B72" s="90" t="s">
        <v>167</v>
      </c>
      <c r="C72" s="308">
        <f>+C70+C69+C68+C67+C66+C65+C64+C63+C71</f>
        <v>124565.526</v>
      </c>
      <c r="D72" s="308">
        <f t="shared" ref="D72:O72" si="45">+D70+D69+D68+D67+D66+D65+D64+D63</f>
        <v>36066</v>
      </c>
      <c r="E72" s="308">
        <f t="shared" si="45"/>
        <v>0</v>
      </c>
      <c r="F72" s="308">
        <f t="shared" si="45"/>
        <v>0</v>
      </c>
      <c r="G72" s="308">
        <f t="shared" si="45"/>
        <v>0</v>
      </c>
      <c r="H72" s="308">
        <f t="shared" si="45"/>
        <v>0</v>
      </c>
      <c r="I72" s="308">
        <f t="shared" si="45"/>
        <v>0</v>
      </c>
      <c r="J72" s="308">
        <f t="shared" si="45"/>
        <v>0</v>
      </c>
      <c r="K72" s="308">
        <f t="shared" si="45"/>
        <v>0</v>
      </c>
      <c r="L72" s="308">
        <f t="shared" si="45"/>
        <v>0</v>
      </c>
      <c r="M72" s="308">
        <f t="shared" si="45"/>
        <v>0</v>
      </c>
      <c r="N72" s="308">
        <f t="shared" si="45"/>
        <v>0</v>
      </c>
      <c r="O72" s="308">
        <f t="shared" si="45"/>
        <v>88500</v>
      </c>
      <c r="P72" s="444">
        <f t="shared" ref="P72:P77" si="46">+C72-SUM(D72:O72)</f>
        <v>-0.47400000000197906</v>
      </c>
      <c r="Q72" s="322"/>
      <c r="R72" s="323"/>
    </row>
    <row r="73" spans="1:18" ht="15.75" hidden="1" x14ac:dyDescent="0.25">
      <c r="A73" s="71" t="s">
        <v>168</v>
      </c>
      <c r="B73" s="53" t="s">
        <v>169</v>
      </c>
      <c r="C73" s="319">
        <f>+'2 Össz'!E72</f>
        <v>0</v>
      </c>
      <c r="D73" s="24">
        <f t="shared" ref="D73:O73" si="47">+ROUND($C$73/12,0)</f>
        <v>0</v>
      </c>
      <c r="E73" s="24">
        <f t="shared" si="47"/>
        <v>0</v>
      </c>
      <c r="F73" s="24">
        <f t="shared" si="47"/>
        <v>0</v>
      </c>
      <c r="G73" s="24">
        <f t="shared" si="47"/>
        <v>0</v>
      </c>
      <c r="H73" s="24">
        <f t="shared" si="47"/>
        <v>0</v>
      </c>
      <c r="I73" s="24">
        <f t="shared" si="47"/>
        <v>0</v>
      </c>
      <c r="J73" s="24">
        <f t="shared" si="47"/>
        <v>0</v>
      </c>
      <c r="K73" s="24">
        <f t="shared" si="47"/>
        <v>0</v>
      </c>
      <c r="L73" s="24">
        <f t="shared" si="47"/>
        <v>0</v>
      </c>
      <c r="M73" s="24">
        <f t="shared" si="47"/>
        <v>0</v>
      </c>
      <c r="N73" s="24">
        <f t="shared" si="47"/>
        <v>0</v>
      </c>
      <c r="O73" s="24">
        <f t="shared" si="47"/>
        <v>0</v>
      </c>
      <c r="P73" s="444">
        <f t="shared" si="46"/>
        <v>0</v>
      </c>
      <c r="Q73" s="320"/>
      <c r="R73" s="314"/>
    </row>
    <row r="74" spans="1:18" ht="15.75" hidden="1" x14ac:dyDescent="0.25">
      <c r="A74" s="66" t="s">
        <v>170</v>
      </c>
      <c r="B74" s="53" t="s">
        <v>171</v>
      </c>
      <c r="C74" s="319">
        <f>+'2 Össz'!E73</f>
        <v>0</v>
      </c>
      <c r="D74" s="24">
        <f t="shared" ref="D74:O75" si="48">+ROUND($C$74/12,0)</f>
        <v>0</v>
      </c>
      <c r="E74" s="24">
        <f t="shared" si="48"/>
        <v>0</v>
      </c>
      <c r="F74" s="24">
        <f t="shared" si="48"/>
        <v>0</v>
      </c>
      <c r="G74" s="24">
        <f t="shared" si="48"/>
        <v>0</v>
      </c>
      <c r="H74" s="24">
        <f t="shared" si="48"/>
        <v>0</v>
      </c>
      <c r="I74" s="24">
        <f t="shared" si="48"/>
        <v>0</v>
      </c>
      <c r="J74" s="24">
        <f t="shared" si="48"/>
        <v>0</v>
      </c>
      <c r="K74" s="24">
        <f t="shared" si="48"/>
        <v>0</v>
      </c>
      <c r="L74" s="24">
        <f t="shared" si="48"/>
        <v>0</v>
      </c>
      <c r="M74" s="24">
        <f t="shared" si="48"/>
        <v>0</v>
      </c>
      <c r="N74" s="24">
        <f t="shared" si="48"/>
        <v>0</v>
      </c>
      <c r="O74" s="24">
        <f t="shared" si="48"/>
        <v>0</v>
      </c>
      <c r="P74" s="444">
        <f t="shared" si="46"/>
        <v>0</v>
      </c>
      <c r="Q74" s="320"/>
      <c r="R74" s="314"/>
    </row>
    <row r="75" spans="1:18" ht="15.75" hidden="1" x14ac:dyDescent="0.25">
      <c r="A75" s="66" t="s">
        <v>172</v>
      </c>
      <c r="B75" s="53" t="s">
        <v>173</v>
      </c>
      <c r="C75" s="319">
        <f>+'2 Össz'!E74</f>
        <v>0</v>
      </c>
      <c r="D75" s="24">
        <f t="shared" si="48"/>
        <v>0</v>
      </c>
      <c r="E75" s="24">
        <f t="shared" si="48"/>
        <v>0</v>
      </c>
      <c r="F75" s="24">
        <f t="shared" si="48"/>
        <v>0</v>
      </c>
      <c r="G75" s="24">
        <f t="shared" si="48"/>
        <v>0</v>
      </c>
      <c r="H75" s="24">
        <f t="shared" si="48"/>
        <v>0</v>
      </c>
      <c r="I75" s="24">
        <f t="shared" si="48"/>
        <v>0</v>
      </c>
      <c r="J75" s="24">
        <f t="shared" si="48"/>
        <v>0</v>
      </c>
      <c r="K75" s="24">
        <f t="shared" si="48"/>
        <v>0</v>
      </c>
      <c r="L75" s="24">
        <f t="shared" si="48"/>
        <v>0</v>
      </c>
      <c r="M75" s="24">
        <f t="shared" si="48"/>
        <v>0</v>
      </c>
      <c r="N75" s="24">
        <f t="shared" si="48"/>
        <v>0</v>
      </c>
      <c r="O75" s="24">
        <f t="shared" si="48"/>
        <v>0</v>
      </c>
      <c r="P75" s="444">
        <f t="shared" si="46"/>
        <v>0</v>
      </c>
      <c r="Q75" s="320"/>
      <c r="R75" s="314"/>
    </row>
    <row r="76" spans="1:18" s="324" customFormat="1" ht="15.75" x14ac:dyDescent="0.25">
      <c r="A76" s="307" t="s">
        <v>174</v>
      </c>
      <c r="B76" s="90" t="s">
        <v>175</v>
      </c>
      <c r="C76" s="308">
        <f>SUM(C72:C75)</f>
        <v>124565.526</v>
      </c>
      <c r="D76" s="308">
        <f>SUM(D72:D75)</f>
        <v>36066</v>
      </c>
      <c r="E76" s="308">
        <f t="shared" ref="E76:O76" si="49">+E74+E73+E72</f>
        <v>0</v>
      </c>
      <c r="F76" s="308">
        <f t="shared" si="49"/>
        <v>0</v>
      </c>
      <c r="G76" s="308">
        <f t="shared" si="49"/>
        <v>0</v>
      </c>
      <c r="H76" s="308">
        <f t="shared" si="49"/>
        <v>0</v>
      </c>
      <c r="I76" s="308">
        <f t="shared" si="49"/>
        <v>0</v>
      </c>
      <c r="J76" s="308">
        <f t="shared" si="49"/>
        <v>0</v>
      </c>
      <c r="K76" s="308">
        <f t="shared" si="49"/>
        <v>0</v>
      </c>
      <c r="L76" s="308">
        <f t="shared" si="49"/>
        <v>0</v>
      </c>
      <c r="M76" s="308">
        <f t="shared" si="49"/>
        <v>0</v>
      </c>
      <c r="N76" s="308">
        <f t="shared" si="49"/>
        <v>0</v>
      </c>
      <c r="O76" s="308">
        <f t="shared" si="49"/>
        <v>88500</v>
      </c>
      <c r="P76" s="444">
        <f t="shared" si="46"/>
        <v>-0.47400000000197906</v>
      </c>
      <c r="Q76" s="320"/>
      <c r="R76" s="323"/>
    </row>
    <row r="77" spans="1:18" s="324" customFormat="1" ht="15.75" x14ac:dyDescent="0.25">
      <c r="A77" s="113" t="s">
        <v>176</v>
      </c>
      <c r="B77" s="113" t="s">
        <v>177</v>
      </c>
      <c r="C77" s="92">
        <f t="shared" ref="C77:O77" si="50">+C59+C76</f>
        <v>6520922.1584899994</v>
      </c>
      <c r="D77" s="92">
        <f t="shared" si="50"/>
        <v>329637</v>
      </c>
      <c r="E77" s="92">
        <f t="shared" si="50"/>
        <v>316053.5</v>
      </c>
      <c r="F77" s="92">
        <f t="shared" si="50"/>
        <v>314169</v>
      </c>
      <c r="G77" s="92">
        <f t="shared" si="50"/>
        <v>469159</v>
      </c>
      <c r="H77" s="92">
        <f t="shared" si="50"/>
        <v>467852</v>
      </c>
      <c r="I77" s="92">
        <f t="shared" si="50"/>
        <v>505358</v>
      </c>
      <c r="J77" s="92">
        <f t="shared" si="50"/>
        <v>429698</v>
      </c>
      <c r="K77" s="92">
        <f t="shared" si="50"/>
        <v>836953</v>
      </c>
      <c r="L77" s="92">
        <f t="shared" si="50"/>
        <v>729126</v>
      </c>
      <c r="M77" s="92">
        <f t="shared" si="50"/>
        <v>596131</v>
      </c>
      <c r="N77" s="92">
        <f t="shared" si="50"/>
        <v>732435</v>
      </c>
      <c r="O77" s="92">
        <f t="shared" si="50"/>
        <v>794351</v>
      </c>
      <c r="P77" s="444">
        <f t="shared" si="46"/>
        <v>-0.34151000063866377</v>
      </c>
      <c r="Q77" s="320"/>
      <c r="R77" s="323"/>
    </row>
    <row r="78" spans="1:18" ht="15.75" hidden="1" x14ac:dyDescent="0.25">
      <c r="A78" s="13"/>
      <c r="B78" s="23"/>
      <c r="C78" s="319"/>
      <c r="D78" s="24"/>
      <c r="E78" s="325"/>
      <c r="F78" s="325"/>
      <c r="G78" s="325"/>
      <c r="H78" s="325"/>
      <c r="I78" s="325"/>
      <c r="J78" s="325"/>
      <c r="K78" s="325"/>
      <c r="L78" s="325"/>
      <c r="M78" s="325"/>
      <c r="N78" s="325"/>
      <c r="O78" s="325"/>
      <c r="P78" s="444"/>
      <c r="Q78" s="320"/>
      <c r="R78" s="314"/>
    </row>
    <row r="79" spans="1:18" s="318" customFormat="1" ht="31.5" x14ac:dyDescent="0.25">
      <c r="A79" s="19" t="s">
        <v>12</v>
      </c>
      <c r="B79" s="47" t="s">
        <v>38</v>
      </c>
      <c r="C79" s="47" t="s">
        <v>543</v>
      </c>
      <c r="D79" s="315" t="s">
        <v>797</v>
      </c>
      <c r="E79" s="316" t="s">
        <v>798</v>
      </c>
      <c r="F79" s="316" t="s">
        <v>799</v>
      </c>
      <c r="G79" s="316" t="s">
        <v>800</v>
      </c>
      <c r="H79" s="316" t="s">
        <v>801</v>
      </c>
      <c r="I79" s="316" t="s">
        <v>802</v>
      </c>
      <c r="J79" s="316" t="s">
        <v>803</v>
      </c>
      <c r="K79" s="316" t="s">
        <v>804</v>
      </c>
      <c r="L79" s="316" t="s">
        <v>805</v>
      </c>
      <c r="M79" s="316" t="s">
        <v>806</v>
      </c>
      <c r="N79" s="316" t="s">
        <v>807</v>
      </c>
      <c r="O79" s="316" t="s">
        <v>808</v>
      </c>
      <c r="P79" s="444"/>
      <c r="Q79" s="317"/>
      <c r="R79" s="317"/>
    </row>
    <row r="80" spans="1:18" ht="15.75" x14ac:dyDescent="0.25">
      <c r="A80" s="51" t="s">
        <v>179</v>
      </c>
      <c r="B80" s="64" t="s">
        <v>180</v>
      </c>
      <c r="C80" s="319">
        <f>+'2 Össz'!E80/1000</f>
        <v>202130.44200000001</v>
      </c>
      <c r="D80" s="24">
        <f>+ROUND($C$80*0.12,0)</f>
        <v>24256</v>
      </c>
      <c r="E80" s="24">
        <f t="shared" ref="E80:N80" si="51">+ROUND($C$80*0.08,0)</f>
        <v>16170</v>
      </c>
      <c r="F80" s="24">
        <f t="shared" si="51"/>
        <v>16170</v>
      </c>
      <c r="G80" s="24">
        <f t="shared" si="51"/>
        <v>16170</v>
      </c>
      <c r="H80" s="24">
        <f t="shared" si="51"/>
        <v>16170</v>
      </c>
      <c r="I80" s="24">
        <f t="shared" si="51"/>
        <v>16170</v>
      </c>
      <c r="J80" s="24">
        <f t="shared" si="51"/>
        <v>16170</v>
      </c>
      <c r="K80" s="24">
        <f t="shared" si="51"/>
        <v>16170</v>
      </c>
      <c r="L80" s="24">
        <f t="shared" si="51"/>
        <v>16170</v>
      </c>
      <c r="M80" s="24">
        <f t="shared" si="51"/>
        <v>16170</v>
      </c>
      <c r="N80" s="24">
        <f t="shared" si="51"/>
        <v>16170</v>
      </c>
      <c r="O80" s="24">
        <f>+ROUND($C$80*0.08,0)+4.4</f>
        <v>16174.4</v>
      </c>
      <c r="P80" s="444">
        <f t="shared" ref="P80:P111" si="52">+C80-SUM(D80:O80)</f>
        <v>4.2000000015832484E-2</v>
      </c>
      <c r="Q80" s="320"/>
      <c r="R80" s="314"/>
    </row>
    <row r="81" spans="1:18" ht="15.75" x14ac:dyDescent="0.25">
      <c r="A81" s="53" t="s">
        <v>181</v>
      </c>
      <c r="B81" s="64" t="s">
        <v>182</v>
      </c>
      <c r="C81" s="319">
        <f>+'2 Össz'!E81/1000</f>
        <v>188104.65</v>
      </c>
      <c r="D81" s="24">
        <f>+ROUND($C$81*0.12,0)</f>
        <v>22573</v>
      </c>
      <c r="E81" s="24">
        <f t="shared" ref="E81:N81" si="53">+ROUND($C$81*0.08,0)</f>
        <v>15048</v>
      </c>
      <c r="F81" s="24">
        <f t="shared" si="53"/>
        <v>15048</v>
      </c>
      <c r="G81" s="24">
        <f t="shared" si="53"/>
        <v>15048</v>
      </c>
      <c r="H81" s="24">
        <f t="shared" si="53"/>
        <v>15048</v>
      </c>
      <c r="I81" s="24">
        <f t="shared" si="53"/>
        <v>15048</v>
      </c>
      <c r="J81" s="24">
        <f t="shared" si="53"/>
        <v>15048</v>
      </c>
      <c r="K81" s="24">
        <f t="shared" si="53"/>
        <v>15048</v>
      </c>
      <c r="L81" s="24">
        <f t="shared" si="53"/>
        <v>15048</v>
      </c>
      <c r="M81" s="24">
        <f t="shared" si="53"/>
        <v>15048</v>
      </c>
      <c r="N81" s="24">
        <f t="shared" si="53"/>
        <v>15048</v>
      </c>
      <c r="O81" s="24">
        <f>+ROUND($C$81*0.08,0)+4</f>
        <v>15052</v>
      </c>
      <c r="P81" s="444">
        <f t="shared" si="52"/>
        <v>-0.35000000000582077</v>
      </c>
      <c r="Q81" s="320"/>
      <c r="R81" s="314"/>
    </row>
    <row r="82" spans="1:18" ht="15.75" x14ac:dyDescent="0.25">
      <c r="A82" s="53" t="s">
        <v>794</v>
      </c>
      <c r="B82" s="64" t="s">
        <v>184</v>
      </c>
      <c r="C82" s="319">
        <f>+'2 Össz'!E82/1000</f>
        <v>565150.34</v>
      </c>
      <c r="D82" s="24">
        <f>+ROUND($C$82*0.12,0)</f>
        <v>67818</v>
      </c>
      <c r="E82" s="24">
        <f t="shared" ref="E82:N82" si="54">+ROUND($C$82*0.08,0)</f>
        <v>45212</v>
      </c>
      <c r="F82" s="24">
        <f t="shared" si="54"/>
        <v>45212</v>
      </c>
      <c r="G82" s="24">
        <f t="shared" si="54"/>
        <v>45212</v>
      </c>
      <c r="H82" s="24">
        <f t="shared" si="54"/>
        <v>45212</v>
      </c>
      <c r="I82" s="24">
        <f t="shared" si="54"/>
        <v>45212</v>
      </c>
      <c r="J82" s="24">
        <f t="shared" si="54"/>
        <v>45212</v>
      </c>
      <c r="K82" s="24">
        <f t="shared" si="54"/>
        <v>45212</v>
      </c>
      <c r="L82" s="24">
        <f t="shared" si="54"/>
        <v>45212</v>
      </c>
      <c r="M82" s="24">
        <f t="shared" si="54"/>
        <v>45212</v>
      </c>
      <c r="N82" s="24">
        <f t="shared" si="54"/>
        <v>45212</v>
      </c>
      <c r="O82" s="24">
        <f>+ROUND($C$82*0.08,0)</f>
        <v>45212</v>
      </c>
      <c r="P82" s="444">
        <f t="shared" si="52"/>
        <v>0.33999999996740371</v>
      </c>
      <c r="Q82" s="320"/>
      <c r="R82" s="314"/>
    </row>
    <row r="83" spans="1:18" ht="15.75" x14ac:dyDescent="0.25">
      <c r="A83" s="53" t="s">
        <v>185</v>
      </c>
      <c r="B83" s="64" t="s">
        <v>186</v>
      </c>
      <c r="C83" s="319">
        <f>+'2 Össz'!E83/1000</f>
        <v>13368.08</v>
      </c>
      <c r="D83" s="24">
        <f>+ROUND($C$83*0.12,0)</f>
        <v>1604</v>
      </c>
      <c r="E83" s="24">
        <f t="shared" ref="E83:N83" si="55">+ROUND($C$83*0.08,0)</f>
        <v>1069</v>
      </c>
      <c r="F83" s="24">
        <f t="shared" si="55"/>
        <v>1069</v>
      </c>
      <c r="G83" s="24">
        <f t="shared" si="55"/>
        <v>1069</v>
      </c>
      <c r="H83" s="24">
        <f t="shared" si="55"/>
        <v>1069</v>
      </c>
      <c r="I83" s="24">
        <f t="shared" si="55"/>
        <v>1069</v>
      </c>
      <c r="J83" s="24">
        <f t="shared" si="55"/>
        <v>1069</v>
      </c>
      <c r="K83" s="24">
        <f t="shared" si="55"/>
        <v>1069</v>
      </c>
      <c r="L83" s="24">
        <f t="shared" si="55"/>
        <v>1069</v>
      </c>
      <c r="M83" s="24">
        <f t="shared" si="55"/>
        <v>1069</v>
      </c>
      <c r="N83" s="24">
        <f t="shared" si="55"/>
        <v>1069</v>
      </c>
      <c r="O83" s="24">
        <f>+ROUND($C$83*0.08,0)+5</f>
        <v>1074</v>
      </c>
      <c r="P83" s="444">
        <f t="shared" si="52"/>
        <v>7.999999999992724E-2</v>
      </c>
      <c r="Q83" s="320"/>
      <c r="R83" s="314"/>
    </row>
    <row r="84" spans="1:18" ht="15.75" x14ac:dyDescent="0.25">
      <c r="A84" s="53" t="s">
        <v>187</v>
      </c>
      <c r="B84" s="64" t="s">
        <v>188</v>
      </c>
      <c r="C84" s="319">
        <f>+'2 Össz'!E84/1000</f>
        <v>215870.61300000001</v>
      </c>
      <c r="D84" s="24"/>
      <c r="E84" s="24"/>
      <c r="F84" s="24"/>
      <c r="G84" s="24"/>
      <c r="H84" s="24">
        <v>23576</v>
      </c>
      <c r="I84" s="24"/>
      <c r="J84" s="24"/>
      <c r="K84" s="24"/>
      <c r="L84" s="24"/>
      <c r="M84" s="24"/>
      <c r="N84" s="24">
        <v>130000</v>
      </c>
      <c r="O84" s="24">
        <v>62294</v>
      </c>
      <c r="P84" s="444">
        <f t="shared" si="52"/>
        <v>0.61300000001210719</v>
      </c>
      <c r="Q84" s="320"/>
      <c r="R84" s="314"/>
    </row>
    <row r="85" spans="1:18" ht="15.75" x14ac:dyDescent="0.25">
      <c r="A85" s="53" t="s">
        <v>189</v>
      </c>
      <c r="B85" s="64" t="s">
        <v>190</v>
      </c>
      <c r="C85" s="319">
        <f>+'2 Össz'!E85/1000</f>
        <v>0</v>
      </c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444">
        <f t="shared" si="52"/>
        <v>0</v>
      </c>
      <c r="Q85" s="320"/>
      <c r="R85" s="314"/>
    </row>
    <row r="86" spans="1:18" s="324" customFormat="1" ht="15.75" x14ac:dyDescent="0.25">
      <c r="A86" s="90" t="s">
        <v>191</v>
      </c>
      <c r="B86" s="91" t="s">
        <v>192</v>
      </c>
      <c r="C86" s="92">
        <f t="shared" ref="C86:O86" si="56">SUM(C80:C85)</f>
        <v>1184624.125</v>
      </c>
      <c r="D86" s="92">
        <f t="shared" si="56"/>
        <v>116251</v>
      </c>
      <c r="E86" s="92">
        <f t="shared" si="56"/>
        <v>77499</v>
      </c>
      <c r="F86" s="92">
        <f t="shared" si="56"/>
        <v>77499</v>
      </c>
      <c r="G86" s="92">
        <f t="shared" si="56"/>
        <v>77499</v>
      </c>
      <c r="H86" s="92">
        <f t="shared" si="56"/>
        <v>101075</v>
      </c>
      <c r="I86" s="92">
        <f t="shared" si="56"/>
        <v>77499</v>
      </c>
      <c r="J86" s="92">
        <f t="shared" si="56"/>
        <v>77499</v>
      </c>
      <c r="K86" s="92">
        <f t="shared" si="56"/>
        <v>77499</v>
      </c>
      <c r="L86" s="92">
        <f t="shared" si="56"/>
        <v>77499</v>
      </c>
      <c r="M86" s="92">
        <f t="shared" si="56"/>
        <v>77499</v>
      </c>
      <c r="N86" s="92">
        <f t="shared" si="56"/>
        <v>207499</v>
      </c>
      <c r="O86" s="92">
        <f t="shared" si="56"/>
        <v>139806.39999999999</v>
      </c>
      <c r="P86" s="444">
        <f t="shared" si="52"/>
        <v>0.72500000009313226</v>
      </c>
      <c r="Q86" s="322"/>
      <c r="R86" s="323"/>
    </row>
    <row r="87" spans="1:18" ht="15.75" x14ac:dyDescent="0.25">
      <c r="A87" s="53" t="s">
        <v>193</v>
      </c>
      <c r="B87" s="64" t="s">
        <v>194</v>
      </c>
      <c r="C87" s="319">
        <f>+'2 Össz'!E87/1000</f>
        <v>0</v>
      </c>
      <c r="D87" s="24"/>
      <c r="E87" s="325"/>
      <c r="F87" s="325"/>
      <c r="G87" s="325"/>
      <c r="H87" s="325"/>
      <c r="I87" s="325"/>
      <c r="J87" s="325"/>
      <c r="K87" s="325"/>
      <c r="L87" s="325"/>
      <c r="M87" s="325"/>
      <c r="N87" s="325"/>
      <c r="O87" s="325"/>
      <c r="P87" s="444">
        <f t="shared" si="52"/>
        <v>0</v>
      </c>
      <c r="Q87" s="320"/>
      <c r="R87" s="314"/>
    </row>
    <row r="88" spans="1:18" ht="15.75" x14ac:dyDescent="0.25">
      <c r="A88" s="53" t="s">
        <v>604</v>
      </c>
      <c r="B88" s="64" t="s">
        <v>196</v>
      </c>
      <c r="C88" s="319">
        <f>+'2 Össz'!E88/1000</f>
        <v>0</v>
      </c>
      <c r="D88" s="24"/>
      <c r="E88" s="325"/>
      <c r="F88" s="325"/>
      <c r="G88" s="325"/>
      <c r="H88" s="325"/>
      <c r="I88" s="325"/>
      <c r="J88" s="325"/>
      <c r="K88" s="325"/>
      <c r="L88" s="325"/>
      <c r="M88" s="325"/>
      <c r="N88" s="325"/>
      <c r="O88" s="325"/>
      <c r="P88" s="444">
        <f t="shared" si="52"/>
        <v>0</v>
      </c>
      <c r="Q88" s="320"/>
      <c r="R88" s="314"/>
    </row>
    <row r="89" spans="1:18" ht="15.75" x14ac:dyDescent="0.25">
      <c r="A89" s="53" t="s">
        <v>605</v>
      </c>
      <c r="B89" s="64" t="s">
        <v>198</v>
      </c>
      <c r="C89" s="319">
        <f>+'2 Össz'!E89/1000</f>
        <v>0</v>
      </c>
      <c r="D89" s="24"/>
      <c r="E89" s="325"/>
      <c r="F89" s="325"/>
      <c r="G89" s="325"/>
      <c r="H89" s="325"/>
      <c r="I89" s="325"/>
      <c r="J89" s="325"/>
      <c r="K89" s="325"/>
      <c r="L89" s="325"/>
      <c r="M89" s="325"/>
      <c r="N89" s="325"/>
      <c r="O89" s="325"/>
      <c r="P89" s="444">
        <f t="shared" si="52"/>
        <v>0</v>
      </c>
      <c r="Q89" s="320"/>
      <c r="R89" s="314"/>
    </row>
    <row r="90" spans="1:18" ht="15.75" x14ac:dyDescent="0.25">
      <c r="A90" s="53" t="s">
        <v>606</v>
      </c>
      <c r="B90" s="64" t="s">
        <v>200</v>
      </c>
      <c r="C90" s="319">
        <f>+'2 Össz'!E90/1000</f>
        <v>0</v>
      </c>
      <c r="D90" s="24"/>
      <c r="E90" s="325"/>
      <c r="F90" s="325"/>
      <c r="G90" s="325"/>
      <c r="H90" s="325"/>
      <c r="I90" s="325"/>
      <c r="J90" s="325"/>
      <c r="K90" s="325"/>
      <c r="L90" s="325"/>
      <c r="M90" s="325"/>
      <c r="N90" s="325"/>
      <c r="O90" s="325"/>
      <c r="P90" s="444">
        <f t="shared" si="52"/>
        <v>0</v>
      </c>
      <c r="Q90" s="320"/>
      <c r="R90" s="314"/>
    </row>
    <row r="91" spans="1:18" ht="15.75" x14ac:dyDescent="0.25">
      <c r="A91" s="53" t="s">
        <v>201</v>
      </c>
      <c r="B91" s="64" t="s">
        <v>202</v>
      </c>
      <c r="C91" s="319">
        <f>+'2 Össz'!E91/1000</f>
        <v>1060144.831</v>
      </c>
      <c r="D91" s="24">
        <f>67375+6287</f>
        <v>73662</v>
      </c>
      <c r="E91" s="24">
        <f>28000</f>
        <v>28000</v>
      </c>
      <c r="F91" s="24"/>
      <c r="G91" s="24">
        <v>4206</v>
      </c>
      <c r="H91" s="24">
        <v>14949</v>
      </c>
      <c r="I91" s="24">
        <v>28940</v>
      </c>
      <c r="J91" s="24"/>
      <c r="K91" s="24">
        <v>367364</v>
      </c>
      <c r="L91" s="24">
        <v>95938</v>
      </c>
      <c r="M91" s="24">
        <v>145000</v>
      </c>
      <c r="N91" s="24">
        <v>119361</v>
      </c>
      <c r="O91" s="24">
        <v>182725</v>
      </c>
      <c r="P91" s="444">
        <f t="shared" si="52"/>
        <v>-0.16899999999441206</v>
      </c>
      <c r="Q91" s="320"/>
      <c r="R91" s="314"/>
    </row>
    <row r="92" spans="1:18" s="324" customFormat="1" ht="15.75" x14ac:dyDescent="0.25">
      <c r="A92" s="90" t="s">
        <v>203</v>
      </c>
      <c r="B92" s="91" t="s">
        <v>204</v>
      </c>
      <c r="C92" s="92">
        <f t="shared" ref="C92:O92" si="57">+C91+C90+C89+C88+C87+C86</f>
        <v>2244768.9560000002</v>
      </c>
      <c r="D92" s="92">
        <f t="shared" si="57"/>
        <v>189913</v>
      </c>
      <c r="E92" s="92">
        <f t="shared" si="57"/>
        <v>105499</v>
      </c>
      <c r="F92" s="92">
        <f t="shared" si="57"/>
        <v>77499</v>
      </c>
      <c r="G92" s="92">
        <f t="shared" si="57"/>
        <v>81705</v>
      </c>
      <c r="H92" s="92">
        <f t="shared" si="57"/>
        <v>116024</v>
      </c>
      <c r="I92" s="92">
        <f t="shared" si="57"/>
        <v>106439</v>
      </c>
      <c r="J92" s="92">
        <f t="shared" si="57"/>
        <v>77499</v>
      </c>
      <c r="K92" s="92">
        <f t="shared" si="57"/>
        <v>444863</v>
      </c>
      <c r="L92" s="92">
        <f t="shared" si="57"/>
        <v>173437</v>
      </c>
      <c r="M92" s="92">
        <f t="shared" si="57"/>
        <v>222499</v>
      </c>
      <c r="N92" s="92">
        <f t="shared" si="57"/>
        <v>326860</v>
      </c>
      <c r="O92" s="92">
        <f t="shared" si="57"/>
        <v>322531.40000000002</v>
      </c>
      <c r="P92" s="444">
        <f t="shared" si="52"/>
        <v>0.55600000033155084</v>
      </c>
      <c r="Q92" s="320"/>
      <c r="R92" s="323"/>
    </row>
    <row r="93" spans="1:18" ht="15.75" x14ac:dyDescent="0.25">
      <c r="A93" s="56" t="s">
        <v>205</v>
      </c>
      <c r="B93" s="65" t="s">
        <v>206</v>
      </c>
      <c r="C93" s="319">
        <f>+'2 Össz'!E93/1000</f>
        <v>576714.76199999999</v>
      </c>
      <c r="D93" s="25"/>
      <c r="E93" s="25"/>
      <c r="F93" s="25">
        <v>126900</v>
      </c>
      <c r="G93" s="25"/>
      <c r="H93" s="25">
        <f>+ROUND($C$93/12,0)-53824+60000</f>
        <v>54236</v>
      </c>
      <c r="I93" s="25">
        <f>+ROUND($C$93/12,0)-38050</f>
        <v>10010</v>
      </c>
      <c r="J93" s="25">
        <f>+ROUND($C$93/12,0)+26071</f>
        <v>74131</v>
      </c>
      <c r="K93" s="25"/>
      <c r="L93" s="25"/>
      <c r="M93" s="25"/>
      <c r="N93" s="25">
        <v>113191</v>
      </c>
      <c r="O93" s="25">
        <v>198247</v>
      </c>
      <c r="P93" s="444">
        <f t="shared" si="52"/>
        <v>-0.23800000001210719</v>
      </c>
      <c r="Q93" s="320"/>
      <c r="R93" s="314"/>
    </row>
    <row r="94" spans="1:18" ht="15.75" x14ac:dyDescent="0.25">
      <c r="A94" s="53" t="s">
        <v>207</v>
      </c>
      <c r="B94" s="64" t="s">
        <v>208</v>
      </c>
      <c r="C94" s="319">
        <f>+'2 Össz'!E94/1000</f>
        <v>0</v>
      </c>
      <c r="D94" s="24"/>
      <c r="E94" s="325"/>
      <c r="F94" s="325"/>
      <c r="G94" s="325"/>
      <c r="H94" s="325"/>
      <c r="I94" s="325"/>
      <c r="J94" s="325"/>
      <c r="K94" s="325"/>
      <c r="L94" s="325"/>
      <c r="M94" s="325"/>
      <c r="N94" s="325"/>
      <c r="O94" s="325"/>
      <c r="P94" s="444">
        <f t="shared" si="52"/>
        <v>0</v>
      </c>
      <c r="Q94" s="320"/>
      <c r="R94" s="314"/>
    </row>
    <row r="95" spans="1:18" ht="15.75" x14ac:dyDescent="0.25">
      <c r="A95" s="53" t="s">
        <v>209</v>
      </c>
      <c r="B95" s="64" t="s">
        <v>210</v>
      </c>
      <c r="C95" s="319">
        <f>+'2 Össz'!E95/1000</f>
        <v>0</v>
      </c>
      <c r="D95" s="24"/>
      <c r="E95" s="325"/>
      <c r="F95" s="325"/>
      <c r="G95" s="325"/>
      <c r="H95" s="325"/>
      <c r="I95" s="325"/>
      <c r="J95" s="325"/>
      <c r="K95" s="325"/>
      <c r="L95" s="325"/>
      <c r="M95" s="325"/>
      <c r="N95" s="325"/>
      <c r="O95" s="325"/>
      <c r="P95" s="444">
        <f t="shared" si="52"/>
        <v>0</v>
      </c>
      <c r="Q95" s="320"/>
      <c r="R95" s="314"/>
    </row>
    <row r="96" spans="1:18" ht="15.75" x14ac:dyDescent="0.25">
      <c r="A96" s="53" t="s">
        <v>211</v>
      </c>
      <c r="B96" s="64" t="s">
        <v>212</v>
      </c>
      <c r="C96" s="319">
        <f>+'2 Össz'!E96/1000</f>
        <v>0</v>
      </c>
      <c r="D96" s="24"/>
      <c r="E96" s="325"/>
      <c r="F96" s="325"/>
      <c r="G96" s="325"/>
      <c r="H96" s="325"/>
      <c r="I96" s="325"/>
      <c r="J96" s="325"/>
      <c r="K96" s="325"/>
      <c r="L96" s="325"/>
      <c r="M96" s="325"/>
      <c r="N96" s="325"/>
      <c r="O96" s="325"/>
      <c r="P96" s="444">
        <f t="shared" si="52"/>
        <v>0</v>
      </c>
      <c r="Q96" s="320"/>
      <c r="R96" s="314"/>
    </row>
    <row r="97" spans="1:18" ht="15.75" x14ac:dyDescent="0.25">
      <c r="A97" s="53" t="s">
        <v>213</v>
      </c>
      <c r="B97" s="64" t="s">
        <v>214</v>
      </c>
      <c r="C97" s="319">
        <f>+'2 Össz'!E97/1000</f>
        <v>113500</v>
      </c>
      <c r="D97" s="24"/>
      <c r="E97" s="24">
        <f>+ROUND($C$97/12,0)*2</f>
        <v>18916</v>
      </c>
      <c r="F97" s="24">
        <f>+ROUND($C$97/12,0)*2-507</f>
        <v>18409</v>
      </c>
      <c r="G97" s="24">
        <f>+ROUND($C$97/12,0)</f>
        <v>9458</v>
      </c>
      <c r="H97" s="24">
        <f>+ROUND($C$97/12,0)</f>
        <v>9458</v>
      </c>
      <c r="I97" s="24">
        <f>+ROUND($C$97/12,0)*2+507</f>
        <v>19423</v>
      </c>
      <c r="J97" s="24"/>
      <c r="K97" s="24"/>
      <c r="L97" s="24">
        <f>+ROUND($C$97/12,0)*2</f>
        <v>18916</v>
      </c>
      <c r="M97" s="24">
        <f>+ROUND($C$97/12,0)+4</f>
        <v>9462</v>
      </c>
      <c r="N97" s="24"/>
      <c r="O97" s="24">
        <f>+ROUND($C$97/12,0)</f>
        <v>9458</v>
      </c>
      <c r="P97" s="444">
        <f t="shared" si="52"/>
        <v>0</v>
      </c>
      <c r="Q97" s="320"/>
      <c r="R97" s="314"/>
    </row>
    <row r="98" spans="1:18" ht="15.75" x14ac:dyDescent="0.25">
      <c r="A98" s="53" t="s">
        <v>215</v>
      </c>
      <c r="B98" s="64" t="s">
        <v>216</v>
      </c>
      <c r="C98" s="319">
        <f>+'2 Össz'!E98/1000</f>
        <v>318500</v>
      </c>
      <c r="D98" s="24"/>
      <c r="E98" s="24">
        <f>+ROUND($C$98/12,0)*2</f>
        <v>53084</v>
      </c>
      <c r="F98" s="24">
        <f>+ROUND($C$98/12,0)*2</f>
        <v>53084</v>
      </c>
      <c r="G98" s="24">
        <f>+ROUND($C$98/12,0)</f>
        <v>26542</v>
      </c>
      <c r="H98" s="24">
        <f>+ROUND($C$98/12,0)*2</f>
        <v>53084</v>
      </c>
      <c r="I98" s="24">
        <f>+ROUND($C$98/12,0)*2</f>
        <v>53084</v>
      </c>
      <c r="J98" s="24"/>
      <c r="K98" s="24"/>
      <c r="L98" s="24">
        <f>+ROUND($C$98/12,0)*2</f>
        <v>53084</v>
      </c>
      <c r="M98" s="24">
        <f>+ROUND($C$98/12,0)-4</f>
        <v>26538</v>
      </c>
      <c r="N98" s="24"/>
      <c r="O98" s="24"/>
      <c r="P98" s="444">
        <f t="shared" si="52"/>
        <v>0</v>
      </c>
      <c r="Q98" s="320"/>
      <c r="R98" s="314"/>
    </row>
    <row r="99" spans="1:18" ht="15.75" x14ac:dyDescent="0.25">
      <c r="A99" s="53" t="s">
        <v>217</v>
      </c>
      <c r="B99" s="64" t="s">
        <v>218</v>
      </c>
      <c r="C99" s="319">
        <f>+'2 Össz'!E99/1000</f>
        <v>500</v>
      </c>
      <c r="D99" s="24">
        <f t="shared" ref="D99:N99" si="58">+ROUND($C$99/12,0)</f>
        <v>42</v>
      </c>
      <c r="E99" s="24">
        <f t="shared" si="58"/>
        <v>42</v>
      </c>
      <c r="F99" s="24">
        <f t="shared" si="58"/>
        <v>42</v>
      </c>
      <c r="G99" s="24">
        <f t="shared" si="58"/>
        <v>42</v>
      </c>
      <c r="H99" s="24">
        <f t="shared" si="58"/>
        <v>42</v>
      </c>
      <c r="I99" s="24">
        <f t="shared" si="58"/>
        <v>42</v>
      </c>
      <c r="J99" s="24">
        <f t="shared" si="58"/>
        <v>42</v>
      </c>
      <c r="K99" s="24">
        <f t="shared" si="58"/>
        <v>42</v>
      </c>
      <c r="L99" s="24">
        <f t="shared" si="58"/>
        <v>42</v>
      </c>
      <c r="M99" s="24">
        <f t="shared" si="58"/>
        <v>42</v>
      </c>
      <c r="N99" s="24">
        <f t="shared" si="58"/>
        <v>42</v>
      </c>
      <c r="O99" s="24">
        <f>+ROUND($C$99/12,0)-4</f>
        <v>38</v>
      </c>
      <c r="P99" s="444">
        <f t="shared" si="52"/>
        <v>0</v>
      </c>
      <c r="Q99" s="320"/>
      <c r="R99" s="314"/>
    </row>
    <row r="100" spans="1:18" s="324" customFormat="1" ht="15.75" x14ac:dyDescent="0.25">
      <c r="A100" s="90" t="s">
        <v>219</v>
      </c>
      <c r="B100" s="91" t="s">
        <v>220</v>
      </c>
      <c r="C100" s="92">
        <f t="shared" ref="C100:O100" si="59">SUM(C94:C99)</f>
        <v>432500</v>
      </c>
      <c r="D100" s="92">
        <f t="shared" si="59"/>
        <v>42</v>
      </c>
      <c r="E100" s="92">
        <f t="shared" si="59"/>
        <v>72042</v>
      </c>
      <c r="F100" s="92">
        <f t="shared" si="59"/>
        <v>71535</v>
      </c>
      <c r="G100" s="92">
        <f t="shared" si="59"/>
        <v>36042</v>
      </c>
      <c r="H100" s="92">
        <f t="shared" si="59"/>
        <v>62584</v>
      </c>
      <c r="I100" s="92">
        <f t="shared" si="59"/>
        <v>72549</v>
      </c>
      <c r="J100" s="92">
        <f t="shared" si="59"/>
        <v>42</v>
      </c>
      <c r="K100" s="92">
        <f t="shared" si="59"/>
        <v>42</v>
      </c>
      <c r="L100" s="92">
        <f t="shared" si="59"/>
        <v>72042</v>
      </c>
      <c r="M100" s="92">
        <f t="shared" si="59"/>
        <v>36042</v>
      </c>
      <c r="N100" s="92">
        <f t="shared" si="59"/>
        <v>42</v>
      </c>
      <c r="O100" s="92">
        <f t="shared" si="59"/>
        <v>9496</v>
      </c>
      <c r="P100" s="444">
        <f t="shared" si="52"/>
        <v>0</v>
      </c>
      <c r="Q100" s="320"/>
      <c r="R100" s="323"/>
    </row>
    <row r="101" spans="1:18" ht="15.75" x14ac:dyDescent="0.25">
      <c r="A101" s="66" t="s">
        <v>221</v>
      </c>
      <c r="B101" s="64" t="s">
        <v>222</v>
      </c>
      <c r="C101" s="319">
        <f>+'2 Össz'!E101/1000</f>
        <v>1044</v>
      </c>
      <c r="D101" s="24">
        <f t="shared" ref="D101:N101" si="60">+ROUND($C$101/12,0)</f>
        <v>87</v>
      </c>
      <c r="E101" s="24">
        <f t="shared" si="60"/>
        <v>87</v>
      </c>
      <c r="F101" s="24"/>
      <c r="G101" s="24">
        <f t="shared" si="60"/>
        <v>87</v>
      </c>
      <c r="H101" s="24">
        <f>+ROUND($C$101/12,0)*2</f>
        <v>174</v>
      </c>
      <c r="I101" s="24">
        <f t="shared" si="60"/>
        <v>87</v>
      </c>
      <c r="J101" s="24">
        <f t="shared" si="60"/>
        <v>87</v>
      </c>
      <c r="K101" s="24">
        <f t="shared" si="60"/>
        <v>87</v>
      </c>
      <c r="L101" s="24">
        <f t="shared" si="60"/>
        <v>87</v>
      </c>
      <c r="M101" s="24">
        <f t="shared" si="60"/>
        <v>87</v>
      </c>
      <c r="N101" s="24">
        <f t="shared" si="60"/>
        <v>87</v>
      </c>
      <c r="O101" s="24">
        <f>+ROUND($C$101/12,0)</f>
        <v>87</v>
      </c>
      <c r="P101" s="444">
        <f t="shared" si="52"/>
        <v>0</v>
      </c>
      <c r="Q101" s="320"/>
      <c r="R101" s="314"/>
    </row>
    <row r="102" spans="1:18" ht="15.75" x14ac:dyDescent="0.25">
      <c r="A102" s="66" t="s">
        <v>223</v>
      </c>
      <c r="B102" s="64" t="s">
        <v>224</v>
      </c>
      <c r="C102" s="319">
        <f>+'2 Össz'!E102/1000</f>
        <v>264812.79300000001</v>
      </c>
      <c r="D102" s="24">
        <f t="shared" ref="D102:N102" si="61">+ROUND($C$102/12,0)</f>
        <v>22068</v>
      </c>
      <c r="E102" s="24">
        <f t="shared" si="61"/>
        <v>22068</v>
      </c>
      <c r="F102" s="24"/>
      <c r="G102" s="24">
        <f t="shared" si="61"/>
        <v>22068</v>
      </c>
      <c r="H102" s="24">
        <f>+ROUND($C$102/12,0)*2</f>
        <v>44136</v>
      </c>
      <c r="I102" s="24">
        <f t="shared" si="61"/>
        <v>22068</v>
      </c>
      <c r="J102" s="24">
        <f t="shared" si="61"/>
        <v>22068</v>
      </c>
      <c r="K102" s="24">
        <f t="shared" si="61"/>
        <v>22068</v>
      </c>
      <c r="L102" s="24">
        <f t="shared" si="61"/>
        <v>22068</v>
      </c>
      <c r="M102" s="24">
        <f t="shared" si="61"/>
        <v>22068</v>
      </c>
      <c r="N102" s="24">
        <f t="shared" si="61"/>
        <v>22068</v>
      </c>
      <c r="O102" s="24">
        <f>+ROUND($C$102/12,0)-3</f>
        <v>22065</v>
      </c>
      <c r="P102" s="444">
        <f t="shared" si="52"/>
        <v>-0.20699999999487773</v>
      </c>
      <c r="Q102" s="320"/>
      <c r="R102" s="314"/>
    </row>
    <row r="103" spans="1:18" ht="15.75" x14ac:dyDescent="0.25">
      <c r="A103" s="66" t="s">
        <v>225</v>
      </c>
      <c r="B103" s="64" t="s">
        <v>226</v>
      </c>
      <c r="C103" s="319">
        <f>+'2 Össz'!E103/1000</f>
        <v>5621</v>
      </c>
      <c r="D103" s="24">
        <f t="shared" ref="D103:N103" si="62">+ROUND($C$103/12,0)</f>
        <v>468</v>
      </c>
      <c r="E103" s="24">
        <f t="shared" si="62"/>
        <v>468</v>
      </c>
      <c r="F103" s="24"/>
      <c r="G103" s="24">
        <f t="shared" si="62"/>
        <v>468</v>
      </c>
      <c r="H103" s="24">
        <f>+ROUND($C$103/12,0)*2</f>
        <v>936</v>
      </c>
      <c r="I103" s="24">
        <f t="shared" si="62"/>
        <v>468</v>
      </c>
      <c r="J103" s="24">
        <f t="shared" si="62"/>
        <v>468</v>
      </c>
      <c r="K103" s="24">
        <f t="shared" si="62"/>
        <v>468</v>
      </c>
      <c r="L103" s="24">
        <f t="shared" si="62"/>
        <v>468</v>
      </c>
      <c r="M103" s="24">
        <f t="shared" si="62"/>
        <v>468</v>
      </c>
      <c r="N103" s="24">
        <f t="shared" si="62"/>
        <v>468</v>
      </c>
      <c r="O103" s="24">
        <f>+ROUND($C$103/12,0)+5</f>
        <v>473</v>
      </c>
      <c r="P103" s="444">
        <f t="shared" si="52"/>
        <v>0</v>
      </c>
      <c r="Q103" s="320"/>
      <c r="R103" s="314"/>
    </row>
    <row r="104" spans="1:18" ht="15.75" x14ac:dyDescent="0.25">
      <c r="A104" s="66" t="s">
        <v>227</v>
      </c>
      <c r="B104" s="64" t="s">
        <v>228</v>
      </c>
      <c r="C104" s="319">
        <f>+'2 Össz'!E104/1000</f>
        <v>6772.9989999999998</v>
      </c>
      <c r="D104" s="24">
        <f t="shared" ref="D104:N104" si="63">+ROUND($C$104/12,0)</f>
        <v>564</v>
      </c>
      <c r="E104" s="24">
        <f t="shared" si="63"/>
        <v>564</v>
      </c>
      <c r="F104" s="24"/>
      <c r="G104" s="24">
        <f t="shared" si="63"/>
        <v>564</v>
      </c>
      <c r="H104" s="24">
        <f>+ROUND($C$104/12,0)*2</f>
        <v>1128</v>
      </c>
      <c r="I104" s="24">
        <f t="shared" si="63"/>
        <v>564</v>
      </c>
      <c r="J104" s="24">
        <f t="shared" si="63"/>
        <v>564</v>
      </c>
      <c r="K104" s="24">
        <f t="shared" si="63"/>
        <v>564</v>
      </c>
      <c r="L104" s="24">
        <f t="shared" si="63"/>
        <v>564</v>
      </c>
      <c r="M104" s="24">
        <f t="shared" si="63"/>
        <v>564</v>
      </c>
      <c r="N104" s="24">
        <f t="shared" si="63"/>
        <v>564</v>
      </c>
      <c r="O104" s="24">
        <f>+ROUND($C$104/12,0)+5</f>
        <v>569</v>
      </c>
      <c r="P104" s="444">
        <f t="shared" si="52"/>
        <v>-1.0000000002037268E-3</v>
      </c>
      <c r="Q104" s="320"/>
      <c r="R104" s="314"/>
    </row>
    <row r="105" spans="1:18" ht="15.75" x14ac:dyDescent="0.25">
      <c r="A105" s="66" t="s">
        <v>229</v>
      </c>
      <c r="B105" s="64" t="s">
        <v>230</v>
      </c>
      <c r="C105" s="319">
        <f>+'2 Össz'!E105/1000</f>
        <v>155644.54</v>
      </c>
      <c r="D105" s="24">
        <f t="shared" ref="D105:N105" si="64">+ROUND($C$105/12,0)</f>
        <v>12970</v>
      </c>
      <c r="E105" s="24">
        <f t="shared" si="64"/>
        <v>12970</v>
      </c>
      <c r="F105" s="24"/>
      <c r="G105" s="24">
        <f t="shared" si="64"/>
        <v>12970</v>
      </c>
      <c r="H105" s="24">
        <f>+ROUND($C$105/12,0)*2</f>
        <v>25940</v>
      </c>
      <c r="I105" s="24">
        <f t="shared" si="64"/>
        <v>12970</v>
      </c>
      <c r="J105" s="24">
        <f t="shared" si="64"/>
        <v>12970</v>
      </c>
      <c r="K105" s="24">
        <f t="shared" si="64"/>
        <v>12970</v>
      </c>
      <c r="L105" s="24">
        <f t="shared" si="64"/>
        <v>12970</v>
      </c>
      <c r="M105" s="24">
        <f t="shared" si="64"/>
        <v>12970</v>
      </c>
      <c r="N105" s="24">
        <f t="shared" si="64"/>
        <v>12970</v>
      </c>
      <c r="O105" s="24">
        <f>+ROUND($C$105/12,0)+4.5</f>
        <v>12974.5</v>
      </c>
      <c r="P105" s="444">
        <f t="shared" si="52"/>
        <v>4.0000000008149073E-2</v>
      </c>
      <c r="Q105" s="320"/>
      <c r="R105" s="314"/>
    </row>
    <row r="106" spans="1:18" ht="15.75" x14ac:dyDescent="0.25">
      <c r="A106" s="66" t="s">
        <v>231</v>
      </c>
      <c r="B106" s="64" t="s">
        <v>232</v>
      </c>
      <c r="C106" s="319">
        <f>+'2 Össz'!E106/1000</f>
        <v>47401.985000000001</v>
      </c>
      <c r="D106" s="24">
        <f t="shared" ref="D106:N106" si="65">+ROUND($C$106/12,0)</f>
        <v>3950</v>
      </c>
      <c r="E106" s="24">
        <f t="shared" si="65"/>
        <v>3950</v>
      </c>
      <c r="F106" s="24"/>
      <c r="G106" s="24">
        <f t="shared" si="65"/>
        <v>3950</v>
      </c>
      <c r="H106" s="24">
        <f>+ROUND($C$106/12,0)*2</f>
        <v>7900</v>
      </c>
      <c r="I106" s="24">
        <f t="shared" si="65"/>
        <v>3950</v>
      </c>
      <c r="J106" s="24">
        <f t="shared" si="65"/>
        <v>3950</v>
      </c>
      <c r="K106" s="24">
        <f t="shared" si="65"/>
        <v>3950</v>
      </c>
      <c r="L106" s="24">
        <f t="shared" si="65"/>
        <v>3950</v>
      </c>
      <c r="M106" s="24">
        <f t="shared" si="65"/>
        <v>3950</v>
      </c>
      <c r="N106" s="24">
        <f t="shared" si="65"/>
        <v>3950</v>
      </c>
      <c r="O106" s="24">
        <f>+ROUND($C$106/12,0)+2</f>
        <v>3952</v>
      </c>
      <c r="P106" s="444">
        <f t="shared" si="52"/>
        <v>-1.4999999999417923E-2</v>
      </c>
      <c r="Q106" s="320"/>
      <c r="R106" s="314"/>
    </row>
    <row r="107" spans="1:18" ht="15.75" x14ac:dyDescent="0.25">
      <c r="A107" s="66" t="s">
        <v>233</v>
      </c>
      <c r="B107" s="64" t="s">
        <v>234</v>
      </c>
      <c r="C107" s="319">
        <f>+'2 Össz'!E107/1000</f>
        <v>0</v>
      </c>
      <c r="D107" s="24">
        <f t="shared" ref="D107:O107" si="66">+ROUND($C$107/12,0)</f>
        <v>0</v>
      </c>
      <c r="E107" s="24">
        <f t="shared" si="66"/>
        <v>0</v>
      </c>
      <c r="F107" s="24">
        <f t="shared" si="66"/>
        <v>0</v>
      </c>
      <c r="G107" s="24">
        <f t="shared" si="66"/>
        <v>0</v>
      </c>
      <c r="H107" s="24">
        <f t="shared" si="66"/>
        <v>0</v>
      </c>
      <c r="I107" s="24">
        <f t="shared" si="66"/>
        <v>0</v>
      </c>
      <c r="J107" s="24">
        <f t="shared" si="66"/>
        <v>0</v>
      </c>
      <c r="K107" s="24">
        <f t="shared" si="66"/>
        <v>0</v>
      </c>
      <c r="L107" s="24">
        <f t="shared" si="66"/>
        <v>0</v>
      </c>
      <c r="M107" s="24">
        <f t="shared" si="66"/>
        <v>0</v>
      </c>
      <c r="N107" s="24">
        <f t="shared" si="66"/>
        <v>0</v>
      </c>
      <c r="O107" s="24">
        <f t="shared" si="66"/>
        <v>0</v>
      </c>
      <c r="P107" s="444">
        <f t="shared" si="52"/>
        <v>0</v>
      </c>
      <c r="Q107" s="320"/>
      <c r="R107" s="314"/>
    </row>
    <row r="108" spans="1:18" ht="15.75" x14ac:dyDescent="0.25">
      <c r="A108" s="66" t="s">
        <v>235</v>
      </c>
      <c r="B108" s="64" t="s">
        <v>236</v>
      </c>
      <c r="C108" s="319">
        <f>+'2 Össz'!E108/1000</f>
        <v>1</v>
      </c>
      <c r="D108" s="24"/>
      <c r="E108" s="24"/>
      <c r="F108" s="24"/>
      <c r="G108" s="24"/>
      <c r="H108" s="24"/>
      <c r="I108" s="24"/>
      <c r="J108" s="24"/>
      <c r="K108" s="24"/>
      <c r="L108" s="24">
        <v>0</v>
      </c>
      <c r="M108" s="24"/>
      <c r="N108" s="24"/>
      <c r="O108" s="24">
        <v>1</v>
      </c>
      <c r="P108" s="444">
        <f t="shared" si="52"/>
        <v>0</v>
      </c>
      <c r="Q108" s="320"/>
      <c r="R108" s="314"/>
    </row>
    <row r="109" spans="1:18" ht="15.75" x14ac:dyDescent="0.25">
      <c r="A109" s="66" t="s">
        <v>237</v>
      </c>
      <c r="B109" s="64" t="s">
        <v>238</v>
      </c>
      <c r="C109" s="319">
        <f>+'2 Össz'!E109/1000</f>
        <v>10</v>
      </c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>
        <v>10</v>
      </c>
      <c r="P109" s="444">
        <f t="shared" si="52"/>
        <v>0</v>
      </c>
      <c r="Q109" s="320"/>
      <c r="R109" s="314"/>
    </row>
    <row r="110" spans="1:18" ht="15.75" x14ac:dyDescent="0.25">
      <c r="A110" s="66" t="s">
        <v>239</v>
      </c>
      <c r="B110" s="64" t="s">
        <v>240</v>
      </c>
      <c r="C110" s="319">
        <f>+'2 Össz'!E110/1000</f>
        <v>0</v>
      </c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444">
        <f t="shared" si="52"/>
        <v>0</v>
      </c>
      <c r="Q110" s="320"/>
      <c r="R110" s="314"/>
    </row>
    <row r="111" spans="1:18" ht="15.75" x14ac:dyDescent="0.25">
      <c r="A111" s="66" t="s">
        <v>241</v>
      </c>
      <c r="B111" s="64" t="s">
        <v>242</v>
      </c>
      <c r="C111" s="319">
        <f>+'2 Össz'!E111/1000</f>
        <v>0</v>
      </c>
      <c r="D111" s="24">
        <f t="shared" ref="D111:N111" si="67">+ROUND($C$111/12,0)</f>
        <v>0</v>
      </c>
      <c r="E111" s="24">
        <f t="shared" si="67"/>
        <v>0</v>
      </c>
      <c r="F111" s="24">
        <f t="shared" si="67"/>
        <v>0</v>
      </c>
      <c r="G111" s="24">
        <f t="shared" si="67"/>
        <v>0</v>
      </c>
      <c r="H111" s="24">
        <f t="shared" si="67"/>
        <v>0</v>
      </c>
      <c r="I111" s="24">
        <f t="shared" si="67"/>
        <v>0</v>
      </c>
      <c r="J111" s="24">
        <f t="shared" si="67"/>
        <v>0</v>
      </c>
      <c r="K111" s="24">
        <f t="shared" si="67"/>
        <v>0</v>
      </c>
      <c r="L111" s="24">
        <f t="shared" si="67"/>
        <v>0</v>
      </c>
      <c r="M111" s="24">
        <f t="shared" si="67"/>
        <v>0</v>
      </c>
      <c r="N111" s="24">
        <f t="shared" si="67"/>
        <v>0</v>
      </c>
      <c r="O111" s="24">
        <f>+ROUND($C$111/12,0)</f>
        <v>0</v>
      </c>
      <c r="P111" s="444">
        <f t="shared" si="52"/>
        <v>0</v>
      </c>
      <c r="Q111" s="320"/>
      <c r="R111" s="314"/>
    </row>
    <row r="112" spans="1:18" s="324" customFormat="1" ht="15.75" x14ac:dyDescent="0.25">
      <c r="A112" s="137" t="s">
        <v>243</v>
      </c>
      <c r="B112" s="91" t="s">
        <v>244</v>
      </c>
      <c r="C112" s="92">
        <f t="shared" ref="C112:O112" si="68">SUM(C101:C111)</f>
        <v>481308.31700000004</v>
      </c>
      <c r="D112" s="92">
        <f t="shared" si="68"/>
        <v>40107</v>
      </c>
      <c r="E112" s="92">
        <f t="shared" si="68"/>
        <v>40107</v>
      </c>
      <c r="F112" s="92">
        <f t="shared" si="68"/>
        <v>0</v>
      </c>
      <c r="G112" s="92">
        <f t="shared" si="68"/>
        <v>40107</v>
      </c>
      <c r="H112" s="92">
        <f t="shared" si="68"/>
        <v>80214</v>
      </c>
      <c r="I112" s="92">
        <f t="shared" si="68"/>
        <v>40107</v>
      </c>
      <c r="J112" s="92">
        <f t="shared" si="68"/>
        <v>40107</v>
      </c>
      <c r="K112" s="92">
        <f t="shared" si="68"/>
        <v>40107</v>
      </c>
      <c r="L112" s="92">
        <f t="shared" si="68"/>
        <v>40107</v>
      </c>
      <c r="M112" s="92">
        <f t="shared" si="68"/>
        <v>40107</v>
      </c>
      <c r="N112" s="92">
        <f t="shared" si="68"/>
        <v>40107</v>
      </c>
      <c r="O112" s="92">
        <f t="shared" si="68"/>
        <v>40131.5</v>
      </c>
      <c r="P112" s="444">
        <f t="shared" ref="P112:P143" si="69">+C112-SUM(D112:O112)</f>
        <v>-0.18299999996088445</v>
      </c>
      <c r="Q112" s="320"/>
      <c r="R112" s="323"/>
    </row>
    <row r="113" spans="1:18" ht="15.75" x14ac:dyDescent="0.25">
      <c r="A113" s="66" t="s">
        <v>245</v>
      </c>
      <c r="B113" s="64" t="s">
        <v>246</v>
      </c>
      <c r="C113" s="319">
        <f>+'2 Össz'!E113/1000</f>
        <v>0</v>
      </c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444">
        <f t="shared" si="69"/>
        <v>0</v>
      </c>
      <c r="Q113" s="320"/>
      <c r="R113" s="314"/>
    </row>
    <row r="114" spans="1:18" ht="15.75" x14ac:dyDescent="0.25">
      <c r="A114" s="66" t="s">
        <v>247</v>
      </c>
      <c r="B114" s="64" t="s">
        <v>248</v>
      </c>
      <c r="C114" s="319">
        <f>+'2 Össz'!E114/1000</f>
        <v>59000</v>
      </c>
      <c r="D114" s="24"/>
      <c r="E114" s="24"/>
      <c r="F114" s="24"/>
      <c r="G114" s="24">
        <f>3800*2</f>
        <v>7600</v>
      </c>
      <c r="H114" s="24">
        <v>6000</v>
      </c>
      <c r="I114" s="24">
        <f>3800*2</f>
        <v>7600</v>
      </c>
      <c r="J114" s="24"/>
      <c r="K114" s="24">
        <v>8000</v>
      </c>
      <c r="L114" s="24">
        <v>3800</v>
      </c>
      <c r="M114" s="24">
        <v>8000</v>
      </c>
      <c r="N114" s="24">
        <v>8000</v>
      </c>
      <c r="O114" s="24">
        <v>10000</v>
      </c>
      <c r="P114" s="444">
        <f t="shared" si="69"/>
        <v>0</v>
      </c>
      <c r="Q114" s="320"/>
      <c r="R114" s="314"/>
    </row>
    <row r="115" spans="1:18" ht="15.75" x14ac:dyDescent="0.25">
      <c r="A115" s="66" t="s">
        <v>249</v>
      </c>
      <c r="B115" s="64" t="s">
        <v>250</v>
      </c>
      <c r="C115" s="319">
        <f>+'2 Össz'!E115/1000</f>
        <v>0</v>
      </c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444">
        <f t="shared" si="69"/>
        <v>0</v>
      </c>
      <c r="Q115" s="320"/>
      <c r="R115" s="314"/>
    </row>
    <row r="116" spans="1:18" ht="15.75" hidden="1" x14ac:dyDescent="0.25">
      <c r="A116" s="66" t="s">
        <v>251</v>
      </c>
      <c r="B116" s="64" t="s">
        <v>252</v>
      </c>
      <c r="C116" s="319">
        <f>+'2 Össz'!E116</f>
        <v>0</v>
      </c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444">
        <f t="shared" si="69"/>
        <v>0</v>
      </c>
      <c r="Q116" s="320"/>
      <c r="R116" s="314"/>
    </row>
    <row r="117" spans="1:18" ht="15.75" hidden="1" x14ac:dyDescent="0.25">
      <c r="A117" s="66" t="s">
        <v>253</v>
      </c>
      <c r="B117" s="64" t="s">
        <v>254</v>
      </c>
      <c r="C117" s="319">
        <f>+'2 Össz'!E117</f>
        <v>0</v>
      </c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444">
        <f t="shared" si="69"/>
        <v>0</v>
      </c>
      <c r="Q117" s="320"/>
      <c r="R117" s="314"/>
    </row>
    <row r="118" spans="1:18" s="324" customFormat="1" ht="15.75" x14ac:dyDescent="0.25">
      <c r="A118" s="90" t="s">
        <v>255</v>
      </c>
      <c r="B118" s="91" t="s">
        <v>256</v>
      </c>
      <c r="C118" s="92">
        <f t="shared" ref="C118:O118" si="70">SUM(C113:C117)</f>
        <v>59000</v>
      </c>
      <c r="D118" s="92">
        <f t="shared" si="70"/>
        <v>0</v>
      </c>
      <c r="E118" s="92">
        <f t="shared" si="70"/>
        <v>0</v>
      </c>
      <c r="F118" s="92">
        <f t="shared" si="70"/>
        <v>0</v>
      </c>
      <c r="G118" s="92">
        <f t="shared" si="70"/>
        <v>7600</v>
      </c>
      <c r="H118" s="92">
        <f t="shared" si="70"/>
        <v>6000</v>
      </c>
      <c r="I118" s="92">
        <f t="shared" si="70"/>
        <v>7600</v>
      </c>
      <c r="J118" s="92">
        <f t="shared" si="70"/>
        <v>0</v>
      </c>
      <c r="K118" s="92">
        <f t="shared" si="70"/>
        <v>8000</v>
      </c>
      <c r="L118" s="92">
        <f t="shared" si="70"/>
        <v>3800</v>
      </c>
      <c r="M118" s="92">
        <f t="shared" si="70"/>
        <v>8000</v>
      </c>
      <c r="N118" s="92">
        <f t="shared" si="70"/>
        <v>8000</v>
      </c>
      <c r="O118" s="92">
        <f t="shared" si="70"/>
        <v>10000</v>
      </c>
      <c r="P118" s="444">
        <f t="shared" si="69"/>
        <v>0</v>
      </c>
      <c r="Q118" s="320"/>
      <c r="R118" s="323"/>
    </row>
    <row r="119" spans="1:18" ht="15.75" x14ac:dyDescent="0.25">
      <c r="A119" s="56" t="s">
        <v>257</v>
      </c>
      <c r="B119" s="65" t="s">
        <v>258</v>
      </c>
      <c r="C119" s="319">
        <f>+'2 Össz'!E119/1000</f>
        <v>22482.5</v>
      </c>
      <c r="D119" s="25">
        <f t="shared" ref="D119:N119" si="71">+ROUND($C$119/12,0)</f>
        <v>1874</v>
      </c>
      <c r="E119" s="25">
        <f t="shared" si="71"/>
        <v>1874</v>
      </c>
      <c r="F119" s="25">
        <f t="shared" si="71"/>
        <v>1874</v>
      </c>
      <c r="G119" s="25">
        <f t="shared" si="71"/>
        <v>1874</v>
      </c>
      <c r="H119" s="25">
        <f t="shared" si="71"/>
        <v>1874</v>
      </c>
      <c r="I119" s="25">
        <f t="shared" si="71"/>
        <v>1874</v>
      </c>
      <c r="J119" s="25">
        <f t="shared" si="71"/>
        <v>1874</v>
      </c>
      <c r="K119" s="25">
        <f t="shared" si="71"/>
        <v>1874</v>
      </c>
      <c r="L119" s="25">
        <f t="shared" si="71"/>
        <v>1874</v>
      </c>
      <c r="M119" s="25">
        <f t="shared" si="71"/>
        <v>1874</v>
      </c>
      <c r="N119" s="25">
        <f t="shared" si="71"/>
        <v>1874</v>
      </c>
      <c r="O119" s="25">
        <f>+ROUND($C$119/12,0)-5.5</f>
        <v>1868.5</v>
      </c>
      <c r="P119" s="444">
        <f t="shared" si="69"/>
        <v>0</v>
      </c>
      <c r="Q119" s="320"/>
      <c r="R119" s="314"/>
    </row>
    <row r="120" spans="1:18" ht="15.75" hidden="1" x14ac:dyDescent="0.25">
      <c r="A120" s="66" t="s">
        <v>608</v>
      </c>
      <c r="B120" s="64" t="s">
        <v>260</v>
      </c>
      <c r="C120" s="319">
        <f>+'2 Össz'!E120</f>
        <v>0</v>
      </c>
      <c r="D120" s="24">
        <f t="shared" ref="D120:O120" si="72">+ROUND($C$120/12,0)</f>
        <v>0</v>
      </c>
      <c r="E120" s="24">
        <f t="shared" si="72"/>
        <v>0</v>
      </c>
      <c r="F120" s="24">
        <f t="shared" si="72"/>
        <v>0</v>
      </c>
      <c r="G120" s="24">
        <f t="shared" si="72"/>
        <v>0</v>
      </c>
      <c r="H120" s="24">
        <f t="shared" si="72"/>
        <v>0</v>
      </c>
      <c r="I120" s="24">
        <f t="shared" si="72"/>
        <v>0</v>
      </c>
      <c r="J120" s="24">
        <f t="shared" si="72"/>
        <v>0</v>
      </c>
      <c r="K120" s="24">
        <f t="shared" si="72"/>
        <v>0</v>
      </c>
      <c r="L120" s="24">
        <f t="shared" si="72"/>
        <v>0</v>
      </c>
      <c r="M120" s="24">
        <f t="shared" si="72"/>
        <v>0</v>
      </c>
      <c r="N120" s="24">
        <f t="shared" si="72"/>
        <v>0</v>
      </c>
      <c r="O120" s="24">
        <f t="shared" si="72"/>
        <v>0</v>
      </c>
      <c r="P120" s="444">
        <f t="shared" si="69"/>
        <v>0</v>
      </c>
      <c r="Q120" s="320"/>
      <c r="R120" s="314"/>
    </row>
    <row r="121" spans="1:18" ht="15.75" hidden="1" x14ac:dyDescent="0.25">
      <c r="A121" s="53" t="s">
        <v>261</v>
      </c>
      <c r="B121" s="64" t="s">
        <v>262</v>
      </c>
      <c r="C121" s="319">
        <f>+'2 Össz'!E121</f>
        <v>0</v>
      </c>
      <c r="D121" s="24">
        <f t="shared" ref="D121:O121" si="73">+ROUND($C$121/12,0)</f>
        <v>0</v>
      </c>
      <c r="E121" s="24">
        <f t="shared" si="73"/>
        <v>0</v>
      </c>
      <c r="F121" s="24">
        <f t="shared" si="73"/>
        <v>0</v>
      </c>
      <c r="G121" s="24">
        <f t="shared" si="73"/>
        <v>0</v>
      </c>
      <c r="H121" s="24">
        <f t="shared" si="73"/>
        <v>0</v>
      </c>
      <c r="I121" s="24">
        <f t="shared" si="73"/>
        <v>0</v>
      </c>
      <c r="J121" s="24">
        <f t="shared" si="73"/>
        <v>0</v>
      </c>
      <c r="K121" s="24">
        <f t="shared" si="73"/>
        <v>0</v>
      </c>
      <c r="L121" s="24">
        <f t="shared" si="73"/>
        <v>0</v>
      </c>
      <c r="M121" s="24">
        <f t="shared" si="73"/>
        <v>0</v>
      </c>
      <c r="N121" s="24">
        <f t="shared" si="73"/>
        <v>0</v>
      </c>
      <c r="O121" s="24">
        <f t="shared" si="73"/>
        <v>0</v>
      </c>
      <c r="P121" s="444">
        <f t="shared" si="69"/>
        <v>0</v>
      </c>
      <c r="Q121" s="320"/>
      <c r="R121" s="314"/>
    </row>
    <row r="122" spans="1:18" ht="31.5" hidden="1" x14ac:dyDescent="0.25">
      <c r="A122" s="66" t="s">
        <v>263</v>
      </c>
      <c r="B122" s="64" t="s">
        <v>264</v>
      </c>
      <c r="C122" s="319">
        <f>+'2 Össz'!E122</f>
        <v>0</v>
      </c>
      <c r="D122" s="24">
        <f t="shared" ref="D122:O122" si="74">+ROUND($C$122/12,0)</f>
        <v>0</v>
      </c>
      <c r="E122" s="24">
        <f t="shared" si="74"/>
        <v>0</v>
      </c>
      <c r="F122" s="24">
        <f t="shared" si="74"/>
        <v>0</v>
      </c>
      <c r="G122" s="24">
        <f t="shared" si="74"/>
        <v>0</v>
      </c>
      <c r="H122" s="24">
        <f t="shared" si="74"/>
        <v>0</v>
      </c>
      <c r="I122" s="24">
        <f t="shared" si="74"/>
        <v>0</v>
      </c>
      <c r="J122" s="24">
        <f t="shared" si="74"/>
        <v>0</v>
      </c>
      <c r="K122" s="24">
        <f t="shared" si="74"/>
        <v>0</v>
      </c>
      <c r="L122" s="24">
        <f t="shared" si="74"/>
        <v>0</v>
      </c>
      <c r="M122" s="24">
        <f t="shared" si="74"/>
        <v>0</v>
      </c>
      <c r="N122" s="24">
        <f t="shared" si="74"/>
        <v>0</v>
      </c>
      <c r="O122" s="24">
        <f t="shared" si="74"/>
        <v>0</v>
      </c>
      <c r="P122" s="444">
        <f t="shared" si="69"/>
        <v>0</v>
      </c>
      <c r="Q122" s="320"/>
      <c r="R122" s="314"/>
    </row>
    <row r="123" spans="1:18" ht="15.75" x14ac:dyDescent="0.25">
      <c r="A123" s="66" t="s">
        <v>610</v>
      </c>
      <c r="B123" s="64" t="s">
        <v>266</v>
      </c>
      <c r="C123" s="319">
        <f>+'2 Össz'!E123/1000</f>
        <v>0</v>
      </c>
      <c r="D123" s="24">
        <f t="shared" ref="D123:O123" si="75">+ROUND($C$123/12,0)</f>
        <v>0</v>
      </c>
      <c r="E123" s="24">
        <f t="shared" si="75"/>
        <v>0</v>
      </c>
      <c r="F123" s="24">
        <f t="shared" si="75"/>
        <v>0</v>
      </c>
      <c r="G123" s="24">
        <f t="shared" si="75"/>
        <v>0</v>
      </c>
      <c r="H123" s="24">
        <f t="shared" si="75"/>
        <v>0</v>
      </c>
      <c r="I123" s="24">
        <f t="shared" si="75"/>
        <v>0</v>
      </c>
      <c r="J123" s="24">
        <f t="shared" si="75"/>
        <v>0</v>
      </c>
      <c r="K123" s="24">
        <f t="shared" si="75"/>
        <v>0</v>
      </c>
      <c r="L123" s="24">
        <f t="shared" si="75"/>
        <v>0</v>
      </c>
      <c r="M123" s="24">
        <f t="shared" si="75"/>
        <v>0</v>
      </c>
      <c r="N123" s="24">
        <f t="shared" si="75"/>
        <v>0</v>
      </c>
      <c r="O123" s="24">
        <f t="shared" si="75"/>
        <v>0</v>
      </c>
      <c r="P123" s="444">
        <f t="shared" si="69"/>
        <v>0</v>
      </c>
      <c r="Q123" s="320"/>
      <c r="R123" s="314"/>
    </row>
    <row r="124" spans="1:18" ht="15.75" x14ac:dyDescent="0.25">
      <c r="A124" s="66" t="s">
        <v>267</v>
      </c>
      <c r="B124" s="64" t="s">
        <v>268</v>
      </c>
      <c r="C124" s="319">
        <f>+'2 Össz'!E124/1000</f>
        <v>29400</v>
      </c>
      <c r="D124" s="24">
        <f t="shared" ref="D124:O124" si="76">+ROUND($C$124/12,0)</f>
        <v>2450</v>
      </c>
      <c r="E124" s="24">
        <f t="shared" si="76"/>
        <v>2450</v>
      </c>
      <c r="F124" s="24"/>
      <c r="G124" s="24">
        <f t="shared" si="76"/>
        <v>2450</v>
      </c>
      <c r="H124" s="24">
        <f>+ROUND($C$124/12,0)*2</f>
        <v>4900</v>
      </c>
      <c r="I124" s="24">
        <f t="shared" si="76"/>
        <v>2450</v>
      </c>
      <c r="J124" s="24">
        <f t="shared" si="76"/>
        <v>2450</v>
      </c>
      <c r="K124" s="24">
        <f t="shared" si="76"/>
        <v>2450</v>
      </c>
      <c r="L124" s="24">
        <f t="shared" si="76"/>
        <v>2450</v>
      </c>
      <c r="M124" s="24">
        <f t="shared" si="76"/>
        <v>2450</v>
      </c>
      <c r="N124" s="24">
        <f t="shared" si="76"/>
        <v>2450</v>
      </c>
      <c r="O124" s="24">
        <f t="shared" si="76"/>
        <v>2450</v>
      </c>
      <c r="P124" s="444">
        <f t="shared" si="69"/>
        <v>0</v>
      </c>
      <c r="Q124" s="320"/>
      <c r="R124" s="314"/>
    </row>
    <row r="125" spans="1:18" s="324" customFormat="1" ht="15.75" x14ac:dyDescent="0.25">
      <c r="A125" s="90" t="s">
        <v>269</v>
      </c>
      <c r="B125" s="91" t="s">
        <v>270</v>
      </c>
      <c r="C125" s="92">
        <f t="shared" ref="C125:O125" si="77">SUM(C120:C124)</f>
        <v>29400</v>
      </c>
      <c r="D125" s="92">
        <f t="shared" si="77"/>
        <v>2450</v>
      </c>
      <c r="E125" s="92">
        <f t="shared" si="77"/>
        <v>2450</v>
      </c>
      <c r="F125" s="92">
        <f t="shared" si="77"/>
        <v>0</v>
      </c>
      <c r="G125" s="92">
        <f t="shared" si="77"/>
        <v>2450</v>
      </c>
      <c r="H125" s="92">
        <f t="shared" si="77"/>
        <v>4900</v>
      </c>
      <c r="I125" s="92">
        <f t="shared" si="77"/>
        <v>2450</v>
      </c>
      <c r="J125" s="92">
        <f t="shared" si="77"/>
        <v>2450</v>
      </c>
      <c r="K125" s="92">
        <f t="shared" si="77"/>
        <v>2450</v>
      </c>
      <c r="L125" s="92">
        <f t="shared" si="77"/>
        <v>2450</v>
      </c>
      <c r="M125" s="92">
        <f t="shared" si="77"/>
        <v>2450</v>
      </c>
      <c r="N125" s="92">
        <f t="shared" si="77"/>
        <v>2450</v>
      </c>
      <c r="O125" s="92">
        <f t="shared" si="77"/>
        <v>2450</v>
      </c>
      <c r="P125" s="444">
        <f t="shared" si="69"/>
        <v>0</v>
      </c>
      <c r="Q125" s="320"/>
      <c r="R125" s="323"/>
    </row>
    <row r="126" spans="1:18" s="324" customFormat="1" ht="15.75" x14ac:dyDescent="0.25">
      <c r="A126" s="137" t="s">
        <v>271</v>
      </c>
      <c r="B126" s="91" t="s">
        <v>272</v>
      </c>
      <c r="C126" s="92">
        <f t="shared" ref="C126:O126" si="78">+C125+C119+C118+C112+C100+C93+C92</f>
        <v>3846174.5350000001</v>
      </c>
      <c r="D126" s="92">
        <f t="shared" si="78"/>
        <v>234386</v>
      </c>
      <c r="E126" s="92">
        <f t="shared" si="78"/>
        <v>221972</v>
      </c>
      <c r="F126" s="92">
        <f t="shared" si="78"/>
        <v>277808</v>
      </c>
      <c r="G126" s="92">
        <f t="shared" si="78"/>
        <v>169778</v>
      </c>
      <c r="H126" s="92">
        <f t="shared" si="78"/>
        <v>325832</v>
      </c>
      <c r="I126" s="92">
        <f t="shared" si="78"/>
        <v>241029</v>
      </c>
      <c r="J126" s="92">
        <f t="shared" si="78"/>
        <v>196103</v>
      </c>
      <c r="K126" s="92">
        <f t="shared" si="78"/>
        <v>497336</v>
      </c>
      <c r="L126" s="92">
        <f t="shared" si="78"/>
        <v>293710</v>
      </c>
      <c r="M126" s="92">
        <f t="shared" si="78"/>
        <v>310972</v>
      </c>
      <c r="N126" s="92">
        <f t="shared" si="78"/>
        <v>492524</v>
      </c>
      <c r="O126" s="92">
        <f t="shared" si="78"/>
        <v>584724.4</v>
      </c>
      <c r="P126" s="444">
        <f t="shared" si="69"/>
        <v>0.13500000024214387</v>
      </c>
      <c r="Q126" s="320"/>
      <c r="R126" s="323"/>
    </row>
    <row r="127" spans="1:18" s="324" customFormat="1" ht="15.75" x14ac:dyDescent="0.25">
      <c r="A127" s="309" t="s">
        <v>273</v>
      </c>
      <c r="B127" s="121"/>
      <c r="C127" s="122">
        <f t="shared" ref="C127:O127" si="79">+C119+C112+C100+C92-C34</f>
        <v>-393759.21048999997</v>
      </c>
      <c r="D127" s="122">
        <f t="shared" si="79"/>
        <v>-61468</v>
      </c>
      <c r="E127" s="122">
        <f t="shared" si="79"/>
        <v>-96364.5</v>
      </c>
      <c r="F127" s="122">
        <f t="shared" si="79"/>
        <v>-142496</v>
      </c>
      <c r="G127" s="122">
        <f t="shared" si="79"/>
        <v>-136876</v>
      </c>
      <c r="H127" s="122">
        <f t="shared" si="79"/>
        <v>-37708</v>
      </c>
      <c r="I127" s="122">
        <f t="shared" si="79"/>
        <v>-73435</v>
      </c>
      <c r="J127" s="122">
        <f t="shared" si="79"/>
        <v>-173882</v>
      </c>
      <c r="K127" s="122">
        <f t="shared" si="79"/>
        <v>188482</v>
      </c>
      <c r="L127" s="122">
        <f t="shared" si="79"/>
        <v>-5944</v>
      </c>
      <c r="M127" s="122">
        <f t="shared" si="79"/>
        <v>1118</v>
      </c>
      <c r="N127" s="122">
        <f t="shared" si="79"/>
        <v>65479</v>
      </c>
      <c r="O127" s="122">
        <f t="shared" si="79"/>
        <v>79334.600000000035</v>
      </c>
      <c r="P127" s="444">
        <f t="shared" si="69"/>
        <v>0.68950999999651685</v>
      </c>
      <c r="Q127" s="320"/>
      <c r="R127" s="323"/>
    </row>
    <row r="128" spans="1:18" s="324" customFormat="1" ht="15.75" x14ac:dyDescent="0.25">
      <c r="A128" s="309" t="s">
        <v>274</v>
      </c>
      <c r="B128" s="121"/>
      <c r="C128" s="122">
        <f t="shared" ref="C128:O128" si="80">+C125+C118+C93-C58</f>
        <v>-2156422.8869999996</v>
      </c>
      <c r="D128" s="122">
        <f t="shared" si="80"/>
        <v>2283</v>
      </c>
      <c r="E128" s="122">
        <f t="shared" si="80"/>
        <v>2283</v>
      </c>
      <c r="F128" s="122">
        <f t="shared" si="80"/>
        <v>106135</v>
      </c>
      <c r="G128" s="122">
        <f t="shared" si="80"/>
        <v>-162505</v>
      </c>
      <c r="H128" s="122">
        <f t="shared" si="80"/>
        <v>-104312</v>
      </c>
      <c r="I128" s="122">
        <f t="shared" si="80"/>
        <v>-190894</v>
      </c>
      <c r="J128" s="122">
        <f t="shared" si="80"/>
        <v>-59713</v>
      </c>
      <c r="K128" s="122">
        <f t="shared" si="80"/>
        <v>-528099</v>
      </c>
      <c r="L128" s="122">
        <f t="shared" si="80"/>
        <v>-429472</v>
      </c>
      <c r="M128" s="122">
        <f t="shared" si="80"/>
        <v>-286277</v>
      </c>
      <c r="N128" s="122">
        <f t="shared" si="80"/>
        <v>-305390</v>
      </c>
      <c r="O128" s="122">
        <f t="shared" si="80"/>
        <v>-200461.2</v>
      </c>
      <c r="P128" s="444">
        <f t="shared" si="69"/>
        <v>-0.68699999945238233</v>
      </c>
      <c r="Q128" s="320"/>
      <c r="R128" s="323"/>
    </row>
    <row r="129" spans="1:18" ht="15.75" hidden="1" x14ac:dyDescent="0.25">
      <c r="A129" s="71" t="s">
        <v>275</v>
      </c>
      <c r="B129" s="53" t="s">
        <v>276</v>
      </c>
      <c r="C129" s="319">
        <f>+'2 Össz'!E129</f>
        <v>0</v>
      </c>
      <c r="D129" s="24"/>
      <c r="E129" s="326"/>
      <c r="F129" s="326"/>
      <c r="G129" s="326"/>
      <c r="H129" s="24"/>
      <c r="I129" s="24"/>
      <c r="J129" s="24"/>
      <c r="K129" s="24"/>
      <c r="L129" s="24"/>
      <c r="M129" s="326"/>
      <c r="N129" s="326"/>
      <c r="O129" s="326"/>
      <c r="P129" s="444">
        <f t="shared" si="69"/>
        <v>0</v>
      </c>
      <c r="Q129" s="320"/>
      <c r="R129" s="314"/>
    </row>
    <row r="130" spans="1:18" ht="15.75" hidden="1" x14ac:dyDescent="0.25">
      <c r="A130" s="66" t="s">
        <v>740</v>
      </c>
      <c r="B130" s="53" t="s">
        <v>278</v>
      </c>
      <c r="C130" s="319">
        <f>+'2 Össz'!E130</f>
        <v>0</v>
      </c>
      <c r="D130" s="24"/>
      <c r="E130" s="326"/>
      <c r="F130" s="326"/>
      <c r="G130" s="326"/>
      <c r="H130" s="24"/>
      <c r="I130" s="24"/>
      <c r="J130" s="24"/>
      <c r="K130" s="24"/>
      <c r="L130" s="24"/>
      <c r="M130" s="326"/>
      <c r="N130" s="326"/>
      <c r="O130" s="326"/>
      <c r="P130" s="444">
        <f t="shared" si="69"/>
        <v>0</v>
      </c>
      <c r="Q130" s="320"/>
      <c r="R130" s="314"/>
    </row>
    <row r="131" spans="1:18" ht="15.75" x14ac:dyDescent="0.25">
      <c r="A131" s="71" t="s">
        <v>279</v>
      </c>
      <c r="B131" s="53" t="s">
        <v>280</v>
      </c>
      <c r="C131" s="319">
        <f>+'2 Össz'!E131/1000</f>
        <v>88500</v>
      </c>
      <c r="D131" s="24"/>
      <c r="E131" s="326"/>
      <c r="F131" s="24"/>
      <c r="G131" s="24"/>
      <c r="H131" s="24">
        <v>20000</v>
      </c>
      <c r="I131" s="24">
        <v>20000</v>
      </c>
      <c r="J131" s="24">
        <v>20000</v>
      </c>
      <c r="K131" s="24">
        <v>20000</v>
      </c>
      <c r="L131" s="24">
        <v>8500</v>
      </c>
      <c r="M131" s="326"/>
      <c r="N131" s="326"/>
      <c r="O131" s="326"/>
      <c r="P131" s="444">
        <f t="shared" si="69"/>
        <v>0</v>
      </c>
      <c r="Q131" s="320"/>
      <c r="R131" s="314"/>
    </row>
    <row r="132" spans="1:18" s="324" customFormat="1" ht="15.75" x14ac:dyDescent="0.25">
      <c r="A132" s="137" t="s">
        <v>743</v>
      </c>
      <c r="B132" s="90" t="s">
        <v>282</v>
      </c>
      <c r="C132" s="92">
        <f t="shared" ref="C132:O132" si="81">SUM(C129:C131)</f>
        <v>88500</v>
      </c>
      <c r="D132" s="92">
        <f t="shared" si="81"/>
        <v>0</v>
      </c>
      <c r="E132" s="92">
        <f t="shared" si="81"/>
        <v>0</v>
      </c>
      <c r="F132" s="92">
        <f t="shared" si="81"/>
        <v>0</v>
      </c>
      <c r="G132" s="92">
        <f t="shared" si="81"/>
        <v>0</v>
      </c>
      <c r="H132" s="92">
        <f t="shared" si="81"/>
        <v>20000</v>
      </c>
      <c r="I132" s="92">
        <f t="shared" si="81"/>
        <v>20000</v>
      </c>
      <c r="J132" s="92">
        <f t="shared" si="81"/>
        <v>20000</v>
      </c>
      <c r="K132" s="92">
        <f t="shared" si="81"/>
        <v>20000</v>
      </c>
      <c r="L132" s="92">
        <f t="shared" si="81"/>
        <v>8500</v>
      </c>
      <c r="M132" s="92">
        <f t="shared" si="81"/>
        <v>0</v>
      </c>
      <c r="N132" s="92">
        <f t="shared" si="81"/>
        <v>0</v>
      </c>
      <c r="O132" s="92">
        <f t="shared" si="81"/>
        <v>0</v>
      </c>
      <c r="P132" s="444">
        <f t="shared" si="69"/>
        <v>0</v>
      </c>
      <c r="Q132" s="322"/>
      <c r="R132" s="323"/>
    </row>
    <row r="133" spans="1:18" ht="15.75" hidden="1" x14ac:dyDescent="0.25">
      <c r="A133" s="66" t="s">
        <v>283</v>
      </c>
      <c r="B133" s="53" t="s">
        <v>284</v>
      </c>
      <c r="C133" s="319">
        <f>+'2 Össz'!E133</f>
        <v>0</v>
      </c>
      <c r="D133" s="24"/>
      <c r="E133" s="325"/>
      <c r="F133" s="325"/>
      <c r="G133" s="325"/>
      <c r="H133" s="325"/>
      <c r="I133" s="325"/>
      <c r="J133" s="325"/>
      <c r="K133" s="325"/>
      <c r="L133" s="325"/>
      <c r="M133" s="325"/>
      <c r="N133" s="325"/>
      <c r="O133" s="325"/>
      <c r="P133" s="444">
        <f t="shared" si="69"/>
        <v>0</v>
      </c>
      <c r="Q133" s="320"/>
      <c r="R133" s="314"/>
    </row>
    <row r="134" spans="1:18" ht="15.75" hidden="1" x14ac:dyDescent="0.25">
      <c r="A134" s="71" t="s">
        <v>745</v>
      </c>
      <c r="B134" s="53" t="s">
        <v>286</v>
      </c>
      <c r="C134" s="319">
        <f>+'2 Össz'!E134</f>
        <v>0</v>
      </c>
      <c r="D134" s="24"/>
      <c r="E134" s="325"/>
      <c r="F134" s="325"/>
      <c r="G134" s="325"/>
      <c r="H134" s="325"/>
      <c r="I134" s="325"/>
      <c r="J134" s="325"/>
      <c r="K134" s="325"/>
      <c r="L134" s="325"/>
      <c r="M134" s="325"/>
      <c r="N134" s="325"/>
      <c r="O134" s="325"/>
      <c r="P134" s="444">
        <f t="shared" si="69"/>
        <v>0</v>
      </c>
      <c r="Q134" s="320"/>
      <c r="R134" s="314"/>
    </row>
    <row r="135" spans="1:18" ht="15.75" hidden="1" x14ac:dyDescent="0.25">
      <c r="A135" s="66" t="s">
        <v>287</v>
      </c>
      <c r="B135" s="53" t="s">
        <v>288</v>
      </c>
      <c r="C135" s="319">
        <f>+'2 Össz'!E135</f>
        <v>0</v>
      </c>
      <c r="D135" s="24"/>
      <c r="E135" s="325"/>
      <c r="F135" s="325"/>
      <c r="G135" s="325"/>
      <c r="H135" s="325"/>
      <c r="I135" s="325"/>
      <c r="J135" s="325"/>
      <c r="K135" s="325"/>
      <c r="L135" s="325"/>
      <c r="M135" s="325"/>
      <c r="N135" s="325"/>
      <c r="O135" s="325"/>
      <c r="P135" s="444">
        <f t="shared" si="69"/>
        <v>0</v>
      </c>
      <c r="Q135" s="320"/>
      <c r="R135" s="314"/>
    </row>
    <row r="136" spans="1:18" ht="15.75" hidden="1" x14ac:dyDescent="0.25">
      <c r="A136" s="71" t="s">
        <v>747</v>
      </c>
      <c r="B136" s="53" t="s">
        <v>290</v>
      </c>
      <c r="C136" s="319">
        <f>+'2 Össz'!E136</f>
        <v>0</v>
      </c>
      <c r="D136" s="24"/>
      <c r="E136" s="325"/>
      <c r="F136" s="325"/>
      <c r="G136" s="325"/>
      <c r="H136" s="325"/>
      <c r="I136" s="325"/>
      <c r="J136" s="325"/>
      <c r="K136" s="325"/>
      <c r="L136" s="325"/>
      <c r="M136" s="325"/>
      <c r="N136" s="325"/>
      <c r="O136" s="325"/>
      <c r="P136" s="444">
        <f t="shared" si="69"/>
        <v>0</v>
      </c>
      <c r="Q136" s="320"/>
      <c r="R136" s="314"/>
    </row>
    <row r="137" spans="1:18" s="324" customFormat="1" ht="15.75" x14ac:dyDescent="0.25">
      <c r="A137" s="307" t="s">
        <v>291</v>
      </c>
      <c r="B137" s="90" t="s">
        <v>292</v>
      </c>
      <c r="C137" s="92">
        <f t="shared" ref="C137:O137" si="82">SUM(C133:C136)</f>
        <v>0</v>
      </c>
      <c r="D137" s="92">
        <f t="shared" si="82"/>
        <v>0</v>
      </c>
      <c r="E137" s="92">
        <f t="shared" si="82"/>
        <v>0</v>
      </c>
      <c r="F137" s="92">
        <f t="shared" si="82"/>
        <v>0</v>
      </c>
      <c r="G137" s="92">
        <f t="shared" si="82"/>
        <v>0</v>
      </c>
      <c r="H137" s="92">
        <f t="shared" si="82"/>
        <v>0</v>
      </c>
      <c r="I137" s="92">
        <f t="shared" si="82"/>
        <v>0</v>
      </c>
      <c r="J137" s="92">
        <f t="shared" si="82"/>
        <v>0</v>
      </c>
      <c r="K137" s="92">
        <f t="shared" si="82"/>
        <v>0</v>
      </c>
      <c r="L137" s="92">
        <f t="shared" si="82"/>
        <v>0</v>
      </c>
      <c r="M137" s="92">
        <f t="shared" si="82"/>
        <v>0</v>
      </c>
      <c r="N137" s="92">
        <f t="shared" si="82"/>
        <v>0</v>
      </c>
      <c r="O137" s="92">
        <f t="shared" si="82"/>
        <v>0</v>
      </c>
      <c r="P137" s="444">
        <f t="shared" si="69"/>
        <v>0</v>
      </c>
      <c r="Q137" s="322"/>
      <c r="R137" s="323"/>
    </row>
    <row r="138" spans="1:18" ht="15.75" x14ac:dyDescent="0.25">
      <c r="A138" s="53" t="s">
        <v>293</v>
      </c>
      <c r="B138" s="53" t="s">
        <v>294</v>
      </c>
      <c r="C138" s="319">
        <f>+'2 Össz'!E138/1000</f>
        <v>343254.51</v>
      </c>
      <c r="D138" s="24">
        <v>18764</v>
      </c>
      <c r="E138" s="24">
        <v>16877.2</v>
      </c>
      <c r="F138" s="24">
        <v>36211</v>
      </c>
      <c r="G138" s="24">
        <v>38154</v>
      </c>
      <c r="H138" s="24">
        <v>33824</v>
      </c>
      <c r="I138" s="24">
        <v>36599</v>
      </c>
      <c r="J138" s="24">
        <v>25126</v>
      </c>
      <c r="K138" s="24">
        <v>29255</v>
      </c>
      <c r="L138" s="24">
        <v>26577</v>
      </c>
      <c r="M138" s="24">
        <v>28244</v>
      </c>
      <c r="N138" s="24">
        <v>27264</v>
      </c>
      <c r="O138" s="24">
        <v>26359</v>
      </c>
      <c r="P138" s="444">
        <f t="shared" si="69"/>
        <v>0.30999999999767169</v>
      </c>
      <c r="Q138" s="320"/>
      <c r="R138" s="314"/>
    </row>
    <row r="139" spans="1:18" ht="15.75" x14ac:dyDescent="0.25">
      <c r="A139" s="53" t="s">
        <v>295</v>
      </c>
      <c r="B139" s="53" t="s">
        <v>294</v>
      </c>
      <c r="C139" s="319">
        <f>+'2 Össz'!E139/1000</f>
        <v>2242993.1129999999</v>
      </c>
      <c r="D139" s="24">
        <v>76487</v>
      </c>
      <c r="E139" s="24">
        <v>77204</v>
      </c>
      <c r="F139" s="24">
        <v>150</v>
      </c>
      <c r="G139" s="24">
        <v>261227</v>
      </c>
      <c r="H139" s="24">
        <v>88196</v>
      </c>
      <c r="I139" s="24">
        <v>207730</v>
      </c>
      <c r="J139" s="24">
        <v>188469</v>
      </c>
      <c r="K139" s="24">
        <v>290362</v>
      </c>
      <c r="L139" s="24">
        <v>400339</v>
      </c>
      <c r="M139" s="24">
        <v>256915</v>
      </c>
      <c r="N139" s="24">
        <v>212647</v>
      </c>
      <c r="O139" s="24">
        <v>183268</v>
      </c>
      <c r="P139" s="444">
        <f t="shared" si="69"/>
        <v>-0.88700000010430813</v>
      </c>
      <c r="Q139" s="320"/>
      <c r="R139" s="314"/>
    </row>
    <row r="140" spans="1:18" ht="15.75" hidden="1" x14ac:dyDescent="0.25">
      <c r="A140" s="53" t="s">
        <v>296</v>
      </c>
      <c r="B140" s="53" t="s">
        <v>297</v>
      </c>
      <c r="C140" s="319">
        <f>+'2 Össz'!E140</f>
        <v>0</v>
      </c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444">
        <f t="shared" si="69"/>
        <v>0</v>
      </c>
      <c r="Q140" s="320"/>
      <c r="R140" s="314"/>
    </row>
    <row r="141" spans="1:18" ht="15.75" hidden="1" x14ac:dyDescent="0.25">
      <c r="A141" s="53" t="s">
        <v>298</v>
      </c>
      <c r="B141" s="53" t="s">
        <v>297</v>
      </c>
      <c r="C141" s="319">
        <f>+'2 Össz'!E141</f>
        <v>0</v>
      </c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444">
        <f t="shared" si="69"/>
        <v>0</v>
      </c>
      <c r="Q141" s="320"/>
      <c r="R141" s="314"/>
    </row>
    <row r="142" spans="1:18" s="324" customFormat="1" ht="15.75" x14ac:dyDescent="0.25">
      <c r="A142" s="90" t="s">
        <v>299</v>
      </c>
      <c r="B142" s="90" t="s">
        <v>300</v>
      </c>
      <c r="C142" s="92">
        <f t="shared" ref="C142:O142" si="83">SUM(C138:C141)</f>
        <v>2586247.6229999997</v>
      </c>
      <c r="D142" s="92">
        <f t="shared" si="83"/>
        <v>95251</v>
      </c>
      <c r="E142" s="92">
        <f t="shared" si="83"/>
        <v>94081.2</v>
      </c>
      <c r="F142" s="92">
        <f t="shared" si="83"/>
        <v>36361</v>
      </c>
      <c r="G142" s="92">
        <f t="shared" si="83"/>
        <v>299381</v>
      </c>
      <c r="H142" s="92">
        <f t="shared" si="83"/>
        <v>122020</v>
      </c>
      <c r="I142" s="92">
        <f t="shared" si="83"/>
        <v>244329</v>
      </c>
      <c r="J142" s="92">
        <f t="shared" si="83"/>
        <v>213595</v>
      </c>
      <c r="K142" s="92">
        <f t="shared" si="83"/>
        <v>319617</v>
      </c>
      <c r="L142" s="92">
        <f t="shared" si="83"/>
        <v>426916</v>
      </c>
      <c r="M142" s="92">
        <f t="shared" si="83"/>
        <v>285159</v>
      </c>
      <c r="N142" s="92">
        <f t="shared" si="83"/>
        <v>239911</v>
      </c>
      <c r="O142" s="92">
        <f t="shared" si="83"/>
        <v>209627</v>
      </c>
      <c r="P142" s="444">
        <f t="shared" si="69"/>
        <v>-0.57700000051409006</v>
      </c>
      <c r="Q142" s="322"/>
      <c r="R142" s="323"/>
    </row>
    <row r="143" spans="1:18" ht="15.75" hidden="1" x14ac:dyDescent="0.25">
      <c r="A143" s="71" t="s">
        <v>301</v>
      </c>
      <c r="B143" s="53" t="s">
        <v>302</v>
      </c>
      <c r="C143" s="319">
        <f>+'2 Össz'!E143</f>
        <v>0</v>
      </c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444">
        <f t="shared" si="69"/>
        <v>0</v>
      </c>
      <c r="Q143" s="320"/>
      <c r="R143" s="314"/>
    </row>
    <row r="144" spans="1:18" ht="15.75" hidden="1" x14ac:dyDescent="0.25">
      <c r="A144" s="71" t="s">
        <v>303</v>
      </c>
      <c r="B144" s="53" t="s">
        <v>304</v>
      </c>
      <c r="C144" s="319">
        <f>+'2 Össz'!E144</f>
        <v>0</v>
      </c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444">
        <f t="shared" ref="P144:P154" si="84">+C144-SUM(D144:O144)</f>
        <v>0</v>
      </c>
      <c r="Q144" s="320"/>
      <c r="R144" s="314"/>
    </row>
    <row r="145" spans="1:18" ht="15.75" hidden="1" x14ac:dyDescent="0.25">
      <c r="A145" s="71" t="s">
        <v>305</v>
      </c>
      <c r="B145" s="53" t="s">
        <v>306</v>
      </c>
      <c r="C145" s="319">
        <f>+'2 Össz'!E145</f>
        <v>0</v>
      </c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444">
        <f t="shared" si="84"/>
        <v>0</v>
      </c>
      <c r="Q145" s="320"/>
      <c r="R145" s="314"/>
    </row>
    <row r="146" spans="1:18" ht="15.75" hidden="1" x14ac:dyDescent="0.25">
      <c r="A146" s="71" t="s">
        <v>307</v>
      </c>
      <c r="B146" s="53" t="s">
        <v>308</v>
      </c>
      <c r="C146" s="319">
        <f>+'2 Össz'!E146</f>
        <v>0</v>
      </c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444">
        <f t="shared" si="84"/>
        <v>0</v>
      </c>
      <c r="Q146" s="320"/>
      <c r="R146" s="314"/>
    </row>
    <row r="147" spans="1:18" ht="15.75" hidden="1" x14ac:dyDescent="0.25">
      <c r="A147" s="66" t="s">
        <v>309</v>
      </c>
      <c r="B147" s="53" t="s">
        <v>310</v>
      </c>
      <c r="C147" s="319">
        <f>+'2 Össz'!E147</f>
        <v>0</v>
      </c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444">
        <f t="shared" si="84"/>
        <v>0</v>
      </c>
      <c r="Q147" s="320"/>
      <c r="R147" s="314"/>
    </row>
    <row r="148" spans="1:18" ht="15.75" hidden="1" x14ac:dyDescent="0.25">
      <c r="A148" s="66" t="s">
        <v>311</v>
      </c>
      <c r="B148" s="53" t="s">
        <v>312</v>
      </c>
      <c r="C148" s="319">
        <f>+'2 Össz'!E148</f>
        <v>0</v>
      </c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444">
        <f t="shared" si="84"/>
        <v>0</v>
      </c>
      <c r="Q148" s="320"/>
      <c r="R148" s="314"/>
    </row>
    <row r="149" spans="1:18" s="324" customFormat="1" ht="15.75" x14ac:dyDescent="0.25">
      <c r="A149" s="137" t="s">
        <v>313</v>
      </c>
      <c r="B149" s="90" t="s">
        <v>314</v>
      </c>
      <c r="C149" s="92">
        <f t="shared" ref="C149:O149" si="85">SUM(C143:C148)+C142+C137+C132</f>
        <v>2674747.6229999997</v>
      </c>
      <c r="D149" s="92">
        <f t="shared" si="85"/>
        <v>95251</v>
      </c>
      <c r="E149" s="92">
        <f t="shared" si="85"/>
        <v>94081.2</v>
      </c>
      <c r="F149" s="92">
        <f t="shared" si="85"/>
        <v>36361</v>
      </c>
      <c r="G149" s="92">
        <f t="shared" si="85"/>
        <v>299381</v>
      </c>
      <c r="H149" s="92">
        <f t="shared" si="85"/>
        <v>142020</v>
      </c>
      <c r="I149" s="92">
        <f t="shared" si="85"/>
        <v>264329</v>
      </c>
      <c r="J149" s="92">
        <f t="shared" si="85"/>
        <v>233595</v>
      </c>
      <c r="K149" s="92">
        <f t="shared" si="85"/>
        <v>339617</v>
      </c>
      <c r="L149" s="92">
        <f t="shared" si="85"/>
        <v>435416</v>
      </c>
      <c r="M149" s="92">
        <f t="shared" si="85"/>
        <v>285159</v>
      </c>
      <c r="N149" s="92">
        <f t="shared" si="85"/>
        <v>239911</v>
      </c>
      <c r="O149" s="92">
        <f t="shared" si="85"/>
        <v>209627</v>
      </c>
      <c r="P149" s="444">
        <f t="shared" si="84"/>
        <v>-0.57700000051409006</v>
      </c>
      <c r="Q149" s="322"/>
      <c r="R149" s="323"/>
    </row>
    <row r="150" spans="1:18" ht="15.75" hidden="1" x14ac:dyDescent="0.25">
      <c r="A150" s="71" t="s">
        <v>315</v>
      </c>
      <c r="B150" s="53" t="s">
        <v>316</v>
      </c>
      <c r="C150" s="319">
        <f>+'2 Össz'!E150</f>
        <v>0</v>
      </c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444">
        <f t="shared" si="84"/>
        <v>0</v>
      </c>
      <c r="Q150" s="320"/>
      <c r="R150" s="314"/>
    </row>
    <row r="151" spans="1:18" ht="15.75" hidden="1" x14ac:dyDescent="0.25">
      <c r="A151" s="66" t="s">
        <v>317</v>
      </c>
      <c r="B151" s="53" t="s">
        <v>318</v>
      </c>
      <c r="C151" s="319">
        <f>+'2 Össz'!E151</f>
        <v>0</v>
      </c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444">
        <f t="shared" si="84"/>
        <v>0</v>
      </c>
      <c r="Q151" s="320"/>
      <c r="R151" s="314"/>
    </row>
    <row r="152" spans="1:18" ht="15.75" hidden="1" x14ac:dyDescent="0.25">
      <c r="A152" s="66" t="s">
        <v>319</v>
      </c>
      <c r="B152" s="53" t="s">
        <v>320</v>
      </c>
      <c r="C152" s="319">
        <f>+'2 Össz'!E152</f>
        <v>0</v>
      </c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444">
        <f t="shared" si="84"/>
        <v>0</v>
      </c>
      <c r="Q152" s="320"/>
      <c r="R152" s="314"/>
    </row>
    <row r="153" spans="1:18" s="324" customFormat="1" ht="15.75" x14ac:dyDescent="0.25">
      <c r="A153" s="307" t="s">
        <v>321</v>
      </c>
      <c r="B153" s="90" t="s">
        <v>322</v>
      </c>
      <c r="C153" s="92">
        <f t="shared" ref="C153:O153" si="86">SUM(C149:C152)</f>
        <v>2674747.6229999997</v>
      </c>
      <c r="D153" s="92">
        <f t="shared" si="86"/>
        <v>95251</v>
      </c>
      <c r="E153" s="92">
        <f t="shared" si="86"/>
        <v>94081.2</v>
      </c>
      <c r="F153" s="92">
        <f t="shared" si="86"/>
        <v>36361</v>
      </c>
      <c r="G153" s="92">
        <f t="shared" si="86"/>
        <v>299381</v>
      </c>
      <c r="H153" s="92">
        <f t="shared" si="86"/>
        <v>142020</v>
      </c>
      <c r="I153" s="92">
        <f t="shared" si="86"/>
        <v>264329</v>
      </c>
      <c r="J153" s="92">
        <f t="shared" si="86"/>
        <v>233595</v>
      </c>
      <c r="K153" s="92">
        <f t="shared" si="86"/>
        <v>339617</v>
      </c>
      <c r="L153" s="92">
        <f t="shared" si="86"/>
        <v>435416</v>
      </c>
      <c r="M153" s="92">
        <f t="shared" si="86"/>
        <v>285159</v>
      </c>
      <c r="N153" s="92">
        <f t="shared" si="86"/>
        <v>239911</v>
      </c>
      <c r="O153" s="92">
        <f t="shared" si="86"/>
        <v>209627</v>
      </c>
      <c r="P153" s="444">
        <f t="shared" si="84"/>
        <v>-0.57700000051409006</v>
      </c>
      <c r="Q153" s="320"/>
      <c r="R153" s="323"/>
    </row>
    <row r="154" spans="1:18" s="324" customFormat="1" ht="15.75" x14ac:dyDescent="0.25">
      <c r="A154" s="113" t="s">
        <v>323</v>
      </c>
      <c r="B154" s="113" t="s">
        <v>324</v>
      </c>
      <c r="C154" s="92">
        <f t="shared" ref="C154:O154" si="87">+C126+C153</f>
        <v>6520922.1579999998</v>
      </c>
      <c r="D154" s="92">
        <f t="shared" si="87"/>
        <v>329637</v>
      </c>
      <c r="E154" s="92">
        <f t="shared" si="87"/>
        <v>316053.2</v>
      </c>
      <c r="F154" s="92">
        <f t="shared" si="87"/>
        <v>314169</v>
      </c>
      <c r="G154" s="92">
        <f t="shared" si="87"/>
        <v>469159</v>
      </c>
      <c r="H154" s="92">
        <f t="shared" si="87"/>
        <v>467852</v>
      </c>
      <c r="I154" s="92">
        <f t="shared" si="87"/>
        <v>505358</v>
      </c>
      <c r="J154" s="92">
        <f t="shared" si="87"/>
        <v>429698</v>
      </c>
      <c r="K154" s="92">
        <f t="shared" si="87"/>
        <v>836953</v>
      </c>
      <c r="L154" s="92">
        <f t="shared" si="87"/>
        <v>729126</v>
      </c>
      <c r="M154" s="92">
        <f t="shared" si="87"/>
        <v>596131</v>
      </c>
      <c r="N154" s="92">
        <f t="shared" si="87"/>
        <v>732435</v>
      </c>
      <c r="O154" s="92">
        <f t="shared" si="87"/>
        <v>794351.4</v>
      </c>
      <c r="P154" s="444">
        <f t="shared" si="84"/>
        <v>-0.44200000073760748</v>
      </c>
      <c r="Q154" s="322"/>
      <c r="R154" s="323"/>
    </row>
    <row r="155" spans="1:18" ht="15.75" x14ac:dyDescent="0.25">
      <c r="A155" s="113" t="s">
        <v>176</v>
      </c>
      <c r="B155" s="327"/>
      <c r="C155" s="328"/>
      <c r="D155" s="106">
        <f t="shared" ref="D155:P155" si="88">+D77</f>
        <v>329637</v>
      </c>
      <c r="E155" s="106">
        <f t="shared" si="88"/>
        <v>316053.5</v>
      </c>
      <c r="F155" s="106">
        <f t="shared" si="88"/>
        <v>314169</v>
      </c>
      <c r="G155" s="106">
        <f t="shared" si="88"/>
        <v>469159</v>
      </c>
      <c r="H155" s="106">
        <f t="shared" si="88"/>
        <v>467852</v>
      </c>
      <c r="I155" s="106">
        <f t="shared" si="88"/>
        <v>505358</v>
      </c>
      <c r="J155" s="106">
        <f t="shared" si="88"/>
        <v>429698</v>
      </c>
      <c r="K155" s="106">
        <f t="shared" si="88"/>
        <v>836953</v>
      </c>
      <c r="L155" s="106">
        <f t="shared" si="88"/>
        <v>729126</v>
      </c>
      <c r="M155" s="106">
        <f t="shared" si="88"/>
        <v>596131</v>
      </c>
      <c r="N155" s="106">
        <f t="shared" si="88"/>
        <v>732435</v>
      </c>
      <c r="O155" s="106">
        <f t="shared" si="88"/>
        <v>794351</v>
      </c>
      <c r="P155" s="445">
        <f t="shared" si="88"/>
        <v>-0.34151000063866377</v>
      </c>
    </row>
    <row r="156" spans="1:18" x14ac:dyDescent="0.25">
      <c r="C156" s="446">
        <f t="shared" ref="C156:O156" si="89">+C154-C77</f>
        <v>-4.8999954015016556E-4</v>
      </c>
      <c r="D156" s="446">
        <f t="shared" si="89"/>
        <v>0</v>
      </c>
      <c r="E156" s="446">
        <f t="shared" si="89"/>
        <v>-0.29999999998835847</v>
      </c>
      <c r="F156" s="446">
        <f t="shared" si="89"/>
        <v>0</v>
      </c>
      <c r="G156" s="446">
        <f t="shared" si="89"/>
        <v>0</v>
      </c>
      <c r="H156" s="446">
        <f t="shared" si="89"/>
        <v>0</v>
      </c>
      <c r="I156" s="446">
        <f t="shared" si="89"/>
        <v>0</v>
      </c>
      <c r="J156" s="446">
        <f t="shared" si="89"/>
        <v>0</v>
      </c>
      <c r="K156" s="446">
        <f t="shared" si="89"/>
        <v>0</v>
      </c>
      <c r="L156" s="446">
        <f t="shared" si="89"/>
        <v>0</v>
      </c>
      <c r="M156" s="446">
        <f t="shared" si="89"/>
        <v>0</v>
      </c>
      <c r="N156" s="446">
        <f t="shared" si="89"/>
        <v>0</v>
      </c>
      <c r="O156" s="446">
        <f t="shared" si="89"/>
        <v>0.40000000002328306</v>
      </c>
      <c r="P156" s="441">
        <f>SUM(D156:O156)</f>
        <v>0.1000000000349246</v>
      </c>
    </row>
  </sheetData>
  <sheetProtection selectLockedCells="1" selectUnlockedCells="1"/>
  <printOptions horizontalCentered="1"/>
  <pageMargins left="0.36180555555555555" right="0.40972222222222221" top="0.31527777777777777" bottom="0.31527777777777777" header="0.51180555555555551" footer="0.15763888888888888"/>
  <pageSetup paperSize="9" scale="55" firstPageNumber="0" orientation="landscape" horizontalDpi="300" verticalDpi="300" r:id="rId1"/>
  <headerFooter alignWithMargins="0">
    <oddFooter>&amp;R&amp;P</oddFooter>
  </headerFooter>
  <rowBreaks count="1" manualBreakCount="1">
    <brk id="78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A1:L263"/>
  <sheetViews>
    <sheetView view="pageBreakPreview" zoomScale="80" zoomScaleSheetLayoutView="80" workbookViewId="0">
      <selection activeCell="G8" sqref="G1:L1048576"/>
    </sheetView>
  </sheetViews>
  <sheetFormatPr defaultRowHeight="15.75" x14ac:dyDescent="0.25"/>
  <cols>
    <col min="1" max="1" width="77" style="13" customWidth="1"/>
    <col min="2" max="2" width="10.140625" style="13" customWidth="1"/>
    <col min="3" max="3" width="15.42578125" style="329" customWidth="1"/>
    <col min="4" max="4" width="13.7109375" style="13" customWidth="1"/>
    <col min="5" max="5" width="14.42578125" style="13" customWidth="1"/>
    <col min="6" max="6" width="13.7109375" style="13" customWidth="1"/>
    <col min="7" max="7" width="13.140625" style="13" customWidth="1"/>
    <col min="8" max="16384" width="9.140625" style="13"/>
  </cols>
  <sheetData>
    <row r="1" spans="1:12" x14ac:dyDescent="0.25">
      <c r="A1" s="27"/>
      <c r="F1" s="15" t="s">
        <v>811</v>
      </c>
    </row>
    <row r="2" spans="1:12" x14ac:dyDescent="0.25">
      <c r="A2" s="27"/>
      <c r="F2" s="16" t="s">
        <v>905</v>
      </c>
    </row>
    <row r="3" spans="1:12" ht="18.75" x14ac:dyDescent="0.3">
      <c r="A3" s="4" t="s">
        <v>857</v>
      </c>
      <c r="B3" s="36"/>
      <c r="C3" s="238"/>
      <c r="D3" s="36"/>
      <c r="E3" s="36"/>
      <c r="F3" s="36"/>
    </row>
    <row r="4" spans="1:12" x14ac:dyDescent="0.25">
      <c r="A4" s="43"/>
      <c r="B4" s="42"/>
      <c r="C4" s="330"/>
      <c r="D4" s="42"/>
      <c r="E4" s="42"/>
      <c r="F4" s="42"/>
    </row>
    <row r="5" spans="1:12" ht="36" customHeight="1" x14ac:dyDescent="0.35">
      <c r="A5" s="521" t="s">
        <v>849</v>
      </c>
      <c r="B5" s="521"/>
      <c r="C5" s="521"/>
      <c r="D5" s="521"/>
      <c r="E5" s="521"/>
      <c r="F5" s="521"/>
      <c r="G5" s="493"/>
      <c r="H5" s="493"/>
      <c r="I5" s="493"/>
      <c r="J5" s="493"/>
      <c r="K5" s="493"/>
      <c r="L5" s="493"/>
    </row>
    <row r="6" spans="1:12" x14ac:dyDescent="0.25">
      <c r="A6" s="314"/>
      <c r="B6"/>
      <c r="C6" s="331"/>
      <c r="G6" s="332"/>
    </row>
    <row r="7" spans="1:12" ht="31.5" x14ac:dyDescent="0.25">
      <c r="A7" s="19" t="s">
        <v>12</v>
      </c>
      <c r="B7" s="47" t="s">
        <v>38</v>
      </c>
      <c r="C7" s="333" t="s">
        <v>812</v>
      </c>
      <c r="D7" s="333" t="s">
        <v>813</v>
      </c>
      <c r="E7" s="333" t="s">
        <v>837</v>
      </c>
      <c r="F7" s="333" t="s">
        <v>895</v>
      </c>
      <c r="G7" s="334"/>
    </row>
    <row r="8" spans="1:12" x14ac:dyDescent="0.25">
      <c r="A8" s="51" t="s">
        <v>39</v>
      </c>
      <c r="B8" s="52" t="s">
        <v>40</v>
      </c>
      <c r="C8" s="24">
        <f>+'2 Össz'!E7/1000</f>
        <v>1654209.06</v>
      </c>
      <c r="D8" s="24">
        <f>+C8</f>
        <v>1654209.06</v>
      </c>
      <c r="E8" s="24">
        <f>ROUND(+D8*1.01,0)</f>
        <v>1670751</v>
      </c>
      <c r="F8" s="24">
        <f>ROUND(+E8*1.01,0)</f>
        <v>1687459</v>
      </c>
      <c r="G8" s="334"/>
    </row>
    <row r="9" spans="1:12" x14ac:dyDescent="0.25">
      <c r="A9" s="53" t="s">
        <v>41</v>
      </c>
      <c r="B9" s="52" t="s">
        <v>42</v>
      </c>
      <c r="C9" s="24">
        <f>+'2 Össz'!E8/1000</f>
        <v>82670.77</v>
      </c>
      <c r="D9" s="24">
        <f>+C9</f>
        <v>82670.77</v>
      </c>
      <c r="E9" s="24">
        <f>ROUND(+D9*1.01,0)</f>
        <v>83497</v>
      </c>
      <c r="F9" s="24">
        <f>ROUND(+E9*1.01,0)</f>
        <v>84332</v>
      </c>
      <c r="G9" s="335"/>
    </row>
    <row r="10" spans="1:12" x14ac:dyDescent="0.25">
      <c r="A10" s="54" t="s">
        <v>43</v>
      </c>
      <c r="B10" s="55" t="s">
        <v>44</v>
      </c>
      <c r="C10" s="25">
        <f>SUM(C8:C9)</f>
        <v>1736879.83</v>
      </c>
      <c r="D10" s="25">
        <f>SUM(D8:D9)</f>
        <v>1736879.83</v>
      </c>
      <c r="E10" s="25">
        <f>SUM(E8:E9)</f>
        <v>1754248</v>
      </c>
      <c r="F10" s="25">
        <f>SUM(F8:F9)</f>
        <v>1771791</v>
      </c>
    </row>
    <row r="11" spans="1:12" x14ac:dyDescent="0.25">
      <c r="A11" s="56" t="s">
        <v>591</v>
      </c>
      <c r="B11" s="55" t="s">
        <v>46</v>
      </c>
      <c r="C11" s="24">
        <f>+'2 Össz'!E10/1000</f>
        <v>345222.24300000002</v>
      </c>
      <c r="D11" s="25">
        <f>ROUND(+D10*0.195,0)</f>
        <v>338692</v>
      </c>
      <c r="E11" s="25">
        <f>ROUND(+E10*0.175,0)</f>
        <v>306993</v>
      </c>
      <c r="F11" s="25">
        <f>ROUND(+F10*0.175,0)</f>
        <v>310063</v>
      </c>
      <c r="G11" s="27"/>
    </row>
    <row r="12" spans="1:12" x14ac:dyDescent="0.25">
      <c r="A12" s="53" t="s">
        <v>47</v>
      </c>
      <c r="B12" s="52" t="s">
        <v>48</v>
      </c>
      <c r="C12" s="24">
        <f>+'2 Össz'!E11/1000</f>
        <v>267966.321</v>
      </c>
      <c r="D12" s="24">
        <v>240000</v>
      </c>
      <c r="E12" s="24">
        <f t="shared" ref="E12:F16" si="0">ROUND(+D12*1.01,0)</f>
        <v>242400</v>
      </c>
      <c r="F12" s="24">
        <f t="shared" si="0"/>
        <v>244824</v>
      </c>
      <c r="G12" s="27"/>
    </row>
    <row r="13" spans="1:12" x14ac:dyDescent="0.25">
      <c r="A13" s="53" t="s">
        <v>49</v>
      </c>
      <c r="B13" s="52" t="s">
        <v>50</v>
      </c>
      <c r="C13" s="24">
        <f>+'2 Össz'!E12/1000</f>
        <v>15549.76</v>
      </c>
      <c r="D13" s="24">
        <v>15000</v>
      </c>
      <c r="E13" s="24">
        <f t="shared" si="0"/>
        <v>15150</v>
      </c>
      <c r="F13" s="24">
        <f t="shared" si="0"/>
        <v>15302</v>
      </c>
    </row>
    <row r="14" spans="1:12" x14ac:dyDescent="0.25">
      <c r="A14" s="53" t="s">
        <v>51</v>
      </c>
      <c r="B14" s="52" t="s">
        <v>52</v>
      </c>
      <c r="C14" s="24">
        <f>+'2 Össz'!E13/1000</f>
        <v>690692.45600000001</v>
      </c>
      <c r="D14" s="24">
        <v>401000</v>
      </c>
      <c r="E14" s="24">
        <f>ROUND(+D14*1.01,0)-100000</f>
        <v>305010</v>
      </c>
      <c r="F14" s="24">
        <f t="shared" si="0"/>
        <v>308060</v>
      </c>
    </row>
    <row r="15" spans="1:12" x14ac:dyDescent="0.25">
      <c r="A15" s="53" t="s">
        <v>53</v>
      </c>
      <c r="B15" s="52" t="s">
        <v>54</v>
      </c>
      <c r="C15" s="24">
        <f>+'2 Össz'!E14/1000</f>
        <v>51373.885000000002</v>
      </c>
      <c r="D15" s="24">
        <v>6500</v>
      </c>
      <c r="E15" s="24">
        <f t="shared" si="0"/>
        <v>6565</v>
      </c>
      <c r="F15" s="24">
        <f t="shared" si="0"/>
        <v>6631</v>
      </c>
    </row>
    <row r="16" spans="1:12" x14ac:dyDescent="0.25">
      <c r="A16" s="53" t="s">
        <v>55</v>
      </c>
      <c r="B16" s="52" t="s">
        <v>56</v>
      </c>
      <c r="C16" s="24">
        <f>+'2 Össz'!E15/1000</f>
        <v>287294.99549</v>
      </c>
      <c r="D16" s="24">
        <v>205000</v>
      </c>
      <c r="E16" s="24">
        <f>ROUND(+D16*1.01,0)-27000</f>
        <v>180050</v>
      </c>
      <c r="F16" s="24">
        <f t="shared" si="0"/>
        <v>181851</v>
      </c>
    </row>
    <row r="17" spans="1:6" x14ac:dyDescent="0.25">
      <c r="A17" s="56" t="s">
        <v>57</v>
      </c>
      <c r="B17" s="55" t="s">
        <v>58</v>
      </c>
      <c r="C17" s="25">
        <f>SUM(C12:C16)</f>
        <v>1312877.4174899999</v>
      </c>
      <c r="D17" s="25">
        <f>SUM(D12:D16)</f>
        <v>867500</v>
      </c>
      <c r="E17" s="25">
        <f>SUM(E12:E16)</f>
        <v>749175</v>
      </c>
      <c r="F17" s="25">
        <f>SUM(F12:F16)</f>
        <v>756668</v>
      </c>
    </row>
    <row r="18" spans="1:6" x14ac:dyDescent="0.25">
      <c r="A18" s="57" t="s">
        <v>59</v>
      </c>
      <c r="B18" s="55" t="s">
        <v>60</v>
      </c>
      <c r="C18" s="24">
        <f>+'2 Össz'!E17/1000</f>
        <v>59800</v>
      </c>
      <c r="D18" s="336">
        <v>59800</v>
      </c>
      <c r="E18" s="336">
        <f t="shared" ref="E18:F29" si="1">+D18</f>
        <v>59800</v>
      </c>
      <c r="F18" s="336">
        <f t="shared" si="1"/>
        <v>59800</v>
      </c>
    </row>
    <row r="19" spans="1:6" x14ac:dyDescent="0.25">
      <c r="A19" s="58" t="s">
        <v>61</v>
      </c>
      <c r="B19" s="52" t="s">
        <v>62</v>
      </c>
      <c r="C19" s="24">
        <f>+'2 Össz'!E18/1000</f>
        <v>0</v>
      </c>
      <c r="D19" s="24">
        <v>0</v>
      </c>
      <c r="E19" s="24">
        <f t="shared" si="1"/>
        <v>0</v>
      </c>
      <c r="F19" s="24">
        <f t="shared" si="1"/>
        <v>0</v>
      </c>
    </row>
    <row r="20" spans="1:6" x14ac:dyDescent="0.25">
      <c r="A20" s="58" t="s">
        <v>63</v>
      </c>
      <c r="B20" s="52" t="s">
        <v>64</v>
      </c>
      <c r="C20" s="24">
        <f>+'2 Össz'!E19/1000</f>
        <v>24682.5</v>
      </c>
      <c r="D20" s="24">
        <v>0</v>
      </c>
      <c r="E20" s="24">
        <f t="shared" si="1"/>
        <v>0</v>
      </c>
      <c r="F20" s="24">
        <f t="shared" si="1"/>
        <v>0</v>
      </c>
    </row>
    <row r="21" spans="1:6" x14ac:dyDescent="0.25">
      <c r="A21" s="58" t="s">
        <v>65</v>
      </c>
      <c r="B21" s="52" t="s">
        <v>66</v>
      </c>
      <c r="C21" s="24">
        <f>+'2 Össz'!E20/1000</f>
        <v>0</v>
      </c>
      <c r="D21" s="24">
        <v>0</v>
      </c>
      <c r="E21" s="24">
        <f t="shared" si="1"/>
        <v>0</v>
      </c>
      <c r="F21" s="24">
        <f t="shared" si="1"/>
        <v>0</v>
      </c>
    </row>
    <row r="22" spans="1:6" x14ac:dyDescent="0.25">
      <c r="A22" s="58" t="s">
        <v>67</v>
      </c>
      <c r="B22" s="52" t="s">
        <v>68</v>
      </c>
      <c r="C22" s="24">
        <f>+'2 Össz'!E21/1000</f>
        <v>0</v>
      </c>
      <c r="D22" s="24">
        <v>0</v>
      </c>
      <c r="E22" s="24">
        <f t="shared" si="1"/>
        <v>0</v>
      </c>
      <c r="F22" s="24">
        <f t="shared" si="1"/>
        <v>0</v>
      </c>
    </row>
    <row r="23" spans="1:6" x14ac:dyDescent="0.25">
      <c r="A23" s="58" t="s">
        <v>618</v>
      </c>
      <c r="B23" s="52" t="s">
        <v>70</v>
      </c>
      <c r="C23" s="24">
        <f>+'2 Össz'!E22/1000</f>
        <v>0</v>
      </c>
      <c r="D23" s="24">
        <v>0</v>
      </c>
      <c r="E23" s="24">
        <f t="shared" si="1"/>
        <v>0</v>
      </c>
      <c r="F23" s="24">
        <f t="shared" si="1"/>
        <v>0</v>
      </c>
    </row>
    <row r="24" spans="1:6" x14ac:dyDescent="0.25">
      <c r="A24" s="58" t="s">
        <v>71</v>
      </c>
      <c r="B24" s="52" t="s">
        <v>72</v>
      </c>
      <c r="C24" s="24">
        <f>+'2 Össz'!E23/1000</f>
        <v>16676.992999999999</v>
      </c>
      <c r="D24" s="337">
        <v>0</v>
      </c>
      <c r="E24" s="337">
        <f t="shared" si="1"/>
        <v>0</v>
      </c>
      <c r="F24" s="337">
        <f t="shared" si="1"/>
        <v>0</v>
      </c>
    </row>
    <row r="25" spans="1:6" x14ac:dyDescent="0.25">
      <c r="A25" s="58" t="s">
        <v>73</v>
      </c>
      <c r="B25" s="52" t="s">
        <v>74</v>
      </c>
      <c r="C25" s="24">
        <f>+'2 Össz'!E24/1000</f>
        <v>0</v>
      </c>
      <c r="D25" s="24">
        <v>0</v>
      </c>
      <c r="E25" s="24">
        <f t="shared" si="1"/>
        <v>0</v>
      </c>
      <c r="F25" s="24">
        <f t="shared" si="1"/>
        <v>0</v>
      </c>
    </row>
    <row r="26" spans="1:6" x14ac:dyDescent="0.25">
      <c r="A26" s="58" t="s">
        <v>75</v>
      </c>
      <c r="B26" s="52" t="s">
        <v>76</v>
      </c>
      <c r="C26" s="24">
        <f>+'2 Össz'!E25/1000</f>
        <v>0</v>
      </c>
      <c r="D26" s="24">
        <v>0</v>
      </c>
      <c r="E26" s="24">
        <f t="shared" si="1"/>
        <v>0</v>
      </c>
      <c r="F26" s="24">
        <f t="shared" si="1"/>
        <v>0</v>
      </c>
    </row>
    <row r="27" spans="1:6" x14ac:dyDescent="0.25">
      <c r="A27" s="58" t="s">
        <v>77</v>
      </c>
      <c r="B27" s="52" t="s">
        <v>78</v>
      </c>
      <c r="C27" s="24">
        <f>+'2 Össz'!E26/1000</f>
        <v>0</v>
      </c>
      <c r="D27" s="24">
        <v>0</v>
      </c>
      <c r="E27" s="24">
        <f t="shared" si="1"/>
        <v>0</v>
      </c>
      <c r="F27" s="24">
        <f t="shared" si="1"/>
        <v>0</v>
      </c>
    </row>
    <row r="28" spans="1:6" x14ac:dyDescent="0.25">
      <c r="A28" s="59" t="s">
        <v>79</v>
      </c>
      <c r="B28" s="52" t="s">
        <v>80</v>
      </c>
      <c r="C28" s="24">
        <f>+'2 Össz'!E27/1000</f>
        <v>0</v>
      </c>
      <c r="D28" s="24">
        <v>0</v>
      </c>
      <c r="E28" s="24">
        <f t="shared" si="1"/>
        <v>0</v>
      </c>
      <c r="F28" s="24">
        <f t="shared" si="1"/>
        <v>0</v>
      </c>
    </row>
    <row r="29" spans="1:6" x14ac:dyDescent="0.25">
      <c r="A29" s="58" t="s">
        <v>81</v>
      </c>
      <c r="B29" s="52" t="s">
        <v>82</v>
      </c>
      <c r="C29" s="24">
        <f>+'2 Össz'!E28/1000</f>
        <v>0</v>
      </c>
      <c r="D29" s="24">
        <v>0</v>
      </c>
      <c r="E29" s="24">
        <f t="shared" si="1"/>
        <v>0</v>
      </c>
      <c r="F29" s="24">
        <f t="shared" si="1"/>
        <v>0</v>
      </c>
    </row>
    <row r="30" spans="1:6" x14ac:dyDescent="0.25">
      <c r="A30" s="58" t="s">
        <v>83</v>
      </c>
      <c r="B30" s="52" t="s">
        <v>84</v>
      </c>
      <c r="C30" s="24">
        <f>+'2 Össz'!E29/1000</f>
        <v>49380</v>
      </c>
      <c r="D30" s="24">
        <v>30000</v>
      </c>
      <c r="E30" s="24">
        <v>30000</v>
      </c>
      <c r="F30" s="24">
        <v>25000</v>
      </c>
    </row>
    <row r="31" spans="1:6" x14ac:dyDescent="0.25">
      <c r="A31" s="59" t="s">
        <v>85</v>
      </c>
      <c r="B31" s="52" t="s">
        <v>86</v>
      </c>
      <c r="C31" s="24">
        <f>+'2 Össz'!E30/1000</f>
        <v>15000</v>
      </c>
      <c r="D31" s="24">
        <v>15000</v>
      </c>
      <c r="E31" s="24">
        <f>+D31</f>
        <v>15000</v>
      </c>
      <c r="F31" s="24">
        <f>+E31</f>
        <v>15000</v>
      </c>
    </row>
    <row r="32" spans="1:6" x14ac:dyDescent="0.25">
      <c r="A32" s="59" t="s">
        <v>87</v>
      </c>
      <c r="B32" s="52" t="s">
        <v>86</v>
      </c>
      <c r="C32" s="24">
        <f>+'2 Össz'!E31/1000</f>
        <v>14300</v>
      </c>
      <c r="D32" s="24">
        <v>4300</v>
      </c>
      <c r="E32" s="24">
        <f>+D32</f>
        <v>4300</v>
      </c>
      <c r="F32" s="24">
        <f>+E32</f>
        <v>4300</v>
      </c>
    </row>
    <row r="33" spans="1:6" x14ac:dyDescent="0.25">
      <c r="A33" s="57" t="s">
        <v>88</v>
      </c>
      <c r="B33" s="55" t="s">
        <v>89</v>
      </c>
      <c r="C33" s="25">
        <f>SUM(C19:C32)</f>
        <v>120039.493</v>
      </c>
      <c r="D33" s="25">
        <f>SUM(D19:D32)</f>
        <v>49300</v>
      </c>
      <c r="E33" s="25">
        <f>SUM(E19:E32)</f>
        <v>49300</v>
      </c>
      <c r="F33" s="25">
        <f>SUM(F19:F32)</f>
        <v>44300</v>
      </c>
    </row>
    <row r="34" spans="1:6" x14ac:dyDescent="0.25">
      <c r="A34" s="60" t="s">
        <v>90</v>
      </c>
      <c r="B34" s="61" t="s">
        <v>91</v>
      </c>
      <c r="C34" s="62">
        <f>+C33+C18+C17+C11+C10</f>
        <v>3574818.98349</v>
      </c>
      <c r="D34" s="62">
        <f>+D33+D18+D17+D11+D10</f>
        <v>3052171.83</v>
      </c>
      <c r="E34" s="62">
        <f>+E33+E18+E17+E11+E10</f>
        <v>2919516</v>
      </c>
      <c r="F34" s="62">
        <f>+F33+F18+F17+F11+F10</f>
        <v>2942622</v>
      </c>
    </row>
    <row r="35" spans="1:6" x14ac:dyDescent="0.25">
      <c r="A35" s="63" t="s">
        <v>92</v>
      </c>
      <c r="B35" s="52" t="s">
        <v>93</v>
      </c>
      <c r="C35" s="24">
        <f>+'2 Össz'!E34/1000</f>
        <v>200</v>
      </c>
      <c r="D35" s="24">
        <v>300</v>
      </c>
      <c r="E35" s="24">
        <f t="shared" ref="E35:F37" si="2">+D35</f>
        <v>300</v>
      </c>
      <c r="F35" s="24">
        <f t="shared" si="2"/>
        <v>300</v>
      </c>
    </row>
    <row r="36" spans="1:6" x14ac:dyDescent="0.25">
      <c r="A36" s="63" t="s">
        <v>94</v>
      </c>
      <c r="B36" s="52" t="s">
        <v>95</v>
      </c>
      <c r="C36" s="24">
        <f>+'2 Össz'!E35/1000</f>
        <v>16929.133999999998</v>
      </c>
      <c r="D36" s="24">
        <v>18109</v>
      </c>
      <c r="E36" s="24">
        <v>0</v>
      </c>
      <c r="F36" s="24">
        <f t="shared" si="2"/>
        <v>0</v>
      </c>
    </row>
    <row r="37" spans="1:6" x14ac:dyDescent="0.25">
      <c r="A37" s="63" t="s">
        <v>96</v>
      </c>
      <c r="B37" s="52" t="s">
        <v>97</v>
      </c>
      <c r="C37" s="24">
        <f>+'2 Össz'!E36/1000</f>
        <v>2637.7710000000002</v>
      </c>
      <c r="D37" s="24">
        <v>500</v>
      </c>
      <c r="E37" s="24">
        <f t="shared" si="2"/>
        <v>500</v>
      </c>
      <c r="F37" s="24">
        <f t="shared" si="2"/>
        <v>500</v>
      </c>
    </row>
    <row r="38" spans="1:6" x14ac:dyDescent="0.25">
      <c r="A38" s="63" t="s">
        <v>98</v>
      </c>
      <c r="B38" s="52" t="s">
        <v>99</v>
      </c>
      <c r="C38" s="24">
        <f>+'2 Össz'!E37/1000</f>
        <v>159318.359</v>
      </c>
      <c r="D38" s="24">
        <v>30000</v>
      </c>
      <c r="E38" s="24">
        <f>+D38-5000</f>
        <v>25000</v>
      </c>
      <c r="F38" s="24">
        <f>+E38-3000</f>
        <v>22000</v>
      </c>
    </row>
    <row r="39" spans="1:6" x14ac:dyDescent="0.25">
      <c r="A39" s="64" t="s">
        <v>100</v>
      </c>
      <c r="B39" s="52" t="s">
        <v>101</v>
      </c>
      <c r="C39" s="24">
        <f>+'2 Össz'!E38/1000</f>
        <v>0</v>
      </c>
      <c r="D39" s="24">
        <v>0</v>
      </c>
      <c r="E39" s="24">
        <f>+D39</f>
        <v>0</v>
      </c>
      <c r="F39" s="24">
        <f>+E39</f>
        <v>0</v>
      </c>
    </row>
    <row r="40" spans="1:6" x14ac:dyDescent="0.25">
      <c r="A40" s="64" t="s">
        <v>102</v>
      </c>
      <c r="B40" s="52" t="s">
        <v>103</v>
      </c>
      <c r="C40" s="24">
        <f>+'2 Össz'!E39/1000</f>
        <v>0</v>
      </c>
      <c r="D40" s="24">
        <v>0</v>
      </c>
      <c r="E40" s="24">
        <f>+D40</f>
        <v>0</v>
      </c>
      <c r="F40" s="24">
        <f>+E40</f>
        <v>0</v>
      </c>
    </row>
    <row r="41" spans="1:6" x14ac:dyDescent="0.25">
      <c r="A41" s="64" t="s">
        <v>104</v>
      </c>
      <c r="B41" s="52" t="s">
        <v>105</v>
      </c>
      <c r="C41" s="24">
        <f>+'2 Össz'!E40/1000</f>
        <v>47866.002</v>
      </c>
      <c r="D41" s="24">
        <f>ROUNDUP(SUM(D35:D40)*0.27,0)</f>
        <v>13206</v>
      </c>
      <c r="E41" s="24">
        <f>ROUNDUP(SUM(E35:E40)*0.27,0)</f>
        <v>6966</v>
      </c>
      <c r="F41" s="24">
        <f>ROUNDUP(SUM(F35:F40)*0.27,0)</f>
        <v>6156</v>
      </c>
    </row>
    <row r="42" spans="1:6" x14ac:dyDescent="0.25">
      <c r="A42" s="65" t="s">
        <v>106</v>
      </c>
      <c r="B42" s="55" t="s">
        <v>107</v>
      </c>
      <c r="C42" s="25">
        <f>SUM(C35:C41)</f>
        <v>226951.266</v>
      </c>
      <c r="D42" s="25">
        <f>SUM(D35:D41)</f>
        <v>62115</v>
      </c>
      <c r="E42" s="25">
        <f>SUM(E35:E41)</f>
        <v>32766</v>
      </c>
      <c r="F42" s="25">
        <f>SUM(F35:F41)</f>
        <v>28956</v>
      </c>
    </row>
    <row r="43" spans="1:6" x14ac:dyDescent="0.25">
      <c r="A43" s="66" t="s">
        <v>108</v>
      </c>
      <c r="B43" s="52" t="s">
        <v>109</v>
      </c>
      <c r="C43" s="24">
        <f>+'2 Össz'!E42/1000</f>
        <v>2009396.2560000001</v>
      </c>
      <c r="D43" s="24">
        <v>150000</v>
      </c>
      <c r="E43" s="24">
        <v>100000</v>
      </c>
      <c r="F43" s="24">
        <v>150000</v>
      </c>
    </row>
    <row r="44" spans="1:6" x14ac:dyDescent="0.25">
      <c r="A44" s="66" t="s">
        <v>110</v>
      </c>
      <c r="B44" s="52" t="s">
        <v>111</v>
      </c>
      <c r="C44" s="24">
        <f>+'2 Össz'!E43/1000</f>
        <v>0</v>
      </c>
      <c r="D44" s="24">
        <v>0</v>
      </c>
      <c r="E44" s="24">
        <v>0</v>
      </c>
      <c r="F44" s="24">
        <v>0</v>
      </c>
    </row>
    <row r="45" spans="1:6" x14ac:dyDescent="0.25">
      <c r="A45" s="66" t="s">
        <v>112</v>
      </c>
      <c r="B45" s="52" t="s">
        <v>113</v>
      </c>
      <c r="C45" s="24">
        <f>+'2 Össz'!E44/1000</f>
        <v>20000</v>
      </c>
      <c r="D45" s="24">
        <v>10000</v>
      </c>
      <c r="E45" s="24">
        <f>+D45</f>
        <v>10000</v>
      </c>
      <c r="F45" s="24">
        <f>+E45</f>
        <v>10000</v>
      </c>
    </row>
    <row r="46" spans="1:6" x14ac:dyDescent="0.25">
      <c r="A46" s="66" t="s">
        <v>114</v>
      </c>
      <c r="B46" s="52" t="s">
        <v>115</v>
      </c>
      <c r="C46" s="24">
        <f>+'2 Össz'!E45/1000</f>
        <v>547089.12699999998</v>
      </c>
      <c r="D46" s="24">
        <f>ROUNDUP(SUM(D43:D45)*0.27,0)</f>
        <v>43200</v>
      </c>
      <c r="E46" s="24">
        <f>ROUNDUP(SUM(E43:E45)*0.27,0)</f>
        <v>29700</v>
      </c>
      <c r="F46" s="24">
        <f>ROUNDUP(SUM(F43:F45)*0.27,0)</f>
        <v>43200</v>
      </c>
    </row>
    <row r="47" spans="1:6" x14ac:dyDescent="0.25">
      <c r="A47" s="56" t="s">
        <v>116</v>
      </c>
      <c r="B47" s="55" t="s">
        <v>117</v>
      </c>
      <c r="C47" s="25">
        <f>SUM(C43:C46)</f>
        <v>2576485.3829999999</v>
      </c>
      <c r="D47" s="25">
        <f>SUM(D43:D46)</f>
        <v>203200</v>
      </c>
      <c r="E47" s="25">
        <f>SUM(E43:E46)</f>
        <v>139700</v>
      </c>
      <c r="F47" s="25">
        <f>SUM(F43:F46)</f>
        <v>203200</v>
      </c>
    </row>
    <row r="48" spans="1:6" x14ac:dyDescent="0.25">
      <c r="A48" s="66" t="s">
        <v>790</v>
      </c>
      <c r="B48" s="52" t="s">
        <v>119</v>
      </c>
      <c r="C48" s="24">
        <f>+'2 Össz'!E47/1000</f>
        <v>0</v>
      </c>
      <c r="D48" s="24">
        <v>0</v>
      </c>
      <c r="E48" s="24">
        <v>0</v>
      </c>
      <c r="F48" s="24">
        <v>0</v>
      </c>
    </row>
    <row r="49" spans="1:6" x14ac:dyDescent="0.25">
      <c r="A49" s="66" t="s">
        <v>621</v>
      </c>
      <c r="B49" s="52" t="s">
        <v>121</v>
      </c>
      <c r="C49" s="24">
        <f>+'2 Össz'!E48/1000</f>
        <v>0</v>
      </c>
      <c r="D49" s="24">
        <v>0</v>
      </c>
      <c r="E49" s="24">
        <v>0</v>
      </c>
      <c r="F49" s="24">
        <v>0</v>
      </c>
    </row>
    <row r="50" spans="1:6" x14ac:dyDescent="0.25">
      <c r="A50" s="66" t="s">
        <v>791</v>
      </c>
      <c r="B50" s="52" t="s">
        <v>123</v>
      </c>
      <c r="C50" s="24">
        <f>+'2 Össz'!E49/1000</f>
        <v>0</v>
      </c>
      <c r="D50" s="24">
        <v>0</v>
      </c>
      <c r="E50" s="24">
        <v>0</v>
      </c>
      <c r="F50" s="24">
        <v>0</v>
      </c>
    </row>
    <row r="51" spans="1:6" x14ac:dyDescent="0.25">
      <c r="A51" s="66" t="s">
        <v>124</v>
      </c>
      <c r="B51" s="52" t="s">
        <v>125</v>
      </c>
      <c r="C51" s="24">
        <f>+'2 Össz'!E50/1000</f>
        <v>2000</v>
      </c>
      <c r="D51" s="24">
        <v>0</v>
      </c>
      <c r="E51" s="24">
        <v>0</v>
      </c>
      <c r="F51" s="24">
        <v>0</v>
      </c>
    </row>
    <row r="52" spans="1:6" x14ac:dyDescent="0.25">
      <c r="A52" s="66" t="s">
        <v>792</v>
      </c>
      <c r="B52" s="52" t="s">
        <v>127</v>
      </c>
      <c r="C52" s="24">
        <f>+'2 Össz'!E51/1000</f>
        <v>16101</v>
      </c>
      <c r="D52" s="24">
        <v>0</v>
      </c>
      <c r="E52" s="24">
        <v>0</v>
      </c>
      <c r="F52" s="24">
        <v>0</v>
      </c>
    </row>
    <row r="53" spans="1:6" x14ac:dyDescent="0.25">
      <c r="A53" s="66" t="s">
        <v>793</v>
      </c>
      <c r="B53" s="52" t="s">
        <v>129</v>
      </c>
      <c r="C53" s="24">
        <f>+'2 Össz'!E52/1000</f>
        <v>0</v>
      </c>
      <c r="D53" s="24">
        <v>0</v>
      </c>
      <c r="E53" s="24">
        <v>0</v>
      </c>
      <c r="F53" s="24">
        <v>0</v>
      </c>
    </row>
    <row r="54" spans="1:6" x14ac:dyDescent="0.25">
      <c r="A54" s="66" t="s">
        <v>130</v>
      </c>
      <c r="B54" s="52" t="s">
        <v>131</v>
      </c>
      <c r="C54" s="24">
        <f>+'2 Össz'!E53/1000</f>
        <v>0</v>
      </c>
      <c r="D54" s="24">
        <v>0</v>
      </c>
      <c r="E54" s="24">
        <v>0</v>
      </c>
      <c r="F54" s="24">
        <v>0</v>
      </c>
    </row>
    <row r="55" spans="1:6" x14ac:dyDescent="0.25">
      <c r="A55" s="66" t="s">
        <v>132</v>
      </c>
      <c r="B55" s="52" t="s">
        <v>133</v>
      </c>
      <c r="C55" s="24">
        <f>+'2 Össz'!E54/1000</f>
        <v>0</v>
      </c>
      <c r="D55" s="24">
        <v>0</v>
      </c>
      <c r="E55" s="24">
        <f>+'2 Össz'!G54</f>
        <v>0</v>
      </c>
      <c r="F55" s="24">
        <f>+'2 Össz'!H54</f>
        <v>0</v>
      </c>
    </row>
    <row r="56" spans="1:6" x14ac:dyDescent="0.25">
      <c r="A56" s="66" t="s">
        <v>134</v>
      </c>
      <c r="B56" s="52" t="s">
        <v>135</v>
      </c>
      <c r="C56" s="24">
        <f>+'2 Össz'!E55/1000</f>
        <v>0</v>
      </c>
      <c r="D56" s="24">
        <v>0</v>
      </c>
      <c r="E56" s="24">
        <v>0</v>
      </c>
      <c r="F56" s="24">
        <v>0</v>
      </c>
    </row>
    <row r="57" spans="1:6" x14ac:dyDescent="0.25">
      <c r="A57" s="57" t="s">
        <v>136</v>
      </c>
      <c r="B57" s="55" t="s">
        <v>137</v>
      </c>
      <c r="C57" s="25">
        <f>SUM(C48:C56)</f>
        <v>18101</v>
      </c>
      <c r="D57" s="25">
        <f>SUM(D48:D56)</f>
        <v>0</v>
      </c>
      <c r="E57" s="25">
        <f>SUM(E48:E56)</f>
        <v>0</v>
      </c>
      <c r="F57" s="25">
        <f>SUM(F48:F56)</f>
        <v>0</v>
      </c>
    </row>
    <row r="58" spans="1:6" x14ac:dyDescent="0.25">
      <c r="A58" s="60" t="s">
        <v>138</v>
      </c>
      <c r="B58" s="61" t="s">
        <v>139</v>
      </c>
      <c r="C58" s="62">
        <f>+C57+C47+C42</f>
        <v>2821537.6489999997</v>
      </c>
      <c r="D58" s="62">
        <f>+D57+D47+D42</f>
        <v>265315</v>
      </c>
      <c r="E58" s="62">
        <f>+E57+E47+E42</f>
        <v>172466</v>
      </c>
      <c r="F58" s="62">
        <f>+F57+F47+F42</f>
        <v>232156</v>
      </c>
    </row>
    <row r="59" spans="1:6" x14ac:dyDescent="0.25">
      <c r="A59" s="67" t="s">
        <v>140</v>
      </c>
      <c r="B59" s="68" t="s">
        <v>141</v>
      </c>
      <c r="C59" s="69">
        <f>+C57+C47+C42+C33+C18+C17+C11+C10</f>
        <v>6396356.6324899988</v>
      </c>
      <c r="D59" s="69">
        <f>+D57+D47+D42+D33+D18+D17+D11+D10</f>
        <v>3317486.83</v>
      </c>
      <c r="E59" s="69">
        <f>+E57+E47+E42+E33+E18+E17+E11+E10</f>
        <v>3091982</v>
      </c>
      <c r="F59" s="69">
        <f>+F57+F47+F42+F33+F18+F17+F11+F10</f>
        <v>3174778</v>
      </c>
    </row>
    <row r="60" spans="1:6" x14ac:dyDescent="0.25">
      <c r="A60" s="66" t="s">
        <v>142</v>
      </c>
      <c r="B60" s="53" t="s">
        <v>143</v>
      </c>
      <c r="C60" s="24">
        <f>+'2 Össz'!E59/1000</f>
        <v>0</v>
      </c>
      <c r="D60" s="24">
        <v>0</v>
      </c>
      <c r="E60" s="24">
        <f>+'2 Össz'!G59</f>
        <v>0</v>
      </c>
      <c r="F60" s="24">
        <f>+'2 Össz'!H59</f>
        <v>0</v>
      </c>
    </row>
    <row r="61" spans="1:6" x14ac:dyDescent="0.25">
      <c r="A61" s="66" t="s">
        <v>144</v>
      </c>
      <c r="B61" s="53" t="s">
        <v>145</v>
      </c>
      <c r="C61" s="24">
        <f>+'2 Össz'!E60/1000</f>
        <v>0</v>
      </c>
      <c r="D61" s="24">
        <v>0</v>
      </c>
      <c r="E61" s="24">
        <f>+'2 Össz'!G60</f>
        <v>0</v>
      </c>
      <c r="F61" s="24">
        <f>+'2 Össz'!H60</f>
        <v>0</v>
      </c>
    </row>
    <row r="62" spans="1:6" x14ac:dyDescent="0.25">
      <c r="A62" s="66" t="s">
        <v>146</v>
      </c>
      <c r="B62" s="53" t="s">
        <v>147</v>
      </c>
      <c r="C62" s="24">
        <f>+'2 Össz'!E61/1000</f>
        <v>88500</v>
      </c>
      <c r="D62" s="24">
        <v>88500</v>
      </c>
      <c r="E62" s="24">
        <f>+D62</f>
        <v>88500</v>
      </c>
      <c r="F62" s="24">
        <f>+E62</f>
        <v>88500</v>
      </c>
    </row>
    <row r="63" spans="1:6" x14ac:dyDescent="0.25">
      <c r="A63" s="57" t="s">
        <v>148</v>
      </c>
      <c r="B63" s="56" t="s">
        <v>149</v>
      </c>
      <c r="C63" s="70">
        <f>SUM(C60:C62)</f>
        <v>88500</v>
      </c>
      <c r="D63" s="70">
        <f>SUM(D60:D62)</f>
        <v>88500</v>
      </c>
      <c r="E63" s="70">
        <f>SUM(E60:E62)</f>
        <v>88500</v>
      </c>
      <c r="F63" s="70">
        <f>SUM(F60:F62)</f>
        <v>88500</v>
      </c>
    </row>
    <row r="64" spans="1:6" x14ac:dyDescent="0.25">
      <c r="A64" s="71" t="s">
        <v>150</v>
      </c>
      <c r="B64" s="53" t="s">
        <v>151</v>
      </c>
      <c r="C64" s="24">
        <f>+'2 Össz'!E63/1000</f>
        <v>0</v>
      </c>
      <c r="D64" s="24">
        <v>0</v>
      </c>
      <c r="E64" s="24">
        <f>+'2 Össz'!G63</f>
        <v>0</v>
      </c>
      <c r="F64" s="24">
        <f>+'2 Össz'!H63</f>
        <v>0</v>
      </c>
    </row>
    <row r="65" spans="1:6" x14ac:dyDescent="0.25">
      <c r="A65" s="71" t="s">
        <v>152</v>
      </c>
      <c r="B65" s="53" t="s">
        <v>153</v>
      </c>
      <c r="C65" s="24">
        <f>+'2 Össz'!E64/1000</f>
        <v>0</v>
      </c>
      <c r="D65" s="24">
        <v>0</v>
      </c>
      <c r="E65" s="24">
        <f>+'2 Össz'!G64</f>
        <v>0</v>
      </c>
      <c r="F65" s="24">
        <f>+'2 Össz'!H64</f>
        <v>0</v>
      </c>
    </row>
    <row r="66" spans="1:6" x14ac:dyDescent="0.25">
      <c r="A66" s="71" t="s">
        <v>154</v>
      </c>
      <c r="B66" s="53" t="s">
        <v>155</v>
      </c>
      <c r="C66" s="24">
        <f>+'2 Össz'!E65/1000</f>
        <v>36065.525999999998</v>
      </c>
      <c r="D66" s="24">
        <v>0</v>
      </c>
      <c r="E66" s="24">
        <f>+D66</f>
        <v>0</v>
      </c>
      <c r="F66" s="24">
        <f>+E66</f>
        <v>0</v>
      </c>
    </row>
    <row r="67" spans="1:6" x14ac:dyDescent="0.25">
      <c r="A67" s="71" t="s">
        <v>156</v>
      </c>
      <c r="B67" s="53" t="s">
        <v>157</v>
      </c>
      <c r="C67" s="24">
        <f>+'2 Össz'!E66/1000</f>
        <v>0</v>
      </c>
      <c r="D67" s="24">
        <v>0</v>
      </c>
      <c r="E67" s="24">
        <f>+'2 Össz'!G66</f>
        <v>0</v>
      </c>
      <c r="F67" s="24">
        <f>+'2 Össz'!H66</f>
        <v>0</v>
      </c>
    </row>
    <row r="68" spans="1:6" x14ac:dyDescent="0.25">
      <c r="A68" s="71" t="s">
        <v>158</v>
      </c>
      <c r="B68" s="53" t="s">
        <v>159</v>
      </c>
      <c r="C68" s="24">
        <f>+'2 Össz'!E67</f>
        <v>0</v>
      </c>
      <c r="D68" s="24">
        <v>0</v>
      </c>
      <c r="E68" s="24">
        <f>+'2 Össz'!G67</f>
        <v>0</v>
      </c>
      <c r="F68" s="24">
        <f>+'2 Össz'!H67</f>
        <v>0</v>
      </c>
    </row>
    <row r="69" spans="1:6" x14ac:dyDescent="0.25">
      <c r="A69" s="71" t="s">
        <v>160</v>
      </c>
      <c r="B69" s="53" t="s">
        <v>161</v>
      </c>
      <c r="C69" s="24">
        <f>+'2 Össz'!E68</f>
        <v>0</v>
      </c>
      <c r="D69" s="24">
        <v>0</v>
      </c>
      <c r="E69" s="24">
        <f>+'2 Össz'!G68</f>
        <v>0</v>
      </c>
      <c r="F69" s="24">
        <f>+'2 Össz'!H68</f>
        <v>0</v>
      </c>
    </row>
    <row r="70" spans="1:6" x14ac:dyDescent="0.25">
      <c r="A70" s="71" t="s">
        <v>162</v>
      </c>
      <c r="B70" s="53" t="s">
        <v>163</v>
      </c>
      <c r="C70" s="24">
        <f>+'2 Össz'!E69</f>
        <v>0</v>
      </c>
      <c r="D70" s="24">
        <v>0</v>
      </c>
      <c r="E70" s="24">
        <f>+'2 Össz'!G69</f>
        <v>0</v>
      </c>
      <c r="F70" s="24">
        <f>+'2 Össz'!H69</f>
        <v>0</v>
      </c>
    </row>
    <row r="71" spans="1:6" x14ac:dyDescent="0.25">
      <c r="A71" s="71" t="s">
        <v>164</v>
      </c>
      <c r="B71" s="53" t="s">
        <v>165</v>
      </c>
      <c r="C71" s="24">
        <f>+'2 Össz'!E70</f>
        <v>0</v>
      </c>
      <c r="D71" s="24">
        <v>0</v>
      </c>
      <c r="E71" s="24">
        <f>+'2 Össz'!G70</f>
        <v>0</v>
      </c>
      <c r="F71" s="24">
        <f>+'2 Össz'!H70</f>
        <v>0</v>
      </c>
    </row>
    <row r="72" spans="1:6" x14ac:dyDescent="0.25">
      <c r="A72" s="73" t="s">
        <v>166</v>
      </c>
      <c r="B72" s="56" t="s">
        <v>167</v>
      </c>
      <c r="C72" s="72">
        <f>+C70+C69+C68+C67+C66+C65+C64+C63</f>
        <v>124565.526</v>
      </c>
      <c r="D72" s="72">
        <f>+D70+D69+D68+D67+D66+D65+D64+D63</f>
        <v>88500</v>
      </c>
      <c r="E72" s="72">
        <f>+E70+E69+E68+E67+E66+E65+E64+E63</f>
        <v>88500</v>
      </c>
      <c r="F72" s="72">
        <f>+F70+F69+F68+F67+F66+F65+F64+F63</f>
        <v>88500</v>
      </c>
    </row>
    <row r="73" spans="1:6" hidden="1" x14ac:dyDescent="0.25">
      <c r="A73" s="71" t="s">
        <v>168</v>
      </c>
      <c r="B73" s="53" t="s">
        <v>169</v>
      </c>
      <c r="C73" s="24">
        <f>+'2 Össz'!E72</f>
        <v>0</v>
      </c>
      <c r="D73" s="24">
        <v>0</v>
      </c>
      <c r="E73" s="24">
        <v>0</v>
      </c>
      <c r="F73" s="24">
        <v>0</v>
      </c>
    </row>
    <row r="74" spans="1:6" hidden="1" x14ac:dyDescent="0.25">
      <c r="A74" s="66" t="s">
        <v>170</v>
      </c>
      <c r="B74" s="53" t="s">
        <v>171</v>
      </c>
      <c r="C74" s="24">
        <f>+'2 Össz'!E73</f>
        <v>0</v>
      </c>
      <c r="D74" s="24">
        <v>0</v>
      </c>
      <c r="E74" s="24">
        <v>0</v>
      </c>
      <c r="F74" s="24">
        <v>0</v>
      </c>
    </row>
    <row r="75" spans="1:6" hidden="1" x14ac:dyDescent="0.25">
      <c r="A75" s="66" t="s">
        <v>172</v>
      </c>
      <c r="B75" s="53" t="s">
        <v>173</v>
      </c>
      <c r="C75" s="24">
        <f>+'2 Össz'!E74</f>
        <v>0</v>
      </c>
      <c r="D75" s="24">
        <v>0</v>
      </c>
      <c r="E75" s="24">
        <f>+'2 Össz'!G74</f>
        <v>0</v>
      </c>
      <c r="F75" s="24">
        <f>+'2 Össz'!H74</f>
        <v>0</v>
      </c>
    </row>
    <row r="76" spans="1:6" x14ac:dyDescent="0.25">
      <c r="A76" s="74" t="s">
        <v>174</v>
      </c>
      <c r="B76" s="75" t="s">
        <v>175</v>
      </c>
      <c r="C76" s="76">
        <f>+C74+C73+C72+C75</f>
        <v>124565.526</v>
      </c>
      <c r="D76" s="76">
        <f>+D74+D73+D72+D75</f>
        <v>88500</v>
      </c>
      <c r="E76" s="76">
        <f>+E74+E73+E72+E75</f>
        <v>88500</v>
      </c>
      <c r="F76" s="76">
        <f>+F74+F73+F72+F75</f>
        <v>88500</v>
      </c>
    </row>
    <row r="77" spans="1:6" x14ac:dyDescent="0.25">
      <c r="A77" s="28" t="s">
        <v>176</v>
      </c>
      <c r="B77" s="28" t="s">
        <v>177</v>
      </c>
      <c r="C77" s="29">
        <f>+C59+C76</f>
        <v>6520922.1584899984</v>
      </c>
      <c r="D77" s="29">
        <f>+D59+D76</f>
        <v>3405986.83</v>
      </c>
      <c r="E77" s="29">
        <f>+E59+E76</f>
        <v>3180482</v>
      </c>
      <c r="F77" s="29">
        <f>+F59+F76</f>
        <v>3263278</v>
      </c>
    </row>
    <row r="78" spans="1:6" x14ac:dyDescent="0.25">
      <c r="C78" s="14"/>
      <c r="D78" s="14"/>
      <c r="E78" s="14"/>
      <c r="F78" s="14"/>
    </row>
    <row r="79" spans="1:6" hidden="1" x14ac:dyDescent="0.25">
      <c r="C79" s="491"/>
      <c r="D79" s="491"/>
      <c r="E79" s="491"/>
      <c r="F79" s="333"/>
    </row>
    <row r="80" spans="1:6" ht="31.5" x14ac:dyDescent="0.25">
      <c r="A80" s="19" t="s">
        <v>12</v>
      </c>
      <c r="B80" s="47" t="s">
        <v>178</v>
      </c>
      <c r="C80" s="333" t="str">
        <f>+C7</f>
        <v>2019. évi terv</v>
      </c>
      <c r="D80" s="333" t="str">
        <f>+D7</f>
        <v>2020. évi terv</v>
      </c>
      <c r="E80" s="333" t="str">
        <f>+E7</f>
        <v>2021. évi terv</v>
      </c>
      <c r="F80" s="333" t="str">
        <f>+F7</f>
        <v>2022. évi terv</v>
      </c>
    </row>
    <row r="81" spans="1:7" x14ac:dyDescent="0.25">
      <c r="A81" s="51" t="s">
        <v>179</v>
      </c>
      <c r="B81" s="64" t="s">
        <v>180</v>
      </c>
      <c r="C81" s="24">
        <f>+'2 Össz'!E80/1000</f>
        <v>202130.44200000001</v>
      </c>
      <c r="D81" s="24">
        <v>200000</v>
      </c>
      <c r="E81" s="24">
        <f>+D81</f>
        <v>200000</v>
      </c>
      <c r="F81" s="24">
        <f>+E81</f>
        <v>200000</v>
      </c>
    </row>
    <row r="82" spans="1:7" x14ac:dyDescent="0.25">
      <c r="A82" s="53" t="s">
        <v>181</v>
      </c>
      <c r="B82" s="64" t="s">
        <v>182</v>
      </c>
      <c r="C82" s="24">
        <f>+'2 Össz'!E81/1000</f>
        <v>188104.65</v>
      </c>
      <c r="D82" s="24">
        <v>190000</v>
      </c>
      <c r="E82" s="24">
        <f>+D82+10000</f>
        <v>200000</v>
      </c>
      <c r="F82" s="24">
        <f>+E82+10000</f>
        <v>210000</v>
      </c>
    </row>
    <row r="83" spans="1:7" x14ac:dyDescent="0.25">
      <c r="A83" s="53" t="s">
        <v>794</v>
      </c>
      <c r="B83" s="64" t="s">
        <v>184</v>
      </c>
      <c r="C83" s="24">
        <f>+'2 Össz'!E82/1000</f>
        <v>565150.34</v>
      </c>
      <c r="D83" s="24">
        <v>560000</v>
      </c>
      <c r="E83" s="24">
        <f>+D83+2000</f>
        <v>562000</v>
      </c>
      <c r="F83" s="24">
        <f>+E83+3000</f>
        <v>565000</v>
      </c>
    </row>
    <row r="84" spans="1:7" x14ac:dyDescent="0.25">
      <c r="A84" s="53" t="s">
        <v>185</v>
      </c>
      <c r="B84" s="64" t="s">
        <v>186</v>
      </c>
      <c r="C84" s="24">
        <f>+'2 Össz'!E83/1000</f>
        <v>13368.08</v>
      </c>
      <c r="D84" s="24">
        <v>13000</v>
      </c>
      <c r="E84" s="24">
        <f>+D84</f>
        <v>13000</v>
      </c>
      <c r="F84" s="24">
        <f>+E84</f>
        <v>13000</v>
      </c>
    </row>
    <row r="85" spans="1:7" x14ac:dyDescent="0.25">
      <c r="A85" s="53" t="s">
        <v>187</v>
      </c>
      <c r="B85" s="64" t="s">
        <v>188</v>
      </c>
      <c r="C85" s="24">
        <f>+'2 Össz'!E84/1000</f>
        <v>215870.61300000001</v>
      </c>
      <c r="D85" s="24">
        <v>252000</v>
      </c>
      <c r="E85" s="24">
        <f>+D85+2000</f>
        <v>254000</v>
      </c>
      <c r="F85" s="24">
        <f>+E85+3000</f>
        <v>257000</v>
      </c>
    </row>
    <row r="86" spans="1:7" x14ac:dyDescent="0.25">
      <c r="A86" s="53" t="s">
        <v>189</v>
      </c>
      <c r="B86" s="64" t="s">
        <v>190</v>
      </c>
      <c r="C86" s="24">
        <f>+'2 Össz'!E85/1000</f>
        <v>0</v>
      </c>
      <c r="D86" s="24">
        <v>0</v>
      </c>
      <c r="E86" s="24">
        <f>+D86</f>
        <v>0</v>
      </c>
      <c r="F86" s="24">
        <f>+E86</f>
        <v>0</v>
      </c>
    </row>
    <row r="87" spans="1:7" x14ac:dyDescent="0.25">
      <c r="A87" s="56" t="s">
        <v>191</v>
      </c>
      <c r="B87" s="65" t="s">
        <v>192</v>
      </c>
      <c r="C87" s="25">
        <f>SUM(C81:C86)</f>
        <v>1184624.125</v>
      </c>
      <c r="D87" s="25">
        <f>SUM(D81:D86)</f>
        <v>1215000</v>
      </c>
      <c r="E87" s="25">
        <f>SUM(E81:E86)</f>
        <v>1229000</v>
      </c>
      <c r="F87" s="25">
        <f>SUM(F81:F86)</f>
        <v>1245000</v>
      </c>
    </row>
    <row r="88" spans="1:7" x14ac:dyDescent="0.25">
      <c r="A88" s="53" t="s">
        <v>193</v>
      </c>
      <c r="B88" s="64" t="s">
        <v>194</v>
      </c>
      <c r="C88" s="24">
        <f>+'2 Össz'!E87/1000</f>
        <v>0</v>
      </c>
      <c r="D88" s="24">
        <v>0</v>
      </c>
      <c r="E88" s="24">
        <f t="shared" ref="E88:F91" si="3">+D88</f>
        <v>0</v>
      </c>
      <c r="F88" s="24">
        <f t="shared" si="3"/>
        <v>0</v>
      </c>
    </row>
    <row r="89" spans="1:7" x14ac:dyDescent="0.25">
      <c r="A89" s="53" t="s">
        <v>604</v>
      </c>
      <c r="B89" s="64" t="s">
        <v>196</v>
      </c>
      <c r="C89" s="24">
        <f>+'2 Össz'!E88/1000</f>
        <v>0</v>
      </c>
      <c r="D89" s="24">
        <v>0</v>
      </c>
      <c r="E89" s="24">
        <f t="shared" si="3"/>
        <v>0</v>
      </c>
      <c r="F89" s="24">
        <f t="shared" si="3"/>
        <v>0</v>
      </c>
    </row>
    <row r="90" spans="1:7" x14ac:dyDescent="0.25">
      <c r="A90" s="53" t="s">
        <v>605</v>
      </c>
      <c r="B90" s="64" t="s">
        <v>198</v>
      </c>
      <c r="C90" s="24">
        <f>+'2 Össz'!E89/1000</f>
        <v>0</v>
      </c>
      <c r="D90" s="24">
        <v>0</v>
      </c>
      <c r="E90" s="24">
        <f t="shared" si="3"/>
        <v>0</v>
      </c>
      <c r="F90" s="24">
        <f t="shared" si="3"/>
        <v>0</v>
      </c>
    </row>
    <row r="91" spans="1:7" x14ac:dyDescent="0.25">
      <c r="A91" s="53" t="s">
        <v>606</v>
      </c>
      <c r="B91" s="64" t="s">
        <v>200</v>
      </c>
      <c r="C91" s="24">
        <f>+'2 Össz'!E90/1000</f>
        <v>0</v>
      </c>
      <c r="D91" s="24">
        <v>0</v>
      </c>
      <c r="E91" s="24">
        <f t="shared" si="3"/>
        <v>0</v>
      </c>
      <c r="F91" s="24">
        <f t="shared" si="3"/>
        <v>0</v>
      </c>
    </row>
    <row r="92" spans="1:7" x14ac:dyDescent="0.25">
      <c r="A92" s="53" t="s">
        <v>201</v>
      </c>
      <c r="B92" s="64" t="s">
        <v>202</v>
      </c>
      <c r="C92" s="24">
        <f>+'2 Össz'!E91/1000</f>
        <v>1060144.831</v>
      </c>
      <c r="D92" s="24">
        <f>389469+4133-15000</f>
        <v>378602</v>
      </c>
      <c r="E92" s="24">
        <f>+D92-1349</f>
        <v>377253</v>
      </c>
      <c r="F92" s="24">
        <f>+E92-10707</f>
        <v>366546</v>
      </c>
      <c r="G92" s="13" t="s">
        <v>814</v>
      </c>
    </row>
    <row r="93" spans="1:7" x14ac:dyDescent="0.25">
      <c r="A93" s="56" t="s">
        <v>203</v>
      </c>
      <c r="B93" s="65" t="s">
        <v>204</v>
      </c>
      <c r="C93" s="25">
        <f>+C92+C91+C90+C89+C88+C87</f>
        <v>2244768.9560000002</v>
      </c>
      <c r="D93" s="25">
        <f>+D92+D91+D90+D89+D88+D87</f>
        <v>1593602</v>
      </c>
      <c r="E93" s="25">
        <f>+E92+E91+E90+E89+E88+E87</f>
        <v>1606253</v>
      </c>
      <c r="F93" s="25">
        <f>+F92+F91+F90+F89+F88+F87</f>
        <v>1611546</v>
      </c>
    </row>
    <row r="94" spans="1:7" x14ac:dyDescent="0.25">
      <c r="A94" s="56" t="s">
        <v>205</v>
      </c>
      <c r="B94" s="65" t="s">
        <v>206</v>
      </c>
      <c r="C94" s="24">
        <f>+'2 Össz'!E93/1000</f>
        <v>576714.76199999999</v>
      </c>
      <c r="D94" s="25">
        <f>ROUNDUP(+C94/C47*D47,0)</f>
        <v>45484</v>
      </c>
      <c r="E94" s="25">
        <f>ROUNDUP(+D94/D47*E47,0)</f>
        <v>31271</v>
      </c>
      <c r="F94" s="25">
        <f>ROUNDUP(+E94/E47*F47,0)</f>
        <v>45486</v>
      </c>
    </row>
    <row r="95" spans="1:7" x14ac:dyDescent="0.25">
      <c r="A95" s="53" t="s">
        <v>207</v>
      </c>
      <c r="B95" s="64" t="s">
        <v>208</v>
      </c>
      <c r="C95" s="24">
        <f>+'2 Össz'!E94/1000</f>
        <v>0</v>
      </c>
      <c r="D95" s="24">
        <v>0</v>
      </c>
      <c r="E95" s="24">
        <f t="shared" ref="E95:F100" si="4">+D95</f>
        <v>0</v>
      </c>
      <c r="F95" s="24">
        <f t="shared" si="4"/>
        <v>0</v>
      </c>
    </row>
    <row r="96" spans="1:7" x14ac:dyDescent="0.25">
      <c r="A96" s="53" t="s">
        <v>209</v>
      </c>
      <c r="B96" s="64" t="s">
        <v>210</v>
      </c>
      <c r="C96" s="24">
        <f>+'2 Össz'!E95/1000</f>
        <v>0</v>
      </c>
      <c r="D96" s="24">
        <v>0</v>
      </c>
      <c r="E96" s="24">
        <f t="shared" si="4"/>
        <v>0</v>
      </c>
      <c r="F96" s="24">
        <f t="shared" si="4"/>
        <v>0</v>
      </c>
    </row>
    <row r="97" spans="1:6" x14ac:dyDescent="0.25">
      <c r="A97" s="53" t="s">
        <v>211</v>
      </c>
      <c r="B97" s="64" t="s">
        <v>212</v>
      </c>
      <c r="C97" s="24">
        <f>+'2 Össz'!E96/1000</f>
        <v>0</v>
      </c>
      <c r="D97" s="24">
        <v>0</v>
      </c>
      <c r="E97" s="24">
        <f t="shared" si="4"/>
        <v>0</v>
      </c>
      <c r="F97" s="24">
        <f t="shared" si="4"/>
        <v>0</v>
      </c>
    </row>
    <row r="98" spans="1:6" x14ac:dyDescent="0.25">
      <c r="A98" s="53" t="s">
        <v>213</v>
      </c>
      <c r="B98" s="64" t="s">
        <v>214</v>
      </c>
      <c r="C98" s="24">
        <f>+'2 Össz'!E97/1000</f>
        <v>113500</v>
      </c>
      <c r="D98" s="24">
        <v>115500</v>
      </c>
      <c r="E98" s="24">
        <f t="shared" si="4"/>
        <v>115500</v>
      </c>
      <c r="F98" s="24">
        <f t="shared" si="4"/>
        <v>115500</v>
      </c>
    </row>
    <row r="99" spans="1:6" x14ac:dyDescent="0.25">
      <c r="A99" s="53" t="s">
        <v>215</v>
      </c>
      <c r="B99" s="64" t="s">
        <v>216</v>
      </c>
      <c r="C99" s="24">
        <f>+'2 Össz'!E98/1000</f>
        <v>318500</v>
      </c>
      <c r="D99" s="24">
        <v>318200</v>
      </c>
      <c r="E99" s="24">
        <f t="shared" si="4"/>
        <v>318200</v>
      </c>
      <c r="F99" s="24">
        <f t="shared" si="4"/>
        <v>318200</v>
      </c>
    </row>
    <row r="100" spans="1:6" x14ac:dyDescent="0.25">
      <c r="A100" s="53" t="s">
        <v>217</v>
      </c>
      <c r="B100" s="64" t="s">
        <v>218</v>
      </c>
      <c r="C100" s="24">
        <f>+'2 Össz'!E99/1000</f>
        <v>500</v>
      </c>
      <c r="D100" s="24">
        <v>3000</v>
      </c>
      <c r="E100" s="24">
        <f t="shared" si="4"/>
        <v>3000</v>
      </c>
      <c r="F100" s="24">
        <f t="shared" si="4"/>
        <v>3000</v>
      </c>
    </row>
    <row r="101" spans="1:6" x14ac:dyDescent="0.25">
      <c r="A101" s="56" t="s">
        <v>219</v>
      </c>
      <c r="B101" s="65" t="s">
        <v>220</v>
      </c>
      <c r="C101" s="25">
        <f>SUM(C95:C100)</f>
        <v>432500</v>
      </c>
      <c r="D101" s="25">
        <f>SUM(D95:D100)</f>
        <v>436700</v>
      </c>
      <c r="E101" s="25">
        <f>SUM(E95:E100)</f>
        <v>436700</v>
      </c>
      <c r="F101" s="25">
        <f>SUM(F95:F100)</f>
        <v>436700</v>
      </c>
    </row>
    <row r="102" spans="1:6" x14ac:dyDescent="0.25">
      <c r="A102" s="66" t="s">
        <v>221</v>
      </c>
      <c r="B102" s="64" t="s">
        <v>222</v>
      </c>
      <c r="C102" s="24">
        <f>+'2 Össz'!E101/1000</f>
        <v>1044</v>
      </c>
      <c r="D102" s="24">
        <v>0</v>
      </c>
      <c r="E102" s="24">
        <f>+D102</f>
        <v>0</v>
      </c>
      <c r="F102" s="24">
        <f>+E102</f>
        <v>0</v>
      </c>
    </row>
    <row r="103" spans="1:6" x14ac:dyDescent="0.25">
      <c r="A103" s="66" t="s">
        <v>223</v>
      </c>
      <c r="B103" s="64" t="s">
        <v>224</v>
      </c>
      <c r="C103" s="24">
        <f>+'2 Össz'!E102/1000</f>
        <v>264812.79300000001</v>
      </c>
      <c r="D103" s="24">
        <v>216000</v>
      </c>
      <c r="E103" s="24">
        <v>216000</v>
      </c>
      <c r="F103" s="24">
        <f>+E103+2000</f>
        <v>218000</v>
      </c>
    </row>
    <row r="104" spans="1:6" x14ac:dyDescent="0.25">
      <c r="A104" s="66" t="s">
        <v>225</v>
      </c>
      <c r="B104" s="64" t="s">
        <v>226</v>
      </c>
      <c r="C104" s="24">
        <f>+'2 Össz'!E103/1000</f>
        <v>5621</v>
      </c>
      <c r="D104" s="24">
        <v>600</v>
      </c>
      <c r="E104" s="24">
        <v>620</v>
      </c>
      <c r="F104" s="24">
        <f>+E104</f>
        <v>620</v>
      </c>
    </row>
    <row r="105" spans="1:6" x14ac:dyDescent="0.25">
      <c r="A105" s="66" t="s">
        <v>227</v>
      </c>
      <c r="B105" s="64" t="s">
        <v>228</v>
      </c>
      <c r="C105" s="24">
        <f>+'2 Össz'!E104/1000</f>
        <v>6772.9989999999998</v>
      </c>
      <c r="D105" s="24">
        <v>7300</v>
      </c>
      <c r="E105" s="24">
        <v>7300</v>
      </c>
      <c r="F105" s="24">
        <f>+E105</f>
        <v>7300</v>
      </c>
    </row>
    <row r="106" spans="1:6" x14ac:dyDescent="0.25">
      <c r="A106" s="66" t="s">
        <v>229</v>
      </c>
      <c r="B106" s="64" t="s">
        <v>230</v>
      </c>
      <c r="C106" s="24">
        <f>+'2 Össz'!E105/1000</f>
        <v>155644.54</v>
      </c>
      <c r="D106" s="24">
        <v>153000</v>
      </c>
      <c r="E106" s="24">
        <f>+D106+2000</f>
        <v>155000</v>
      </c>
      <c r="F106" s="24">
        <f>+E106+1300</f>
        <v>156300</v>
      </c>
    </row>
    <row r="107" spans="1:6" x14ac:dyDescent="0.25">
      <c r="A107" s="66" t="s">
        <v>231</v>
      </c>
      <c r="B107" s="64" t="s">
        <v>232</v>
      </c>
      <c r="C107" s="24">
        <f>+'2 Össz'!E106/1000</f>
        <v>47401.985000000001</v>
      </c>
      <c r="D107" s="24">
        <v>25000</v>
      </c>
      <c r="E107" s="24">
        <v>26000</v>
      </c>
      <c r="F107" s="24">
        <f>+E107+1000</f>
        <v>27000</v>
      </c>
    </row>
    <row r="108" spans="1:6" x14ac:dyDescent="0.25">
      <c r="A108" s="66" t="s">
        <v>233</v>
      </c>
      <c r="B108" s="64" t="s">
        <v>234</v>
      </c>
      <c r="C108" s="24">
        <f>+'2 Össz'!E107/1000</f>
        <v>0</v>
      </c>
      <c r="D108" s="24">
        <v>0</v>
      </c>
      <c r="E108" s="24">
        <f t="shared" ref="E108:F112" si="5">+D108</f>
        <v>0</v>
      </c>
      <c r="F108" s="24">
        <f t="shared" si="5"/>
        <v>0</v>
      </c>
    </row>
    <row r="109" spans="1:6" x14ac:dyDescent="0.25">
      <c r="A109" s="66" t="s">
        <v>235</v>
      </c>
      <c r="B109" s="64" t="s">
        <v>236</v>
      </c>
      <c r="C109" s="24">
        <f>+'2 Össz'!E108/1000</f>
        <v>1</v>
      </c>
      <c r="D109" s="24">
        <v>0</v>
      </c>
      <c r="E109" s="24">
        <f t="shared" si="5"/>
        <v>0</v>
      </c>
      <c r="F109" s="24">
        <f t="shared" si="5"/>
        <v>0</v>
      </c>
    </row>
    <row r="110" spans="1:6" x14ac:dyDescent="0.25">
      <c r="A110" s="66" t="s">
        <v>237</v>
      </c>
      <c r="B110" s="64" t="s">
        <v>238</v>
      </c>
      <c r="C110" s="24">
        <f>+'2 Össz'!E109/1000</f>
        <v>10</v>
      </c>
      <c r="D110" s="24">
        <v>0</v>
      </c>
      <c r="E110" s="24">
        <f t="shared" si="5"/>
        <v>0</v>
      </c>
      <c r="F110" s="24">
        <f t="shared" si="5"/>
        <v>0</v>
      </c>
    </row>
    <row r="111" spans="1:6" x14ac:dyDescent="0.25">
      <c r="A111" s="66" t="s">
        <v>239</v>
      </c>
      <c r="B111" s="64" t="s">
        <v>240</v>
      </c>
      <c r="C111" s="24">
        <f>+'2 Össz'!E110/1000</f>
        <v>0</v>
      </c>
      <c r="D111" s="24">
        <v>0</v>
      </c>
      <c r="E111" s="24">
        <f t="shared" si="5"/>
        <v>0</v>
      </c>
      <c r="F111" s="24">
        <f t="shared" si="5"/>
        <v>0</v>
      </c>
    </row>
    <row r="112" spans="1:6" x14ac:dyDescent="0.25">
      <c r="A112" s="66" t="s">
        <v>241</v>
      </c>
      <c r="B112" s="64" t="s">
        <v>242</v>
      </c>
      <c r="C112" s="24">
        <f>+'2 Össz'!E111/1000</f>
        <v>0</v>
      </c>
      <c r="D112" s="24">
        <v>0</v>
      </c>
      <c r="E112" s="24">
        <f t="shared" si="5"/>
        <v>0</v>
      </c>
      <c r="F112" s="24">
        <f t="shared" si="5"/>
        <v>0</v>
      </c>
    </row>
    <row r="113" spans="1:6" x14ac:dyDescent="0.25">
      <c r="A113" s="57" t="s">
        <v>243</v>
      </c>
      <c r="B113" s="65" t="s">
        <v>244</v>
      </c>
      <c r="C113" s="25">
        <f>SUM(C102:C112)</f>
        <v>481308.31700000004</v>
      </c>
      <c r="D113" s="25">
        <f>SUM(D102:D112)</f>
        <v>401900</v>
      </c>
      <c r="E113" s="25">
        <f>SUM(E102:E112)</f>
        <v>404920</v>
      </c>
      <c r="F113" s="25">
        <f>SUM(F102:F112)</f>
        <v>409220</v>
      </c>
    </row>
    <row r="114" spans="1:6" x14ac:dyDescent="0.25">
      <c r="A114" s="66" t="s">
        <v>245</v>
      </c>
      <c r="B114" s="64" t="s">
        <v>246</v>
      </c>
      <c r="C114" s="24">
        <f>+'2 Össz'!E113/1000</f>
        <v>0</v>
      </c>
      <c r="D114" s="24">
        <v>0</v>
      </c>
      <c r="E114" s="24">
        <f t="shared" ref="E114:F118" si="6">+D114</f>
        <v>0</v>
      </c>
      <c r="F114" s="24">
        <f t="shared" si="6"/>
        <v>0</v>
      </c>
    </row>
    <row r="115" spans="1:6" x14ac:dyDescent="0.25">
      <c r="A115" s="66" t="s">
        <v>247</v>
      </c>
      <c r="B115" s="64" t="s">
        <v>248</v>
      </c>
      <c r="C115" s="24">
        <f>+'2 Össz'!E114/1000</f>
        <v>59000</v>
      </c>
      <c r="D115" s="24">
        <v>36000</v>
      </c>
      <c r="E115" s="24">
        <f>+D115-5000</f>
        <v>31000</v>
      </c>
      <c r="F115" s="24">
        <f>+E115-5000</f>
        <v>26000</v>
      </c>
    </row>
    <row r="116" spans="1:6" x14ac:dyDescent="0.25">
      <c r="A116" s="66" t="s">
        <v>249</v>
      </c>
      <c r="B116" s="64" t="s">
        <v>250</v>
      </c>
      <c r="C116" s="24">
        <f>+'2 Össz'!E115/1000</f>
        <v>0</v>
      </c>
      <c r="D116" s="24">
        <v>0</v>
      </c>
      <c r="E116" s="24">
        <f t="shared" si="6"/>
        <v>0</v>
      </c>
      <c r="F116" s="24">
        <f t="shared" si="6"/>
        <v>0</v>
      </c>
    </row>
    <row r="117" spans="1:6" x14ac:dyDescent="0.25">
      <c r="A117" s="66" t="s">
        <v>251</v>
      </c>
      <c r="B117" s="64" t="s">
        <v>252</v>
      </c>
      <c r="C117" s="24">
        <f>+'2 Össz'!E116/1000</f>
        <v>0</v>
      </c>
      <c r="D117" s="24">
        <v>0</v>
      </c>
      <c r="E117" s="24">
        <f t="shared" si="6"/>
        <v>0</v>
      </c>
      <c r="F117" s="24">
        <f t="shared" si="6"/>
        <v>0</v>
      </c>
    </row>
    <row r="118" spans="1:6" hidden="1" x14ac:dyDescent="0.25">
      <c r="A118" s="66" t="s">
        <v>253</v>
      </c>
      <c r="B118" s="64" t="s">
        <v>254</v>
      </c>
      <c r="C118" s="24">
        <f>+'2 Össz'!E117/1000</f>
        <v>0</v>
      </c>
      <c r="D118" s="24">
        <v>0</v>
      </c>
      <c r="E118" s="24">
        <f t="shared" si="6"/>
        <v>0</v>
      </c>
      <c r="F118" s="24">
        <f t="shared" si="6"/>
        <v>0</v>
      </c>
    </row>
    <row r="119" spans="1:6" x14ac:dyDescent="0.25">
      <c r="A119" s="56" t="s">
        <v>255</v>
      </c>
      <c r="B119" s="65" t="s">
        <v>256</v>
      </c>
      <c r="C119" s="25">
        <f>SUM(C114:C118)</f>
        <v>59000</v>
      </c>
      <c r="D119" s="25">
        <f>SUM(D114:D118)</f>
        <v>36000</v>
      </c>
      <c r="E119" s="25">
        <f>SUM(E114:E118)</f>
        <v>31000</v>
      </c>
      <c r="F119" s="25">
        <f>SUM(F114:F118)</f>
        <v>26000</v>
      </c>
    </row>
    <row r="120" spans="1:6" x14ac:dyDescent="0.25">
      <c r="A120" s="56" t="s">
        <v>257</v>
      </c>
      <c r="B120" s="65" t="s">
        <v>258</v>
      </c>
      <c r="C120" s="24">
        <f>+'2 Össz'!E119/1000</f>
        <v>22482.5</v>
      </c>
      <c r="D120" s="24">
        <v>0</v>
      </c>
      <c r="E120" s="24">
        <f t="shared" ref="E120:F125" si="7">+D120</f>
        <v>0</v>
      </c>
      <c r="F120" s="24">
        <f t="shared" si="7"/>
        <v>0</v>
      </c>
    </row>
    <row r="121" spans="1:6" x14ac:dyDescent="0.25">
      <c r="A121" s="66" t="s">
        <v>608</v>
      </c>
      <c r="B121" s="64" t="s">
        <v>260</v>
      </c>
      <c r="C121" s="24">
        <f>+'2 Össz'!E120/1000</f>
        <v>0</v>
      </c>
      <c r="D121" s="24">
        <v>0</v>
      </c>
      <c r="E121" s="24">
        <f t="shared" si="7"/>
        <v>0</v>
      </c>
      <c r="F121" s="24">
        <f t="shared" si="7"/>
        <v>0</v>
      </c>
    </row>
    <row r="122" spans="1:6" x14ac:dyDescent="0.25">
      <c r="A122" s="53" t="s">
        <v>261</v>
      </c>
      <c r="B122" s="64" t="s">
        <v>262</v>
      </c>
      <c r="C122" s="24">
        <f>+'2 Össz'!E121/1000</f>
        <v>0</v>
      </c>
      <c r="D122" s="24">
        <v>0</v>
      </c>
      <c r="E122" s="24">
        <f t="shared" si="7"/>
        <v>0</v>
      </c>
      <c r="F122" s="24">
        <f t="shared" si="7"/>
        <v>0</v>
      </c>
    </row>
    <row r="123" spans="1:6" ht="31.5" x14ac:dyDescent="0.25">
      <c r="A123" s="66" t="s">
        <v>263</v>
      </c>
      <c r="B123" s="64" t="s">
        <v>264</v>
      </c>
      <c r="C123" s="24">
        <f>+'2 Össz'!E122/1000</f>
        <v>0</v>
      </c>
      <c r="D123" s="24">
        <v>0</v>
      </c>
      <c r="E123" s="24">
        <f t="shared" si="7"/>
        <v>0</v>
      </c>
      <c r="F123" s="24">
        <f t="shared" si="7"/>
        <v>0</v>
      </c>
    </row>
    <row r="124" spans="1:6" x14ac:dyDescent="0.25">
      <c r="A124" s="66" t="s">
        <v>610</v>
      </c>
      <c r="B124" s="64" t="s">
        <v>266</v>
      </c>
      <c r="C124" s="24">
        <f>+'2 Össz'!E123/1000</f>
        <v>0</v>
      </c>
      <c r="D124" s="24">
        <v>0</v>
      </c>
      <c r="E124" s="24">
        <f t="shared" si="7"/>
        <v>0</v>
      </c>
      <c r="F124" s="24">
        <f t="shared" si="7"/>
        <v>0</v>
      </c>
    </row>
    <row r="125" spans="1:6" x14ac:dyDescent="0.25">
      <c r="A125" s="66" t="s">
        <v>267</v>
      </c>
      <c r="B125" s="64" t="s">
        <v>268</v>
      </c>
      <c r="C125" s="24">
        <f>+'2 Össz'!E124/1000</f>
        <v>29400</v>
      </c>
      <c r="D125" s="24">
        <v>30000</v>
      </c>
      <c r="E125" s="24">
        <f t="shared" si="7"/>
        <v>30000</v>
      </c>
      <c r="F125" s="24">
        <f t="shared" si="7"/>
        <v>30000</v>
      </c>
    </row>
    <row r="126" spans="1:6" x14ac:dyDescent="0.25">
      <c r="A126" s="56" t="s">
        <v>269</v>
      </c>
      <c r="B126" s="65" t="s">
        <v>270</v>
      </c>
      <c r="C126" s="25">
        <f>SUM(C121:C125)</f>
        <v>29400</v>
      </c>
      <c r="D126" s="25">
        <f>SUM(D121:D125)</f>
        <v>30000</v>
      </c>
      <c r="E126" s="25">
        <f>SUM(E121:E125)</f>
        <v>30000</v>
      </c>
      <c r="F126" s="25">
        <f>SUM(F121:F125)</f>
        <v>30000</v>
      </c>
    </row>
    <row r="127" spans="1:6" x14ac:dyDescent="0.25">
      <c r="A127" s="78" t="s">
        <v>271</v>
      </c>
      <c r="B127" s="67" t="s">
        <v>272</v>
      </c>
      <c r="C127" s="69">
        <f>+C126+C120+C119+C113+C101+C94+C93</f>
        <v>3846174.5350000001</v>
      </c>
      <c r="D127" s="69">
        <f>+D126+D120+D119+D113+D101+D94+D93</f>
        <v>2543686</v>
      </c>
      <c r="E127" s="69">
        <f>+E126+E120+E119+E113+E101+E94+E93</f>
        <v>2540144</v>
      </c>
      <c r="F127" s="69">
        <f>+F126+F120+F119+F113+F101+F94+F93</f>
        <v>2558952</v>
      </c>
    </row>
    <row r="128" spans="1:6" x14ac:dyDescent="0.25">
      <c r="A128" s="79" t="s">
        <v>273</v>
      </c>
      <c r="B128" s="80"/>
      <c r="C128" s="81">
        <f>+C120+C113+C101+C93-C34</f>
        <v>-393759.21048999997</v>
      </c>
      <c r="D128" s="81">
        <f>+D120+D113+D101+D93-D34</f>
        <v>-619969.83000000007</v>
      </c>
      <c r="E128" s="81">
        <f>+E120+E113+E101+E93-E34</f>
        <v>-471643</v>
      </c>
      <c r="F128" s="81">
        <f>+F120+F113+F101+F93-F34</f>
        <v>-485156</v>
      </c>
    </row>
    <row r="129" spans="1:6" x14ac:dyDescent="0.25">
      <c r="A129" s="79" t="s">
        <v>274</v>
      </c>
      <c r="B129" s="80"/>
      <c r="C129" s="81">
        <f>+C126+C119+C94-C58</f>
        <v>-2156422.8869999996</v>
      </c>
      <c r="D129" s="81">
        <f>+D126+D119+D94-D58</f>
        <v>-153831</v>
      </c>
      <c r="E129" s="81">
        <f>+E126+E119+E94-E58</f>
        <v>-80195</v>
      </c>
      <c r="F129" s="81">
        <f>+F126+F119+F94-F58</f>
        <v>-130670</v>
      </c>
    </row>
    <row r="130" spans="1:6" x14ac:dyDescent="0.25">
      <c r="A130" s="71" t="s">
        <v>275</v>
      </c>
      <c r="B130" s="53" t="s">
        <v>276</v>
      </c>
      <c r="C130" s="24">
        <f>+'2 Össz'!E129/1000</f>
        <v>0</v>
      </c>
      <c r="D130" s="24">
        <v>0</v>
      </c>
      <c r="E130" s="24">
        <f t="shared" ref="E130:F132" si="8">+D130</f>
        <v>0</v>
      </c>
      <c r="F130" s="24">
        <f t="shared" si="8"/>
        <v>0</v>
      </c>
    </row>
    <row r="131" spans="1:6" x14ac:dyDescent="0.25">
      <c r="A131" s="66" t="s">
        <v>277</v>
      </c>
      <c r="B131" s="53" t="s">
        <v>278</v>
      </c>
      <c r="C131" s="24">
        <f>+'2 Össz'!E130/1000</f>
        <v>0</v>
      </c>
      <c r="D131" s="24">
        <v>0</v>
      </c>
      <c r="E131" s="24">
        <f t="shared" si="8"/>
        <v>0</v>
      </c>
      <c r="F131" s="24">
        <f t="shared" si="8"/>
        <v>0</v>
      </c>
    </row>
    <row r="132" spans="1:6" x14ac:dyDescent="0.25">
      <c r="A132" s="71" t="s">
        <v>279</v>
      </c>
      <c r="B132" s="53" t="s">
        <v>280</v>
      </c>
      <c r="C132" s="24">
        <f>+'2 Össz'!E131/1000</f>
        <v>88500</v>
      </c>
      <c r="D132" s="24">
        <v>88500</v>
      </c>
      <c r="E132" s="24">
        <f t="shared" si="8"/>
        <v>88500</v>
      </c>
      <c r="F132" s="24">
        <f t="shared" si="8"/>
        <v>88500</v>
      </c>
    </row>
    <row r="133" spans="1:6" x14ac:dyDescent="0.25">
      <c r="A133" s="57" t="s">
        <v>281</v>
      </c>
      <c r="B133" s="56" t="s">
        <v>282</v>
      </c>
      <c r="C133" s="25">
        <f>SUM(C130:C132)</f>
        <v>88500</v>
      </c>
      <c r="D133" s="25">
        <f>SUM(D130:D132)</f>
        <v>88500</v>
      </c>
      <c r="E133" s="25">
        <f>SUM(E130:E132)</f>
        <v>88500</v>
      </c>
      <c r="F133" s="25">
        <f>SUM(F130:F132)</f>
        <v>88500</v>
      </c>
    </row>
    <row r="134" spans="1:6" hidden="1" x14ac:dyDescent="0.25">
      <c r="A134" s="66" t="s">
        <v>283</v>
      </c>
      <c r="B134" s="53" t="s">
        <v>284</v>
      </c>
      <c r="C134" s="24">
        <f>+'2 Össz'!E133</f>
        <v>0</v>
      </c>
      <c r="D134" s="24">
        <f>+'2 Össz'!F133</f>
        <v>0</v>
      </c>
      <c r="E134" s="24">
        <f t="shared" ref="E134:F137" si="9">+D134</f>
        <v>0</v>
      </c>
      <c r="F134" s="24">
        <f t="shared" si="9"/>
        <v>0</v>
      </c>
    </row>
    <row r="135" spans="1:6" hidden="1" x14ac:dyDescent="0.25">
      <c r="A135" s="71" t="s">
        <v>285</v>
      </c>
      <c r="B135" s="53" t="s">
        <v>286</v>
      </c>
      <c r="C135" s="24">
        <f>+'2 Össz'!E134</f>
        <v>0</v>
      </c>
      <c r="D135" s="24">
        <f>+'2 Össz'!F134</f>
        <v>0</v>
      </c>
      <c r="E135" s="24">
        <f t="shared" si="9"/>
        <v>0</v>
      </c>
      <c r="F135" s="24">
        <f t="shared" si="9"/>
        <v>0</v>
      </c>
    </row>
    <row r="136" spans="1:6" hidden="1" x14ac:dyDescent="0.25">
      <c r="A136" s="66" t="s">
        <v>287</v>
      </c>
      <c r="B136" s="53" t="s">
        <v>288</v>
      </c>
      <c r="C136" s="24">
        <f>+'2 Össz'!E135</f>
        <v>0</v>
      </c>
      <c r="D136" s="24">
        <f>+'2 Össz'!F135</f>
        <v>0</v>
      </c>
      <c r="E136" s="24">
        <f t="shared" si="9"/>
        <v>0</v>
      </c>
      <c r="F136" s="24">
        <f t="shared" si="9"/>
        <v>0</v>
      </c>
    </row>
    <row r="137" spans="1:6" hidden="1" x14ac:dyDescent="0.25">
      <c r="A137" s="71" t="s">
        <v>289</v>
      </c>
      <c r="B137" s="53" t="s">
        <v>290</v>
      </c>
      <c r="C137" s="24">
        <f>+'2 Össz'!E136</f>
        <v>0</v>
      </c>
      <c r="D137" s="24">
        <f>+'2 Össz'!F136</f>
        <v>0</v>
      </c>
      <c r="E137" s="24">
        <f t="shared" si="9"/>
        <v>0</v>
      </c>
      <c r="F137" s="24">
        <f t="shared" si="9"/>
        <v>0</v>
      </c>
    </row>
    <row r="138" spans="1:6" x14ac:dyDescent="0.25">
      <c r="A138" s="73" t="s">
        <v>291</v>
      </c>
      <c r="B138" s="56" t="s">
        <v>292</v>
      </c>
      <c r="C138" s="25">
        <f>SUM(C134:C137)</f>
        <v>0</v>
      </c>
      <c r="D138" s="25">
        <f>SUM(D134:D137)</f>
        <v>0</v>
      </c>
      <c r="E138" s="25">
        <f>SUM(E134:E137)</f>
        <v>0</v>
      </c>
      <c r="F138" s="25">
        <f>SUM(F134:F137)</f>
        <v>0</v>
      </c>
    </row>
    <row r="139" spans="1:6" x14ac:dyDescent="0.25">
      <c r="A139" s="53" t="s">
        <v>293</v>
      </c>
      <c r="B139" s="53" t="s">
        <v>294</v>
      </c>
      <c r="C139" s="24">
        <f>+'2 Össz'!E138/1000</f>
        <v>343254.51</v>
      </c>
      <c r="D139" s="24">
        <v>184718</v>
      </c>
      <c r="E139" s="24">
        <f>+D139</f>
        <v>184718</v>
      </c>
      <c r="F139" s="24">
        <f t="shared" ref="E139:F142" si="10">+E139</f>
        <v>184718</v>
      </c>
    </row>
    <row r="140" spans="1:6" x14ac:dyDescent="0.25">
      <c r="A140" s="53" t="s">
        <v>295</v>
      </c>
      <c r="B140" s="53" t="s">
        <v>294</v>
      </c>
      <c r="C140" s="24">
        <f>+'2 Össz'!E139/1000</f>
        <v>2242993.1129999999</v>
      </c>
      <c r="D140" s="24">
        <v>589083</v>
      </c>
      <c r="E140" s="24">
        <v>367120</v>
      </c>
      <c r="F140" s="24">
        <v>431108</v>
      </c>
    </row>
    <row r="141" spans="1:6" x14ac:dyDescent="0.25">
      <c r="A141" s="53" t="s">
        <v>296</v>
      </c>
      <c r="B141" s="53" t="s">
        <v>297</v>
      </c>
      <c r="C141" s="24">
        <f>+'2 Össz'!E140/1000</f>
        <v>0</v>
      </c>
      <c r="D141" s="24">
        <v>0</v>
      </c>
      <c r="E141" s="24">
        <f t="shared" si="10"/>
        <v>0</v>
      </c>
      <c r="F141" s="24">
        <f t="shared" si="10"/>
        <v>0</v>
      </c>
    </row>
    <row r="142" spans="1:6" x14ac:dyDescent="0.25">
      <c r="A142" s="53" t="s">
        <v>298</v>
      </c>
      <c r="B142" s="53" t="s">
        <v>297</v>
      </c>
      <c r="C142" s="24">
        <f>+'2 Össz'!E141/1000</f>
        <v>0</v>
      </c>
      <c r="D142" s="24">
        <v>0</v>
      </c>
      <c r="E142" s="24">
        <f t="shared" si="10"/>
        <v>0</v>
      </c>
      <c r="F142" s="24">
        <f t="shared" si="10"/>
        <v>0</v>
      </c>
    </row>
    <row r="143" spans="1:6" x14ac:dyDescent="0.25">
      <c r="A143" s="56" t="s">
        <v>299</v>
      </c>
      <c r="B143" s="56" t="s">
        <v>300</v>
      </c>
      <c r="C143" s="25">
        <f>SUM(C139:C142)</f>
        <v>2586247.6229999997</v>
      </c>
      <c r="D143" s="25">
        <f>SUM(D139:D142)</f>
        <v>773801</v>
      </c>
      <c r="E143" s="25">
        <f>SUM(E139:E142)</f>
        <v>551838</v>
      </c>
      <c r="F143" s="25">
        <f>SUM(F139:F142)</f>
        <v>615826</v>
      </c>
    </row>
    <row r="144" spans="1:6" x14ac:dyDescent="0.25">
      <c r="A144" s="71" t="s">
        <v>301</v>
      </c>
      <c r="B144" s="53" t="s">
        <v>302</v>
      </c>
      <c r="C144" s="24">
        <f>+'2 Össz'!E143/1000</f>
        <v>0</v>
      </c>
      <c r="D144" s="24">
        <v>0</v>
      </c>
      <c r="E144" s="24">
        <f t="shared" ref="E144:F149" si="11">+D144</f>
        <v>0</v>
      </c>
      <c r="F144" s="24">
        <f t="shared" si="11"/>
        <v>0</v>
      </c>
    </row>
    <row r="145" spans="1:6" x14ac:dyDescent="0.25">
      <c r="A145" s="71" t="s">
        <v>303</v>
      </c>
      <c r="B145" s="53" t="s">
        <v>304</v>
      </c>
      <c r="C145" s="24">
        <f>+'2 Össz'!E144/1000</f>
        <v>0</v>
      </c>
      <c r="D145" s="24">
        <v>0</v>
      </c>
      <c r="E145" s="24">
        <f t="shared" si="11"/>
        <v>0</v>
      </c>
      <c r="F145" s="24">
        <f t="shared" si="11"/>
        <v>0</v>
      </c>
    </row>
    <row r="146" spans="1:6" hidden="1" x14ac:dyDescent="0.25">
      <c r="A146" s="71" t="s">
        <v>305</v>
      </c>
      <c r="B146" s="53" t="s">
        <v>306</v>
      </c>
      <c r="C146" s="24">
        <f>+'2 Össz'!E145</f>
        <v>0</v>
      </c>
      <c r="D146" s="24">
        <v>0</v>
      </c>
      <c r="E146" s="24">
        <f t="shared" si="11"/>
        <v>0</v>
      </c>
      <c r="F146" s="24">
        <f t="shared" si="11"/>
        <v>0</v>
      </c>
    </row>
    <row r="147" spans="1:6" hidden="1" x14ac:dyDescent="0.25">
      <c r="A147" s="71" t="s">
        <v>307</v>
      </c>
      <c r="B147" s="53" t="s">
        <v>308</v>
      </c>
      <c r="C147" s="24">
        <f>+'2 Össz'!E146</f>
        <v>0</v>
      </c>
      <c r="D147" s="24">
        <v>0</v>
      </c>
      <c r="E147" s="24">
        <f t="shared" si="11"/>
        <v>0</v>
      </c>
      <c r="F147" s="24">
        <f t="shared" si="11"/>
        <v>0</v>
      </c>
    </row>
    <row r="148" spans="1:6" hidden="1" x14ac:dyDescent="0.25">
      <c r="A148" s="66" t="s">
        <v>309</v>
      </c>
      <c r="B148" s="53" t="s">
        <v>310</v>
      </c>
      <c r="C148" s="24">
        <f>+'2 Össz'!E147</f>
        <v>0</v>
      </c>
      <c r="D148" s="24">
        <v>0</v>
      </c>
      <c r="E148" s="24">
        <f t="shared" si="11"/>
        <v>0</v>
      </c>
      <c r="F148" s="24">
        <f t="shared" si="11"/>
        <v>0</v>
      </c>
    </row>
    <row r="149" spans="1:6" hidden="1" x14ac:dyDescent="0.25">
      <c r="A149" s="66" t="s">
        <v>311</v>
      </c>
      <c r="B149" s="53" t="s">
        <v>312</v>
      </c>
      <c r="C149" s="24">
        <f>+'2 Össz'!E148</f>
        <v>0</v>
      </c>
      <c r="D149" s="24">
        <v>0</v>
      </c>
      <c r="E149" s="24">
        <f t="shared" si="11"/>
        <v>0</v>
      </c>
      <c r="F149" s="24">
        <f t="shared" si="11"/>
        <v>0</v>
      </c>
    </row>
    <row r="150" spans="1:6" x14ac:dyDescent="0.25">
      <c r="A150" s="57" t="s">
        <v>313</v>
      </c>
      <c r="B150" s="56" t="s">
        <v>314</v>
      </c>
      <c r="C150" s="25">
        <f>SUM(C144:C148)+C143+C138+C133</f>
        <v>2674747.6229999997</v>
      </c>
      <c r="D150" s="25">
        <f>SUM(D144:D148)+D143+D138+D133</f>
        <v>862301</v>
      </c>
      <c r="E150" s="25">
        <f>SUM(E144:E148)+E143+E138+E133</f>
        <v>640338</v>
      </c>
      <c r="F150" s="25">
        <f>SUM(F144:F148)+F143+F138+F133</f>
        <v>704326</v>
      </c>
    </row>
    <row r="151" spans="1:6" s="94" customFormat="1" hidden="1" x14ac:dyDescent="0.25">
      <c r="A151" s="71" t="s">
        <v>315</v>
      </c>
      <c r="B151" s="53" t="s">
        <v>316</v>
      </c>
      <c r="C151" s="24">
        <f>+'2 Össz'!E150</f>
        <v>0</v>
      </c>
      <c r="D151" s="24">
        <v>0</v>
      </c>
      <c r="E151" s="24">
        <v>0</v>
      </c>
      <c r="F151" s="24">
        <v>0</v>
      </c>
    </row>
    <row r="152" spans="1:6" hidden="1" x14ac:dyDescent="0.25">
      <c r="A152" s="66" t="s">
        <v>317</v>
      </c>
      <c r="B152" s="53" t="s">
        <v>318</v>
      </c>
      <c r="C152" s="24">
        <f>+'2 Össz'!E151</f>
        <v>0</v>
      </c>
      <c r="D152" s="24">
        <v>0</v>
      </c>
      <c r="E152" s="24">
        <v>0</v>
      </c>
      <c r="F152" s="24">
        <v>0</v>
      </c>
    </row>
    <row r="153" spans="1:6" hidden="1" x14ac:dyDescent="0.25">
      <c r="A153" s="66" t="s">
        <v>319</v>
      </c>
      <c r="B153" s="53" t="s">
        <v>320</v>
      </c>
      <c r="C153" s="24">
        <f>+'2 Össz'!E152</f>
        <v>0</v>
      </c>
      <c r="D153" s="24">
        <v>0</v>
      </c>
      <c r="E153" s="24">
        <v>0</v>
      </c>
      <c r="F153" s="24">
        <v>0</v>
      </c>
    </row>
    <row r="154" spans="1:6" x14ac:dyDescent="0.25">
      <c r="A154" s="74" t="s">
        <v>321</v>
      </c>
      <c r="B154" s="75" t="s">
        <v>322</v>
      </c>
      <c r="C154" s="69">
        <f>+C152+C151+C150+C153</f>
        <v>2674747.6229999997</v>
      </c>
      <c r="D154" s="69">
        <f>+D152+D151+D150+D153</f>
        <v>862301</v>
      </c>
      <c r="E154" s="69">
        <f>+E152+E151+E150+E153</f>
        <v>640338</v>
      </c>
      <c r="F154" s="69">
        <f>+F152+F151+F150+F153</f>
        <v>704326</v>
      </c>
    </row>
    <row r="155" spans="1:6" x14ac:dyDescent="0.25">
      <c r="A155" s="28" t="s">
        <v>323</v>
      </c>
      <c r="B155" s="28" t="s">
        <v>324</v>
      </c>
      <c r="C155" s="29">
        <f>+C127+C154</f>
        <v>6520922.1579999998</v>
      </c>
      <c r="D155" s="29">
        <f>+D127+D154</f>
        <v>3405987</v>
      </c>
      <c r="E155" s="29">
        <f>+E127+E154</f>
        <v>3180482</v>
      </c>
      <c r="F155" s="29">
        <f>+F127+F154</f>
        <v>3263278</v>
      </c>
    </row>
    <row r="156" spans="1:6" x14ac:dyDescent="0.25">
      <c r="C156" s="338">
        <f>+C155-C77</f>
        <v>-4.8999860882759094E-4</v>
      </c>
      <c r="D156" s="338">
        <f>+D155-D77</f>
        <v>0.16999999992549419</v>
      </c>
      <c r="E156" s="338">
        <f>+E155-E77</f>
        <v>0</v>
      </c>
      <c r="F156" s="338">
        <f>+F155-F77</f>
        <v>0</v>
      </c>
    </row>
    <row r="157" spans="1:6" x14ac:dyDescent="0.25">
      <c r="C157" s="331"/>
    </row>
    <row r="158" spans="1:6" x14ac:dyDescent="0.25">
      <c r="C158" s="331"/>
    </row>
    <row r="159" spans="1:6" x14ac:dyDescent="0.25">
      <c r="C159" s="331"/>
    </row>
    <row r="160" spans="1:6" x14ac:dyDescent="0.25">
      <c r="C160" s="331"/>
    </row>
    <row r="161" spans="3:3" x14ac:dyDescent="0.25">
      <c r="C161" s="331"/>
    </row>
    <row r="162" spans="3:3" x14ac:dyDescent="0.25">
      <c r="C162" s="331"/>
    </row>
    <row r="163" spans="3:3" x14ac:dyDescent="0.25">
      <c r="C163" s="331"/>
    </row>
    <row r="164" spans="3:3" x14ac:dyDescent="0.25">
      <c r="C164" s="331"/>
    </row>
    <row r="165" spans="3:3" x14ac:dyDescent="0.25">
      <c r="C165" s="331"/>
    </row>
    <row r="166" spans="3:3" x14ac:dyDescent="0.25">
      <c r="C166" s="331"/>
    </row>
    <row r="167" spans="3:3" x14ac:dyDescent="0.25">
      <c r="C167" s="331"/>
    </row>
    <row r="168" spans="3:3" x14ac:dyDescent="0.25">
      <c r="C168" s="331"/>
    </row>
    <row r="169" spans="3:3" x14ac:dyDescent="0.25">
      <c r="C169" s="331"/>
    </row>
    <row r="170" spans="3:3" x14ac:dyDescent="0.25">
      <c r="C170" s="331"/>
    </row>
    <row r="171" spans="3:3" x14ac:dyDescent="0.25">
      <c r="C171" s="331"/>
    </row>
    <row r="172" spans="3:3" x14ac:dyDescent="0.25">
      <c r="C172" s="331"/>
    </row>
    <row r="173" spans="3:3" x14ac:dyDescent="0.25">
      <c r="C173" s="331"/>
    </row>
    <row r="174" spans="3:3" x14ac:dyDescent="0.25">
      <c r="C174" s="331"/>
    </row>
    <row r="175" spans="3:3" x14ac:dyDescent="0.25">
      <c r="C175" s="331"/>
    </row>
    <row r="176" spans="3:3" x14ac:dyDescent="0.25">
      <c r="C176" s="331"/>
    </row>
    <row r="177" spans="3:3" x14ac:dyDescent="0.25">
      <c r="C177" s="331"/>
    </row>
    <row r="178" spans="3:3" x14ac:dyDescent="0.25">
      <c r="C178" s="331"/>
    </row>
    <row r="179" spans="3:3" x14ac:dyDescent="0.25">
      <c r="C179" s="331"/>
    </row>
    <row r="180" spans="3:3" x14ac:dyDescent="0.25">
      <c r="C180" s="331"/>
    </row>
    <row r="181" spans="3:3" x14ac:dyDescent="0.25">
      <c r="C181" s="331"/>
    </row>
    <row r="182" spans="3:3" x14ac:dyDescent="0.25">
      <c r="C182" s="331"/>
    </row>
    <row r="183" spans="3:3" x14ac:dyDescent="0.25">
      <c r="C183" s="331"/>
    </row>
    <row r="184" spans="3:3" x14ac:dyDescent="0.25">
      <c r="C184" s="331"/>
    </row>
    <row r="185" spans="3:3" x14ac:dyDescent="0.25">
      <c r="C185" s="331"/>
    </row>
    <row r="186" spans="3:3" x14ac:dyDescent="0.25">
      <c r="C186" s="331"/>
    </row>
    <row r="187" spans="3:3" x14ac:dyDescent="0.25">
      <c r="C187" s="331"/>
    </row>
    <row r="188" spans="3:3" x14ac:dyDescent="0.25">
      <c r="C188" s="331"/>
    </row>
    <row r="189" spans="3:3" x14ac:dyDescent="0.25">
      <c r="C189" s="331"/>
    </row>
    <row r="190" spans="3:3" x14ac:dyDescent="0.25">
      <c r="C190" s="331"/>
    </row>
    <row r="191" spans="3:3" x14ac:dyDescent="0.25">
      <c r="C191" s="331"/>
    </row>
    <row r="192" spans="3:3" x14ac:dyDescent="0.25">
      <c r="C192" s="331"/>
    </row>
    <row r="193" spans="3:3" x14ac:dyDescent="0.25">
      <c r="C193" s="331"/>
    </row>
    <row r="194" spans="3:3" x14ac:dyDescent="0.25">
      <c r="C194" s="331"/>
    </row>
    <row r="195" spans="3:3" x14ac:dyDescent="0.25">
      <c r="C195" s="331"/>
    </row>
    <row r="196" spans="3:3" x14ac:dyDescent="0.25">
      <c r="C196" s="331"/>
    </row>
    <row r="197" spans="3:3" x14ac:dyDescent="0.25">
      <c r="C197" s="331"/>
    </row>
    <row r="198" spans="3:3" x14ac:dyDescent="0.25">
      <c r="C198" s="331"/>
    </row>
    <row r="199" spans="3:3" x14ac:dyDescent="0.25">
      <c r="C199" s="331"/>
    </row>
    <row r="200" spans="3:3" x14ac:dyDescent="0.25">
      <c r="C200" s="331"/>
    </row>
    <row r="201" spans="3:3" x14ac:dyDescent="0.25">
      <c r="C201" s="331"/>
    </row>
    <row r="202" spans="3:3" x14ac:dyDescent="0.25">
      <c r="C202" s="331"/>
    </row>
    <row r="203" spans="3:3" x14ac:dyDescent="0.25">
      <c r="C203" s="331"/>
    </row>
    <row r="204" spans="3:3" x14ac:dyDescent="0.25">
      <c r="C204" s="331"/>
    </row>
    <row r="205" spans="3:3" x14ac:dyDescent="0.25">
      <c r="C205" s="331"/>
    </row>
    <row r="206" spans="3:3" x14ac:dyDescent="0.25">
      <c r="C206" s="331"/>
    </row>
    <row r="207" spans="3:3" x14ac:dyDescent="0.25">
      <c r="C207" s="331"/>
    </row>
    <row r="208" spans="3:3" x14ac:dyDescent="0.25">
      <c r="C208" s="331"/>
    </row>
    <row r="209" spans="3:3" x14ac:dyDescent="0.25">
      <c r="C209" s="331"/>
    </row>
    <row r="210" spans="3:3" x14ac:dyDescent="0.25">
      <c r="C210" s="331"/>
    </row>
    <row r="211" spans="3:3" x14ac:dyDescent="0.25">
      <c r="C211" s="331"/>
    </row>
    <row r="212" spans="3:3" x14ac:dyDescent="0.25">
      <c r="C212" s="331"/>
    </row>
    <row r="213" spans="3:3" x14ac:dyDescent="0.25">
      <c r="C213" s="331"/>
    </row>
    <row r="214" spans="3:3" x14ac:dyDescent="0.25">
      <c r="C214" s="331"/>
    </row>
    <row r="215" spans="3:3" x14ac:dyDescent="0.25">
      <c r="C215" s="331"/>
    </row>
    <row r="216" spans="3:3" x14ac:dyDescent="0.25">
      <c r="C216" s="331"/>
    </row>
    <row r="217" spans="3:3" x14ac:dyDescent="0.25">
      <c r="C217" s="331"/>
    </row>
    <row r="218" spans="3:3" x14ac:dyDescent="0.25">
      <c r="C218" s="331"/>
    </row>
    <row r="219" spans="3:3" x14ac:dyDescent="0.25">
      <c r="C219" s="331"/>
    </row>
    <row r="220" spans="3:3" x14ac:dyDescent="0.25">
      <c r="C220" s="331"/>
    </row>
    <row r="221" spans="3:3" x14ac:dyDescent="0.25">
      <c r="C221" s="331"/>
    </row>
    <row r="222" spans="3:3" x14ac:dyDescent="0.25">
      <c r="C222" s="331"/>
    </row>
    <row r="223" spans="3:3" x14ac:dyDescent="0.25">
      <c r="C223" s="331"/>
    </row>
    <row r="224" spans="3:3" x14ac:dyDescent="0.25">
      <c r="C224" s="331"/>
    </row>
    <row r="225" spans="3:3" x14ac:dyDescent="0.25">
      <c r="C225" s="331"/>
    </row>
    <row r="226" spans="3:3" x14ac:dyDescent="0.25">
      <c r="C226" s="331"/>
    </row>
    <row r="227" spans="3:3" x14ac:dyDescent="0.25">
      <c r="C227" s="331"/>
    </row>
    <row r="228" spans="3:3" x14ac:dyDescent="0.25">
      <c r="C228" s="331"/>
    </row>
    <row r="229" spans="3:3" x14ac:dyDescent="0.25">
      <c r="C229" s="331"/>
    </row>
    <row r="230" spans="3:3" x14ac:dyDescent="0.25">
      <c r="C230" s="331"/>
    </row>
    <row r="231" spans="3:3" x14ac:dyDescent="0.25">
      <c r="C231" s="331"/>
    </row>
    <row r="232" spans="3:3" x14ac:dyDescent="0.25">
      <c r="C232" s="331"/>
    </row>
    <row r="233" spans="3:3" x14ac:dyDescent="0.25">
      <c r="C233" s="331"/>
    </row>
    <row r="234" spans="3:3" x14ac:dyDescent="0.25">
      <c r="C234" s="331"/>
    </row>
    <row r="235" spans="3:3" x14ac:dyDescent="0.25">
      <c r="C235" s="331"/>
    </row>
    <row r="236" spans="3:3" x14ac:dyDescent="0.25">
      <c r="C236" s="331"/>
    </row>
    <row r="237" spans="3:3" x14ac:dyDescent="0.25">
      <c r="C237" s="331"/>
    </row>
    <row r="238" spans="3:3" x14ac:dyDescent="0.25">
      <c r="C238" s="331"/>
    </row>
    <row r="239" spans="3:3" x14ac:dyDescent="0.25">
      <c r="C239" s="331"/>
    </row>
    <row r="240" spans="3:3" x14ac:dyDescent="0.25">
      <c r="C240" s="331"/>
    </row>
    <row r="241" spans="3:3" x14ac:dyDescent="0.25">
      <c r="C241" s="331"/>
    </row>
    <row r="242" spans="3:3" x14ac:dyDescent="0.25">
      <c r="C242" s="331"/>
    </row>
    <row r="243" spans="3:3" x14ac:dyDescent="0.25">
      <c r="C243" s="331"/>
    </row>
    <row r="244" spans="3:3" x14ac:dyDescent="0.25">
      <c r="C244" s="331"/>
    </row>
    <row r="245" spans="3:3" x14ac:dyDescent="0.25">
      <c r="C245" s="331"/>
    </row>
    <row r="246" spans="3:3" x14ac:dyDescent="0.25">
      <c r="C246" s="331"/>
    </row>
    <row r="247" spans="3:3" x14ac:dyDescent="0.25">
      <c r="C247" s="331"/>
    </row>
    <row r="248" spans="3:3" x14ac:dyDescent="0.25">
      <c r="C248" s="331"/>
    </row>
    <row r="249" spans="3:3" x14ac:dyDescent="0.25">
      <c r="C249" s="331"/>
    </row>
    <row r="250" spans="3:3" x14ac:dyDescent="0.25">
      <c r="C250" s="331"/>
    </row>
    <row r="251" spans="3:3" x14ac:dyDescent="0.25">
      <c r="C251" s="331"/>
    </row>
    <row r="252" spans="3:3" x14ac:dyDescent="0.25">
      <c r="C252" s="331"/>
    </row>
    <row r="253" spans="3:3" x14ac:dyDescent="0.25">
      <c r="C253" s="331"/>
    </row>
    <row r="254" spans="3:3" x14ac:dyDescent="0.25">
      <c r="C254" s="331"/>
    </row>
    <row r="255" spans="3:3" x14ac:dyDescent="0.25">
      <c r="C255" s="331"/>
    </row>
    <row r="256" spans="3:3" x14ac:dyDescent="0.25">
      <c r="C256" s="331"/>
    </row>
    <row r="257" spans="3:3" x14ac:dyDescent="0.25">
      <c r="C257" s="331"/>
    </row>
    <row r="258" spans="3:3" x14ac:dyDescent="0.25">
      <c r="C258" s="331"/>
    </row>
    <row r="259" spans="3:3" x14ac:dyDescent="0.25">
      <c r="C259" s="331"/>
    </row>
    <row r="260" spans="3:3" x14ac:dyDescent="0.25">
      <c r="C260" s="331"/>
    </row>
    <row r="261" spans="3:3" x14ac:dyDescent="0.25">
      <c r="C261" s="331"/>
    </row>
    <row r="262" spans="3:3" x14ac:dyDescent="0.25">
      <c r="C262" s="331"/>
    </row>
    <row r="263" spans="3:3" x14ac:dyDescent="0.25">
      <c r="C263" s="331"/>
    </row>
  </sheetData>
  <sheetProtection selectLockedCells="1" selectUnlockedCells="1"/>
  <mergeCells count="3">
    <mergeCell ref="A5:F5"/>
    <mergeCell ref="G5:L5"/>
    <mergeCell ref="C79:E79"/>
  </mergeCells>
  <printOptions horizontalCentered="1"/>
  <pageMargins left="0.47222222222222221" right="0.35416666666666669" top="0.43333333333333335" bottom="0.51180555555555551" header="0.51180555555555551" footer="0.31527777777777777"/>
  <pageSetup paperSize="9" scale="61" firstPageNumber="0" orientation="portrait" horizontalDpi="300" verticalDpi="300" r:id="rId1"/>
  <headerFooter alignWithMargins="0">
    <oddFooter>&amp;R&amp;P</oddFooter>
  </headerFooter>
  <rowBreaks count="1" manualBreakCount="1">
    <brk id="7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O281"/>
  <sheetViews>
    <sheetView view="pageBreakPreview" zoomScale="70" zoomScaleSheetLayoutView="70" workbookViewId="0">
      <selection activeCell="H2" sqref="H2"/>
    </sheetView>
  </sheetViews>
  <sheetFormatPr defaultColWidth="11.5703125" defaultRowHeight="15.75" x14ac:dyDescent="0.25"/>
  <cols>
    <col min="1" max="1" width="71" style="30" customWidth="1"/>
    <col min="2" max="2" width="10.42578125" style="30" customWidth="1"/>
    <col min="3" max="3" width="14.28515625" customWidth="1"/>
    <col min="4" max="4" width="14.7109375" customWidth="1"/>
    <col min="5" max="5" width="14.5703125" style="357" customWidth="1"/>
    <col min="6" max="6" width="16.42578125" style="32" customWidth="1"/>
    <col min="7" max="7" width="15.140625" style="32" customWidth="1"/>
    <col min="8" max="8" width="16.85546875" style="33" customWidth="1"/>
    <col min="9" max="9" width="16.28515625" style="32" bestFit="1" customWidth="1"/>
    <col min="10" max="10" width="15.28515625" style="32" customWidth="1"/>
    <col min="11" max="249" width="9.140625" style="30" customWidth="1"/>
  </cols>
  <sheetData>
    <row r="1" spans="1:10" s="13" customFormat="1" x14ac:dyDescent="0.25">
      <c r="C1" s="143"/>
      <c r="D1" s="143"/>
      <c r="F1" s="14"/>
      <c r="G1" s="14"/>
      <c r="H1" s="339" t="s">
        <v>37</v>
      </c>
      <c r="I1" s="14"/>
      <c r="J1" s="14"/>
    </row>
    <row r="2" spans="1:10" s="13" customFormat="1" x14ac:dyDescent="0.25">
      <c r="A2" s="34"/>
      <c r="C2" s="143"/>
      <c r="D2" s="143"/>
      <c r="F2" s="14"/>
      <c r="G2" s="14"/>
      <c r="H2" s="16" t="s">
        <v>919</v>
      </c>
      <c r="I2" s="14"/>
      <c r="J2" s="14"/>
    </row>
    <row r="3" spans="1:10" s="13" customFormat="1" ht="18.75" x14ac:dyDescent="0.3">
      <c r="A3" s="4" t="s">
        <v>857</v>
      </c>
      <c r="B3" s="35"/>
      <c r="C3" s="340"/>
      <c r="D3" s="146"/>
      <c r="E3" s="340"/>
      <c r="F3" s="38"/>
      <c r="G3" s="39"/>
      <c r="H3" s="40"/>
      <c r="I3" s="14"/>
      <c r="J3" s="14"/>
    </row>
    <row r="4" spans="1:10" s="13" customFormat="1" x14ac:dyDescent="0.25">
      <c r="A4" s="41" t="s">
        <v>822</v>
      </c>
      <c r="B4" s="42"/>
      <c r="C4" s="145"/>
      <c r="D4" s="145"/>
      <c r="E4" s="341"/>
      <c r="F4" s="44"/>
      <c r="G4" s="44"/>
      <c r="H4" s="45"/>
      <c r="I4" s="14"/>
      <c r="J4" s="14"/>
    </row>
    <row r="5" spans="1:10" x14ac:dyDescent="0.25">
      <c r="A5" s="46"/>
      <c r="C5" s="492" t="s">
        <v>10</v>
      </c>
      <c r="D5" s="492"/>
      <c r="E5" s="492"/>
      <c r="F5" s="491" t="s">
        <v>11</v>
      </c>
      <c r="G5" s="491"/>
      <c r="H5" s="491"/>
    </row>
    <row r="6" spans="1:10" ht="31.5" x14ac:dyDescent="0.25">
      <c r="A6" s="19" t="s">
        <v>12</v>
      </c>
      <c r="B6" s="47" t="s">
        <v>38</v>
      </c>
      <c r="C6" s="342" t="s">
        <v>13</v>
      </c>
      <c r="D6" s="342" t="s">
        <v>14</v>
      </c>
      <c r="E6" s="343" t="s">
        <v>15</v>
      </c>
      <c r="F6" s="49" t="s">
        <v>13</v>
      </c>
      <c r="G6" s="49" t="s">
        <v>14</v>
      </c>
      <c r="H6" s="50" t="s">
        <v>15</v>
      </c>
    </row>
    <row r="7" spans="1:10" x14ac:dyDescent="0.25">
      <c r="A7" s="51" t="s">
        <v>39</v>
      </c>
      <c r="B7" s="52" t="s">
        <v>40</v>
      </c>
      <c r="C7" s="344">
        <f>+'7 Önk'!D7+'8 PH'!D7+'9 VGIG'!D7+'10 Járób'!D7+'11 Szoci'!D7+'12 Ovi'!D7+'13 Művház'!D7+'14 Könyvt'!D7+'19 EU projektek'!D7</f>
        <v>1034159868</v>
      </c>
      <c r="D7" s="344">
        <f>+'7 Önk'!E7+'8 PH'!E7+'9 VGIG'!E7+'10 Járób'!E7+'11 Szoci'!E7+'12 Ovi'!E7+'13 Művház'!E7+'14 Könyvt'!E7+'19 EU projektek'!E7</f>
        <v>620049192</v>
      </c>
      <c r="E7" s="345">
        <f>+C7+D7</f>
        <v>1654209060</v>
      </c>
      <c r="F7" s="344">
        <f>+'7 Önk'!G7+'8 PH'!G7+'9 VGIG'!G7+'10 Járób'!G7+'11 Szoci'!G7+'12 Ovi'!G7+'13 Művház'!G7+'14 Könyvt'!G7+'19 EU projektek'!G7</f>
        <v>1059018978</v>
      </c>
      <c r="G7" s="344">
        <f>+'7 Önk'!H7+'8 PH'!H7+'9 VGIG'!H7+'10 Járób'!H7+'11 Szoci'!H7+'12 Ovi'!H7+'13 Művház'!H7+'14 Könyvt'!H7+'19 EU projektek'!H7</f>
        <v>441618037</v>
      </c>
      <c r="H7" s="25">
        <f>+F7+G7</f>
        <v>1500637015</v>
      </c>
      <c r="I7" s="32">
        <v>1684831265</v>
      </c>
      <c r="J7" s="32">
        <f>+I7-H7</f>
        <v>184194250</v>
      </c>
    </row>
    <row r="8" spans="1:10" x14ac:dyDescent="0.25">
      <c r="A8" s="53" t="s">
        <v>41</v>
      </c>
      <c r="B8" s="52" t="s">
        <v>42</v>
      </c>
      <c r="C8" s="344">
        <f>+'7 Önk'!D8+'8 PH'!D8+'9 VGIG'!D8+'10 Járób'!D8+'11 Szoci'!D8+'12 Ovi'!D8+'13 Művház'!D8+'14 Könyvt'!D8+'19 EU projektek'!D8</f>
        <v>39048902</v>
      </c>
      <c r="D8" s="344">
        <f>+'7 Önk'!E8+'8 PH'!E8+'9 VGIG'!E8+'10 Járób'!E8+'11 Szoci'!E8+'12 Ovi'!E8+'13 Művház'!E8+'14 Könyvt'!E8+'19 EU projektek'!E8</f>
        <v>43621868</v>
      </c>
      <c r="E8" s="345">
        <f>+C8+D8</f>
        <v>82670770</v>
      </c>
      <c r="F8" s="344">
        <f>+'7 Önk'!G8+'8 PH'!G8+'9 VGIG'!G8+'10 Járób'!G8+'11 Szoci'!G8+'12 Ovi'!G8+'13 Művház'!G8+'14 Könyvt'!G8+'19 EU projektek'!G8</f>
        <v>57457692</v>
      </c>
      <c r="G8" s="344">
        <f>+'7 Önk'!H8+'8 PH'!H8+'9 VGIG'!H8+'10 Járób'!H8+'11 Szoci'!H8+'12 Ovi'!H8+'13 Művház'!H8+'14 Könyvt'!H8+'19 EU projektek'!H8</f>
        <v>35991687</v>
      </c>
      <c r="H8" s="25">
        <f>+F8+G8</f>
        <v>93449379</v>
      </c>
      <c r="I8" s="32">
        <v>93255129</v>
      </c>
      <c r="J8" s="32">
        <f t="shared" ref="J8:J71" si="0">+I8-H8</f>
        <v>-194250</v>
      </c>
    </row>
    <row r="9" spans="1:10" x14ac:dyDescent="0.25">
      <c r="A9" s="54" t="s">
        <v>43</v>
      </c>
      <c r="B9" s="55" t="s">
        <v>44</v>
      </c>
      <c r="C9" s="345">
        <f t="shared" ref="C9:I9" si="1">SUM(C7:C8)</f>
        <v>1073208770</v>
      </c>
      <c r="D9" s="345">
        <f t="shared" si="1"/>
        <v>663671060</v>
      </c>
      <c r="E9" s="345">
        <f t="shared" si="1"/>
        <v>1736879830</v>
      </c>
      <c r="F9" s="345">
        <f>SUM(F7:F8)</f>
        <v>1116476670</v>
      </c>
      <c r="G9" s="345">
        <f>SUM(G7:G8)</f>
        <v>477609724</v>
      </c>
      <c r="H9" s="25">
        <f t="shared" si="1"/>
        <v>1594086394</v>
      </c>
      <c r="I9" s="25">
        <f t="shared" si="1"/>
        <v>1778086394</v>
      </c>
      <c r="J9" s="32">
        <f t="shared" si="0"/>
        <v>184000000</v>
      </c>
    </row>
    <row r="10" spans="1:10" x14ac:dyDescent="0.25">
      <c r="A10" s="56" t="s">
        <v>45</v>
      </c>
      <c r="B10" s="55" t="s">
        <v>46</v>
      </c>
      <c r="C10" s="344">
        <f>+'7 Önk'!D10+'8 PH'!D10+'9 VGIG'!D10+'10 Járób'!D10+'11 Szoci'!D10+'12 Ovi'!D10+'13 Művház'!D10+'14 Könyvt'!D10+'19 EU projektek'!D10</f>
        <v>210887968</v>
      </c>
      <c r="D10" s="344">
        <f>+'7 Önk'!E10+'8 PH'!E10+'9 VGIG'!E10+'10 Járób'!E10+'11 Szoci'!E10+'12 Ovi'!E10+'13 Művház'!E10+'14 Könyvt'!E10+'19 EU projektek'!E10</f>
        <v>134334275</v>
      </c>
      <c r="E10" s="345">
        <f t="shared" ref="E10:E15" si="2">+C10+D10</f>
        <v>345222243</v>
      </c>
      <c r="F10" s="344">
        <f>+'7 Önk'!G10+'8 PH'!G10+'9 VGIG'!G10+'10 Járób'!G10+'11 Szoci'!G10+'12 Ovi'!G10+'13 Művház'!G10+'14 Könyvt'!G10+'19 EU projektek'!G10</f>
        <v>218493479</v>
      </c>
      <c r="G10" s="344">
        <f>+'7 Önk'!H10+'8 PH'!H10+'9 VGIG'!H10+'10 Járób'!H10+'11 Szoci'!H10+'12 Ovi'!H10+'13 Művház'!H10+'14 Könyvt'!H10+'19 EU projektek'!H10</f>
        <v>86703878</v>
      </c>
      <c r="H10" s="25">
        <f t="shared" ref="H10:H15" si="3">+F10+G10</f>
        <v>305197357</v>
      </c>
      <c r="I10" s="32">
        <v>354197357</v>
      </c>
      <c r="J10" s="32">
        <f t="shared" si="0"/>
        <v>49000000</v>
      </c>
    </row>
    <row r="11" spans="1:10" x14ac:dyDescent="0.25">
      <c r="A11" s="53" t="s">
        <v>47</v>
      </c>
      <c r="B11" s="52" t="s">
        <v>48</v>
      </c>
      <c r="C11" s="344">
        <f>+'7 Önk'!D11+'8 PH'!D11+'9 VGIG'!D11+'10 Járób'!D11+'11 Szoci'!D11+'12 Ovi'!D11+'13 Művház'!D11+'14 Könyvt'!D11+'19 EU projektek'!D11+'16 szociális kiad'!D10</f>
        <v>195043792</v>
      </c>
      <c r="D11" s="344">
        <f>+'7 Önk'!E11+'8 PH'!E11+'9 VGIG'!E11+'10 Járób'!E11+'11 Szoci'!E11+'12 Ovi'!E11+'13 Művház'!E11+'14 Könyvt'!E11+'19 EU projektek'!E11</f>
        <v>72922529</v>
      </c>
      <c r="E11" s="345">
        <f t="shared" si="2"/>
        <v>267966321</v>
      </c>
      <c r="F11" s="344">
        <f>+'7 Önk'!G11+'8 PH'!G11+'9 VGIG'!G11+'10 Járób'!G11+'11 Szoci'!G11+'12 Ovi'!G11+'13 Művház'!G11+'14 Könyvt'!G11+'19 EU projektek'!G11+'16 szociális kiad'!E10</f>
        <v>214934328</v>
      </c>
      <c r="G11" s="344">
        <f>+'7 Önk'!H11+'8 PH'!H11+'9 VGIG'!H11+'10 Járób'!H11+'11 Szoci'!H11+'12 Ovi'!H11+'13 Művház'!H11+'14 Könyvt'!H11+'19 EU projektek'!H11</f>
        <v>76928194</v>
      </c>
      <c r="H11" s="25">
        <f t="shared" si="3"/>
        <v>291862522</v>
      </c>
      <c r="I11" s="32">
        <v>291862522</v>
      </c>
      <c r="J11" s="32">
        <f t="shared" si="0"/>
        <v>0</v>
      </c>
    </row>
    <row r="12" spans="1:10" x14ac:dyDescent="0.25">
      <c r="A12" s="53" t="s">
        <v>49</v>
      </c>
      <c r="B12" s="52" t="s">
        <v>50</v>
      </c>
      <c r="C12" s="344">
        <f>+'7 Önk'!D12+'8 PH'!D12+'9 VGIG'!D12+'10 Járób'!D12+'11 Szoci'!D12+'12 Ovi'!D12+'13 Művház'!D12+'14 Könyvt'!D12+'19 EU projektek'!D12</f>
        <v>7991760</v>
      </c>
      <c r="D12" s="344">
        <f>+'7 Önk'!E12+'8 PH'!E12+'9 VGIG'!E12+'10 Járób'!E12+'11 Szoci'!E12+'12 Ovi'!E12+'13 Művház'!E12+'14 Könyvt'!E12+'19 EU projektek'!E12</f>
        <v>7558000</v>
      </c>
      <c r="E12" s="345">
        <f t="shared" si="2"/>
        <v>15549760</v>
      </c>
      <c r="F12" s="344">
        <f>+'7 Önk'!G12+'8 PH'!G12+'9 VGIG'!G12+'10 Járób'!G12+'11 Szoci'!G12+'12 Ovi'!G12+'13 Művház'!G12+'14 Könyvt'!G12+'19 EU projektek'!G12</f>
        <v>8949331</v>
      </c>
      <c r="G12" s="344">
        <f>+'7 Önk'!H12+'8 PH'!H12+'9 VGIG'!H12+'10 Járób'!H12+'11 Szoci'!H12+'12 Ovi'!H12+'13 Művház'!H12+'14 Könyvt'!H12+'19 EU projektek'!H12</f>
        <v>9725123</v>
      </c>
      <c r="H12" s="25">
        <f t="shared" si="3"/>
        <v>18674454</v>
      </c>
      <c r="I12" s="32">
        <v>18674454</v>
      </c>
      <c r="J12" s="32">
        <f t="shared" si="0"/>
        <v>0</v>
      </c>
    </row>
    <row r="13" spans="1:10" x14ac:dyDescent="0.25">
      <c r="A13" s="53" t="s">
        <v>51</v>
      </c>
      <c r="B13" s="52" t="s">
        <v>52</v>
      </c>
      <c r="C13" s="344">
        <f>+'7 Önk'!D13+'8 PH'!D13+'9 VGIG'!D13+'10 Járób'!D13+'11 Szoci'!D13+'12 Ovi'!D13+'13 Művház'!D13+'14 Könyvt'!D13+'19 EU projektek'!D13</f>
        <v>331132374</v>
      </c>
      <c r="D13" s="344">
        <f>+'7 Önk'!E13+'8 PH'!E13+'9 VGIG'!E13+'10 Járób'!E13+'11 Szoci'!E13+'12 Ovi'!E13+'13 Művház'!E13+'14 Könyvt'!E13+'19 EU projektek'!E13</f>
        <v>359560082</v>
      </c>
      <c r="E13" s="345">
        <f t="shared" si="2"/>
        <v>690692456</v>
      </c>
      <c r="F13" s="344">
        <f>+'7 Önk'!G13+'8 PH'!G13+'9 VGIG'!G13+'10 Járób'!G13+'11 Szoci'!G13+'12 Ovi'!G13+'13 Művház'!G13+'14 Könyvt'!G13+'19 EU projektek'!G13</f>
        <v>342246336</v>
      </c>
      <c r="G13" s="344">
        <f>+'7 Önk'!H13+'8 PH'!H13+'9 VGIG'!H13+'10 Járób'!H13+'11 Szoci'!H13+'12 Ovi'!H13+'13 Művház'!H13+'14 Könyvt'!H13+'19 EU projektek'!H13</f>
        <v>352271025</v>
      </c>
      <c r="H13" s="25">
        <f t="shared" si="3"/>
        <v>694517361</v>
      </c>
      <c r="I13" s="32">
        <v>719517361</v>
      </c>
      <c r="J13" s="32">
        <f t="shared" si="0"/>
        <v>25000000</v>
      </c>
    </row>
    <row r="14" spans="1:10" x14ac:dyDescent="0.25">
      <c r="A14" s="53" t="s">
        <v>53</v>
      </c>
      <c r="B14" s="52" t="s">
        <v>54</v>
      </c>
      <c r="C14" s="344">
        <f>+'7 Önk'!D14+'8 PH'!D14+'9 VGIG'!D14+'10 Járób'!D14+'11 Szoci'!D14+'12 Ovi'!D14+'13 Művház'!D14+'14 Könyvt'!D14+'19 EU projektek'!D14</f>
        <v>7460000</v>
      </c>
      <c r="D14" s="344">
        <f>+'7 Önk'!E14+'8 PH'!E14+'9 VGIG'!E14+'10 Járób'!E14+'11 Szoci'!E14+'12 Ovi'!E14+'13 Művház'!E14+'14 Könyvt'!E14+'19 EU projektek'!E14</f>
        <v>43913885</v>
      </c>
      <c r="E14" s="345">
        <f t="shared" si="2"/>
        <v>51373885</v>
      </c>
      <c r="F14" s="344">
        <f>+'7 Önk'!G14+'8 PH'!G14+'9 VGIG'!G14+'10 Járób'!G14+'11 Szoci'!G14+'12 Ovi'!G14+'13 Művház'!G14+'14 Könyvt'!G14+'19 EU projektek'!G14</f>
        <v>10242564</v>
      </c>
      <c r="G14" s="344">
        <f>+'7 Önk'!H14+'8 PH'!H14+'9 VGIG'!H14+'10 Járób'!H14+'11 Szoci'!H14+'12 Ovi'!H14+'13 Művház'!H14+'14 Könyvt'!H14+'19 EU projektek'!H14</f>
        <v>7913528</v>
      </c>
      <c r="H14" s="25">
        <f t="shared" si="3"/>
        <v>18156092</v>
      </c>
      <c r="I14" s="32">
        <v>56156092</v>
      </c>
      <c r="J14" s="32">
        <f t="shared" si="0"/>
        <v>38000000</v>
      </c>
    </row>
    <row r="15" spans="1:10" x14ac:dyDescent="0.25">
      <c r="A15" s="53" t="s">
        <v>55</v>
      </c>
      <c r="B15" s="52" t="s">
        <v>56</v>
      </c>
      <c r="C15" s="344">
        <f>+'7 Önk'!D15+'8 PH'!D15+'9 VGIG'!D15+'10 Járób'!D15+'11 Szoci'!D15+'12 Ovi'!D15+'13 Művház'!D15+'14 Könyvt'!D15+'19 EU projektek'!D15+'16 szociális kiad'!D11</f>
        <v>194642669.49000001</v>
      </c>
      <c r="D15" s="344">
        <f>+'7 Önk'!E15+'8 PH'!E15+'9 VGIG'!E15+'10 Járób'!E15+'11 Szoci'!E15+'12 Ovi'!E15+'13 Művház'!E15+'14 Könyvt'!E15+'19 EU projektek'!E15</f>
        <v>92652326</v>
      </c>
      <c r="E15" s="345">
        <f t="shared" si="2"/>
        <v>287294995.49000001</v>
      </c>
      <c r="F15" s="344">
        <f>+'7 Önk'!G15+'8 PH'!G15+'9 VGIG'!G15+'10 Járób'!G15+'11 Szoci'!G15+'12 Ovi'!G15+'13 Művház'!G15+'14 Könyvt'!G15+'19 EU projektek'!G15+'16 szociális kiad'!E11</f>
        <v>236851050.49000001</v>
      </c>
      <c r="G15" s="344">
        <f>+'7 Önk'!H15+'8 PH'!H15+'9 VGIG'!H15+'10 Járób'!H15+'11 Szoci'!H15+'12 Ovi'!H15+'13 Művház'!H15+'14 Könyvt'!H15+'19 EU projektek'!H15</f>
        <v>148164599</v>
      </c>
      <c r="H15" s="25">
        <f t="shared" si="3"/>
        <v>385015649.49000001</v>
      </c>
      <c r="I15" s="32">
        <v>393937579</v>
      </c>
      <c r="J15" s="32">
        <f t="shared" si="0"/>
        <v>8921929.5099999905</v>
      </c>
    </row>
    <row r="16" spans="1:10" x14ac:dyDescent="0.25">
      <c r="A16" s="56" t="s">
        <v>57</v>
      </c>
      <c r="B16" s="55" t="s">
        <v>58</v>
      </c>
      <c r="C16" s="345">
        <f t="shared" ref="C16:I16" si="4">SUM(C11:C15)</f>
        <v>736270595.49000001</v>
      </c>
      <c r="D16" s="345">
        <f t="shared" si="4"/>
        <v>576606822</v>
      </c>
      <c r="E16" s="345">
        <f t="shared" si="4"/>
        <v>1312877417.49</v>
      </c>
      <c r="F16" s="345">
        <f>SUM(F11:F15)</f>
        <v>813223609.49000001</v>
      </c>
      <c r="G16" s="345">
        <f>SUM(G11:G15)</f>
        <v>595002469</v>
      </c>
      <c r="H16" s="25">
        <f t="shared" si="4"/>
        <v>1408226078.49</v>
      </c>
      <c r="I16" s="25">
        <f t="shared" si="4"/>
        <v>1480148008</v>
      </c>
      <c r="J16" s="32">
        <f t="shared" si="0"/>
        <v>71921929.50999999</v>
      </c>
    </row>
    <row r="17" spans="1:10" x14ac:dyDescent="0.25">
      <c r="A17" s="57" t="s">
        <v>59</v>
      </c>
      <c r="B17" s="55" t="s">
        <v>60</v>
      </c>
      <c r="C17" s="345">
        <f>+'7 Önk'!D17+'8 PH'!D17+'9 VGIG'!D17+'10 Járób'!D17+'11 Szoci'!D17+'12 Ovi'!D17+'13 Művház'!D17+'14 Könyvt'!D17+'16 szociális kiad'!D26</f>
        <v>59800000</v>
      </c>
      <c r="D17" s="344">
        <f>+'7 Önk'!E17+'8 PH'!E17+'9 VGIG'!E17+'10 Járób'!E17+'11 Szoci'!E17+'12 Ovi'!E17+'13 Művház'!E17+'14 Könyvt'!E17</f>
        <v>0</v>
      </c>
      <c r="E17" s="345">
        <f t="shared" ref="E17:E27" si="5">+C17+D17</f>
        <v>59800000</v>
      </c>
      <c r="F17" s="345">
        <f>+'7 Önk'!G17+'8 PH'!G17+'9 VGIG'!G17+'10 Járób'!G17+'11 Szoci'!G17+'12 Ovi'!G17+'13 Művház'!G17+'14 Könyvt'!G17+'16 szociális kiad'!E26</f>
        <v>59800000</v>
      </c>
      <c r="G17" s="344">
        <f>+'7 Önk'!H17+'8 PH'!H17+'9 VGIG'!H17+'10 Járób'!H17+'11 Szoci'!H17+'12 Ovi'!H17+'13 Művház'!H17+'14 Könyvt'!H17</f>
        <v>0</v>
      </c>
      <c r="H17" s="25">
        <f t="shared" ref="H17:H27" si="6">+F17+G17</f>
        <v>59800000</v>
      </c>
      <c r="I17" s="32">
        <v>59800000</v>
      </c>
      <c r="J17" s="32">
        <f t="shared" si="0"/>
        <v>0</v>
      </c>
    </row>
    <row r="18" spans="1:10" x14ac:dyDescent="0.25">
      <c r="A18" s="58" t="s">
        <v>61</v>
      </c>
      <c r="B18" s="52" t="s">
        <v>62</v>
      </c>
      <c r="C18" s="344">
        <f>+'7 Önk'!D18+'8 PH'!D18+'9 VGIG'!D18+'10 Járób'!D18+'11 Szoci'!D18+'12 Ovi'!D18+'13 Művház'!D18+'14 Könyvt'!D18</f>
        <v>0</v>
      </c>
      <c r="D18" s="344">
        <f>+'7 Önk'!E18+'8 PH'!E18+'9 VGIG'!E18+'10 Járób'!E18+'11 Szoci'!E18+'12 Ovi'!E18+'13 Művház'!E18+'14 Könyvt'!E18</f>
        <v>0</v>
      </c>
      <c r="E18" s="345">
        <f t="shared" si="5"/>
        <v>0</v>
      </c>
      <c r="F18" s="344">
        <f>+'7 Önk'!G18+'8 PH'!G18+'9 VGIG'!G18+'10 Járób'!G18+'11 Szoci'!G18+'12 Ovi'!G18+'13 Művház'!G18+'14 Könyvt'!G18</f>
        <v>0</v>
      </c>
      <c r="G18" s="344">
        <f>+'7 Önk'!H18+'8 PH'!H18+'9 VGIG'!H18+'10 Járób'!H18+'11 Szoci'!H18+'12 Ovi'!H18+'13 Művház'!H18+'14 Könyvt'!H18</f>
        <v>0</v>
      </c>
      <c r="H18" s="25">
        <f t="shared" si="6"/>
        <v>0</v>
      </c>
      <c r="J18" s="32">
        <f t="shared" si="0"/>
        <v>0</v>
      </c>
    </row>
    <row r="19" spans="1:10" x14ac:dyDescent="0.25">
      <c r="A19" s="58" t="s">
        <v>63</v>
      </c>
      <c r="B19" s="52" t="s">
        <v>64</v>
      </c>
      <c r="C19" s="344">
        <f>+'7 Önk'!D19+'8 PH'!D19+'9 VGIG'!D19+'10 Járób'!D19+'11 Szoci'!D19+'12 Ovi'!D19+'13 Művház'!D19+'14 Könyvt'!D19</f>
        <v>24682500</v>
      </c>
      <c r="D19" s="344">
        <f>+'7 Önk'!E19+'8 PH'!E19+'9 VGIG'!E19+'10 Járób'!E19+'11 Szoci'!E19+'12 Ovi'!E19+'13 Művház'!E19+'14 Könyvt'!E19</f>
        <v>0</v>
      </c>
      <c r="E19" s="345">
        <f t="shared" si="5"/>
        <v>24682500</v>
      </c>
      <c r="F19" s="344">
        <f>+'7 Önk'!G19+'8 PH'!G19+'9 VGIG'!G19+'10 Járób'!G19+'11 Szoci'!G19+'12 Ovi'!G19+'13 Művház'!G19+'14 Könyvt'!G19+'19 EU projektek'!G19</f>
        <v>24682500</v>
      </c>
      <c r="G19" s="344">
        <f>+'7 Önk'!H19+'8 PH'!H19+'9 VGIG'!H19+'10 Járób'!H19+'11 Szoci'!H19+'12 Ovi'!H19+'13 Művház'!H19+'14 Könyvt'!H19+'19 EU projektek'!H19</f>
        <v>7524287</v>
      </c>
      <c r="H19" s="25">
        <f t="shared" si="6"/>
        <v>32206787</v>
      </c>
      <c r="I19" s="32">
        <v>32206787</v>
      </c>
      <c r="J19" s="32">
        <f t="shared" si="0"/>
        <v>0</v>
      </c>
    </row>
    <row r="20" spans="1:10" ht="31.5" x14ac:dyDescent="0.25">
      <c r="A20" s="58" t="s">
        <v>65</v>
      </c>
      <c r="B20" s="52" t="s">
        <v>66</v>
      </c>
      <c r="C20" s="344">
        <f>+'7 Önk'!D20+'8 PH'!D20+'9 VGIG'!D20+'10 Járób'!D20+'11 Szoci'!D20+'12 Ovi'!D20+'13 Művház'!D20+'14 Könyvt'!D20</f>
        <v>0</v>
      </c>
      <c r="D20" s="344">
        <f>+'7 Önk'!E20+'8 PH'!E20+'9 VGIG'!E20+'10 Járób'!E20+'11 Szoci'!E20+'12 Ovi'!E20+'13 Művház'!E20+'14 Könyvt'!E20</f>
        <v>0</v>
      </c>
      <c r="E20" s="345">
        <f t="shared" si="5"/>
        <v>0</v>
      </c>
      <c r="F20" s="344">
        <f>+'7 Önk'!G20+'8 PH'!G20+'9 VGIG'!G20+'10 Járób'!G20+'11 Szoci'!G20+'12 Ovi'!G20+'13 Művház'!G20+'14 Könyvt'!G20+'19 EU projektek'!G20</f>
        <v>0</v>
      </c>
      <c r="G20" s="344">
        <f>+'7 Önk'!H20+'8 PH'!H20+'9 VGIG'!H20+'10 Járób'!H20+'11 Szoci'!H20+'12 Ovi'!H20+'13 Művház'!H20+'14 Könyvt'!H20+'19 EU projektek'!H20</f>
        <v>0</v>
      </c>
      <c r="H20" s="25">
        <f t="shared" si="6"/>
        <v>0</v>
      </c>
      <c r="J20" s="32">
        <f t="shared" si="0"/>
        <v>0</v>
      </c>
    </row>
    <row r="21" spans="1:10" x14ac:dyDescent="0.25">
      <c r="A21" s="58" t="s">
        <v>67</v>
      </c>
      <c r="B21" s="52" t="s">
        <v>68</v>
      </c>
      <c r="C21" s="344">
        <f>+'7 Önk'!D21+'8 PH'!D21+'9 VGIG'!D21+'10 Járób'!D21+'11 Szoci'!D21+'12 Ovi'!D21+'13 Művház'!D21+'14 Könyvt'!D21</f>
        <v>0</v>
      </c>
      <c r="D21" s="344">
        <f>+'7 Önk'!E21+'8 PH'!E21+'9 VGIG'!E21+'10 Járób'!E21+'11 Szoci'!E21+'12 Ovi'!E21+'13 Művház'!E21+'14 Könyvt'!E21</f>
        <v>0</v>
      </c>
      <c r="E21" s="345">
        <f t="shared" si="5"/>
        <v>0</v>
      </c>
      <c r="F21" s="344">
        <f>+'7 Önk'!G21+'8 PH'!G21+'9 VGIG'!G21+'10 Járób'!G21+'11 Szoci'!G21+'12 Ovi'!G21+'13 Művház'!G21+'14 Könyvt'!G21+'19 EU projektek'!G21</f>
        <v>0</v>
      </c>
      <c r="G21" s="344">
        <f>+'7 Önk'!H21+'8 PH'!H21+'9 VGIG'!H21+'10 Járób'!H21+'11 Szoci'!H21+'12 Ovi'!H21+'13 Művház'!H21+'14 Könyvt'!H21+'19 EU projektek'!H21</f>
        <v>0</v>
      </c>
      <c r="H21" s="25">
        <f t="shared" si="6"/>
        <v>0</v>
      </c>
      <c r="J21" s="32">
        <f t="shared" si="0"/>
        <v>0</v>
      </c>
    </row>
    <row r="22" spans="1:10" x14ac:dyDescent="0.25">
      <c r="A22" s="58" t="s">
        <v>69</v>
      </c>
      <c r="B22" s="52" t="s">
        <v>70</v>
      </c>
      <c r="C22" s="344">
        <f>+'7 Önk'!D22+'8 PH'!D22+'9 VGIG'!D22+'10 Járób'!D22+'11 Szoci'!D22+'12 Ovi'!D22+'13 Művház'!D22+'14 Könyvt'!D22</f>
        <v>0</v>
      </c>
      <c r="D22" s="344">
        <f>+'7 Önk'!E22+'8 PH'!E22+'9 VGIG'!E22+'10 Járób'!E22+'11 Szoci'!E22+'12 Ovi'!E22+'13 Művház'!E22+'14 Könyvt'!E22</f>
        <v>0</v>
      </c>
      <c r="E22" s="345">
        <f t="shared" si="5"/>
        <v>0</v>
      </c>
      <c r="F22" s="344">
        <f>+'7 Önk'!G22+'8 PH'!G22+'9 VGIG'!G22+'10 Járób'!G22+'11 Szoci'!G22+'12 Ovi'!G22+'13 Művház'!G22+'14 Könyvt'!G22+'19 EU projektek'!G22</f>
        <v>0</v>
      </c>
      <c r="G22" s="344">
        <f>+'7 Önk'!H22+'8 PH'!H22+'9 VGIG'!H22+'10 Járób'!H22+'11 Szoci'!H22+'12 Ovi'!H22+'13 Művház'!H22+'14 Könyvt'!H22+'19 EU projektek'!H22</f>
        <v>0</v>
      </c>
      <c r="H22" s="25">
        <f t="shared" si="6"/>
        <v>0</v>
      </c>
      <c r="J22" s="32">
        <f t="shared" si="0"/>
        <v>0</v>
      </c>
    </row>
    <row r="23" spans="1:10" x14ac:dyDescent="0.25">
      <c r="A23" s="58" t="s">
        <v>71</v>
      </c>
      <c r="B23" s="52" t="s">
        <v>72</v>
      </c>
      <c r="C23" s="344">
        <f>+'7 Önk'!D23+'8 PH'!D23+'9 VGIG'!D23+'10 Járób'!D23+'11 Szoci'!D23+'12 Ovi'!D23+'13 Művház'!D23+'14 Könyvt'!D23+'19 EU projektek'!D23</f>
        <v>0</v>
      </c>
      <c r="D23" s="344">
        <f>+'7 Önk'!E23+'8 PH'!E23+'9 VGIG'!E23+'10 Járób'!E23+'11 Szoci'!E23+'12 Ovi'!E23+'13 Művház'!E23+'14 Könyvt'!E23+'19 EU projektek'!E23</f>
        <v>16676993</v>
      </c>
      <c r="E23" s="345">
        <f t="shared" si="5"/>
        <v>16676993</v>
      </c>
      <c r="F23" s="344">
        <f>+'7 Önk'!G23+'8 PH'!G23+'9 VGIG'!G23+'10 Járób'!G23+'11 Szoci'!G23+'12 Ovi'!G23+'13 Művház'!G23+'14 Könyvt'!G23+'19 EU projektek'!G23</f>
        <v>250000</v>
      </c>
      <c r="G23" s="344">
        <f>+'7 Önk'!H23+'8 PH'!H23+'9 VGIG'!H23+'10 Járób'!H23+'11 Szoci'!H23+'12 Ovi'!H23+'13 Művház'!H23+'14 Könyvt'!H23+'19 EU projektek'!H23</f>
        <v>16676993</v>
      </c>
      <c r="H23" s="25">
        <f t="shared" si="6"/>
        <v>16926993</v>
      </c>
      <c r="I23" s="32">
        <v>16976993</v>
      </c>
      <c r="J23" s="32">
        <f t="shared" si="0"/>
        <v>50000</v>
      </c>
    </row>
    <row r="24" spans="1:10" ht="31.5" x14ac:dyDescent="0.25">
      <c r="A24" s="58" t="s">
        <v>73</v>
      </c>
      <c r="B24" s="52" t="s">
        <v>74</v>
      </c>
      <c r="C24" s="344">
        <f>+'7 Önk'!D24+'8 PH'!D24+'9 VGIG'!D24+'10 Járób'!D24+'11 Szoci'!D24+'12 Ovi'!D24+'13 Művház'!D24+'14 Könyvt'!D24</f>
        <v>0</v>
      </c>
      <c r="D24" s="344">
        <f>+'7 Önk'!E24+'8 PH'!E24+'9 VGIG'!E24+'10 Járób'!E24+'11 Szoci'!E24+'12 Ovi'!E24+'13 Művház'!E24+'14 Könyvt'!E24</f>
        <v>0</v>
      </c>
      <c r="E24" s="345">
        <f t="shared" si="5"/>
        <v>0</v>
      </c>
      <c r="F24" s="24">
        <f>+'7 Önk'!G24+'8 PH'!G24+'9 VGIG'!G24+'10 Járób'!G24+'11 Szoci'!G24+'12 Ovi'!G24+'13 Művház'!G24+'14 Könyvt'!G24</f>
        <v>0</v>
      </c>
      <c r="G24" s="24">
        <f>+'7 Önk'!H24+'8 PH'!H24+'9 VGIG'!H24+'10 Járób'!H24+'11 Szoci'!H24+'12 Ovi'!H24+'13 Művház'!H24+'14 Könyvt'!H24</f>
        <v>0</v>
      </c>
      <c r="H24" s="25">
        <f t="shared" si="6"/>
        <v>0</v>
      </c>
      <c r="J24" s="32">
        <f t="shared" si="0"/>
        <v>0</v>
      </c>
    </row>
    <row r="25" spans="1:10" x14ac:dyDescent="0.25">
      <c r="A25" s="58" t="s">
        <v>75</v>
      </c>
      <c r="B25" s="52" t="s">
        <v>76</v>
      </c>
      <c r="C25" s="344">
        <f>+'7 Önk'!D25+'8 PH'!D25+'9 VGIG'!D25+'10 Járób'!D25+'11 Szoci'!D25+'12 Ovi'!D25+'13 Művház'!D25+'14 Könyvt'!D25</f>
        <v>0</v>
      </c>
      <c r="D25" s="344">
        <f>+'7 Önk'!E25+'8 PH'!E25+'9 VGIG'!E25+'10 Járób'!E25+'11 Szoci'!E25+'12 Ovi'!E25+'13 Művház'!E25+'14 Könyvt'!E25</f>
        <v>0</v>
      </c>
      <c r="E25" s="345">
        <f t="shared" si="5"/>
        <v>0</v>
      </c>
      <c r="F25" s="24">
        <f>+'7 Önk'!G25+'8 PH'!G25+'9 VGIG'!G25+'10 Járób'!G25+'11 Szoci'!G25+'12 Ovi'!G25+'13 Művház'!G25+'14 Könyvt'!G25</f>
        <v>2811780</v>
      </c>
      <c r="G25" s="24">
        <f>+'7 Önk'!H25+'8 PH'!H25+'9 VGIG'!H25+'10 Járób'!H25+'11 Szoci'!H25+'12 Ovi'!H25+'13 Művház'!H25+'14 Könyvt'!H25</f>
        <v>0</v>
      </c>
      <c r="H25" s="25">
        <f t="shared" si="6"/>
        <v>2811780</v>
      </c>
      <c r="I25" s="32">
        <v>2811780</v>
      </c>
      <c r="J25" s="32">
        <f t="shared" si="0"/>
        <v>0</v>
      </c>
    </row>
    <row r="26" spans="1:10" x14ac:dyDescent="0.25">
      <c r="A26" s="58" t="s">
        <v>77</v>
      </c>
      <c r="B26" s="52" t="s">
        <v>78</v>
      </c>
      <c r="C26" s="344">
        <f>+'7 Önk'!D26+'8 PH'!D26+'9 VGIG'!D26+'10 Járób'!D26+'11 Szoci'!D26+'12 Ovi'!D26+'13 Művház'!D26+'14 Könyvt'!D26</f>
        <v>0</v>
      </c>
      <c r="D26" s="344">
        <f>+'7 Önk'!E26+'8 PH'!E26+'9 VGIG'!E26+'10 Járób'!E26+'11 Szoci'!E26+'12 Ovi'!E26+'13 Művház'!E26+'14 Könyvt'!E26</f>
        <v>0</v>
      </c>
      <c r="E26" s="345">
        <f t="shared" si="5"/>
        <v>0</v>
      </c>
      <c r="F26" s="24">
        <f>+'7 Önk'!G26+'8 PH'!G26+'9 VGIG'!G26+'10 Járób'!G26+'11 Szoci'!G26+'12 Ovi'!G26+'13 Művház'!G26+'14 Könyvt'!G26</f>
        <v>0</v>
      </c>
      <c r="G26" s="24">
        <f>+'7 Önk'!H26+'8 PH'!H26+'9 VGIG'!H26+'10 Járób'!H26+'11 Szoci'!H26+'12 Ovi'!H26+'13 Művház'!H26+'14 Könyvt'!H26</f>
        <v>0</v>
      </c>
      <c r="H26" s="25">
        <f t="shared" si="6"/>
        <v>0</v>
      </c>
      <c r="J26" s="32">
        <f t="shared" si="0"/>
        <v>0</v>
      </c>
    </row>
    <row r="27" spans="1:10" x14ac:dyDescent="0.25">
      <c r="A27" s="59" t="s">
        <v>79</v>
      </c>
      <c r="B27" s="52" t="s">
        <v>80</v>
      </c>
      <c r="C27" s="344">
        <f>+'7 Önk'!D27+'8 PH'!D27+'9 VGIG'!D27+'10 Járób'!D27+'11 Szoci'!D27+'12 Ovi'!D27+'13 Művház'!D27+'14 Könyvt'!D27</f>
        <v>0</v>
      </c>
      <c r="D27" s="344">
        <f>+'7 Önk'!E27+'8 PH'!E27+'9 VGIG'!E27+'10 Járób'!E27+'11 Szoci'!E27+'12 Ovi'!E27+'13 Művház'!E27+'14 Könyvt'!E27</f>
        <v>0</v>
      </c>
      <c r="E27" s="345">
        <f t="shared" si="5"/>
        <v>0</v>
      </c>
      <c r="F27" s="24">
        <f>+'7 Önk'!G27+'8 PH'!G27+'9 VGIG'!G27+'10 Járób'!G27+'11 Szoci'!G27+'12 Ovi'!G27+'13 Művház'!G27+'14 Könyvt'!G27</f>
        <v>0</v>
      </c>
      <c r="G27" s="24">
        <f>+'7 Önk'!H27+'8 PH'!H27+'9 VGIG'!H27+'10 Járób'!H27+'11 Szoci'!H27+'12 Ovi'!H27+'13 Művház'!H27+'14 Könyvt'!H27</f>
        <v>0</v>
      </c>
      <c r="H27" s="25">
        <f t="shared" si="6"/>
        <v>0</v>
      </c>
      <c r="J27" s="32">
        <f t="shared" si="0"/>
        <v>0</v>
      </c>
    </row>
    <row r="28" spans="1:10" x14ac:dyDescent="0.25">
      <c r="A28" s="58" t="s">
        <v>81</v>
      </c>
      <c r="B28" s="52" t="s">
        <v>82</v>
      </c>
      <c r="C28" s="344"/>
      <c r="D28" s="344"/>
      <c r="E28" s="345"/>
      <c r="F28" s="24"/>
      <c r="G28" s="24"/>
      <c r="H28" s="25"/>
      <c r="J28" s="32">
        <f t="shared" si="0"/>
        <v>0</v>
      </c>
    </row>
    <row r="29" spans="1:10" x14ac:dyDescent="0.25">
      <c r="A29" s="58" t="s">
        <v>83</v>
      </c>
      <c r="B29" s="52" t="s">
        <v>84</v>
      </c>
      <c r="C29" s="344">
        <f>+'7 Önk'!D29+'8 PH'!D29+'9 VGIG'!D29+'10 Járób'!D29+'11 Szoci'!D29+'12 Ovi'!D29+'13 Művház'!D29+'14 Könyvt'!D29</f>
        <v>14930000</v>
      </c>
      <c r="D29" s="344">
        <f>+'7 Önk'!E29+'8 PH'!E29+'9 VGIG'!E29+'10 Járób'!E29+'11 Szoci'!E29+'12 Ovi'!E29+'13 Művház'!E29+'14 Könyvt'!E29</f>
        <v>34450000</v>
      </c>
      <c r="E29" s="345">
        <f>+C29+D29</f>
        <v>49380000</v>
      </c>
      <c r="F29" s="24">
        <f>+'7 Önk'!G29+'8 PH'!G29+'9 VGIG'!G29+'10 Járób'!G29+'11 Szoci'!G29+'12 Ovi'!G29+'13 Művház'!G29+'14 Könyvt'!G29</f>
        <v>42573080</v>
      </c>
      <c r="G29" s="24">
        <f>+'7 Önk'!H29+'8 PH'!H29+'9 VGIG'!H29+'10 Járób'!H29+'11 Szoci'!H29+'12 Ovi'!H29+'13 Művház'!H29+'14 Könyvt'!H29</f>
        <v>38873584</v>
      </c>
      <c r="H29" s="25">
        <f>+F29+G29</f>
        <v>81446664</v>
      </c>
      <c r="I29" s="32">
        <v>81446664</v>
      </c>
      <c r="J29" s="32">
        <f t="shared" si="0"/>
        <v>0</v>
      </c>
    </row>
    <row r="30" spans="1:10" x14ac:dyDescent="0.25">
      <c r="A30" s="59" t="s">
        <v>85</v>
      </c>
      <c r="B30" s="52" t="s">
        <v>86</v>
      </c>
      <c r="C30" s="344">
        <f>+'6 Tart'!D14</f>
        <v>15000000</v>
      </c>
      <c r="D30" s="344">
        <f>+'6 Tart'!E14</f>
        <v>0</v>
      </c>
      <c r="E30" s="345">
        <f>+C30+D30</f>
        <v>15000000</v>
      </c>
      <c r="F30" s="24">
        <f>+'6 Tart'!G14</f>
        <v>6471196</v>
      </c>
      <c r="G30" s="24">
        <f>+'6 Tart'!H14</f>
        <v>0</v>
      </c>
      <c r="H30" s="25">
        <f>+F30+G30</f>
        <v>6471196</v>
      </c>
      <c r="I30" s="32">
        <v>18844416</v>
      </c>
      <c r="J30" s="32">
        <f t="shared" si="0"/>
        <v>12373220</v>
      </c>
    </row>
    <row r="31" spans="1:10" x14ac:dyDescent="0.25">
      <c r="A31" s="59" t="s">
        <v>87</v>
      </c>
      <c r="B31" s="52" t="s">
        <v>86</v>
      </c>
      <c r="C31" s="344">
        <f>+'6 Tart'!D24</f>
        <v>4300000</v>
      </c>
      <c r="D31" s="344">
        <f>+'6 Tart'!E24</f>
        <v>10000000</v>
      </c>
      <c r="E31" s="345">
        <f>+C31+D31</f>
        <v>14300000</v>
      </c>
      <c r="F31" s="24">
        <f>+'6 Tart'!G24</f>
        <v>2345150</v>
      </c>
      <c r="G31" s="24">
        <f>+'6 Tart'!H24</f>
        <v>10000000</v>
      </c>
      <c r="H31" s="25">
        <f>+F31+G31</f>
        <v>12345150</v>
      </c>
      <c r="J31" s="32">
        <f t="shared" si="0"/>
        <v>-12345150</v>
      </c>
    </row>
    <row r="32" spans="1:10" s="31" customFormat="1" x14ac:dyDescent="0.25">
      <c r="A32" s="57" t="s">
        <v>88</v>
      </c>
      <c r="B32" s="55" t="s">
        <v>89</v>
      </c>
      <c r="C32" s="345">
        <f t="shared" ref="C32:H32" si="7">SUM(C18:C31)</f>
        <v>58912500</v>
      </c>
      <c r="D32" s="345">
        <f t="shared" si="7"/>
        <v>61126993</v>
      </c>
      <c r="E32" s="345">
        <f t="shared" si="7"/>
        <v>120039493</v>
      </c>
      <c r="F32" s="25">
        <f t="shared" si="7"/>
        <v>79133706</v>
      </c>
      <c r="G32" s="25">
        <f t="shared" si="7"/>
        <v>73074864</v>
      </c>
      <c r="H32" s="25">
        <f t="shared" si="7"/>
        <v>152208570</v>
      </c>
      <c r="I32" s="25">
        <f>SUM(I18:I31)</f>
        <v>152286640</v>
      </c>
      <c r="J32" s="32">
        <f t="shared" si="0"/>
        <v>78070</v>
      </c>
    </row>
    <row r="33" spans="1:10" x14ac:dyDescent="0.25">
      <c r="A33" s="60" t="s">
        <v>90</v>
      </c>
      <c r="B33" s="61" t="s">
        <v>91</v>
      </c>
      <c r="C33" s="346">
        <f t="shared" ref="C33:H33" si="8">+C32+C17+C16+C10+C9</f>
        <v>2139079833.49</v>
      </c>
      <c r="D33" s="346">
        <f t="shared" si="8"/>
        <v>1435739150</v>
      </c>
      <c r="E33" s="346">
        <f t="shared" si="8"/>
        <v>3574818983.4899998</v>
      </c>
      <c r="F33" s="62">
        <f t="shared" si="8"/>
        <v>2287127464.4899998</v>
      </c>
      <c r="G33" s="62">
        <f t="shared" si="8"/>
        <v>1232390935</v>
      </c>
      <c r="H33" s="62">
        <f t="shared" si="8"/>
        <v>3519518399.4899998</v>
      </c>
      <c r="I33" s="62">
        <f>+I32+I17+I16+I10+I9</f>
        <v>3824518399</v>
      </c>
      <c r="J33" s="32">
        <f t="shared" si="0"/>
        <v>304999999.51000023</v>
      </c>
    </row>
    <row r="34" spans="1:10" x14ac:dyDescent="0.25">
      <c r="A34" s="63" t="s">
        <v>92</v>
      </c>
      <c r="B34" s="52" t="s">
        <v>93</v>
      </c>
      <c r="C34" s="344">
        <f>+'7 Önk'!D34+'8 PH'!D34+'9 VGIG'!D34+'10 Járób'!D34+'11 Szoci'!D34+'12 Ovi'!D34+'13 Művház'!D34+'14 Könyvt'!D34+'5 Beruh kiad'!D11</f>
        <v>200000</v>
      </c>
      <c r="D34" s="344">
        <f>+'7 Önk'!E34+'8 PH'!E34+'9 VGIG'!E34+'10 Járób'!E34+'11 Szoci'!E34+'12 Ovi'!E34+'13 Művház'!E34+'14 Könyvt'!E34+'5 Beruh kiad'!E11</f>
        <v>0</v>
      </c>
      <c r="E34" s="345">
        <f t="shared" ref="E34:E40" si="9">+C34+D34</f>
        <v>200000</v>
      </c>
      <c r="F34" s="24">
        <f>+'7 Önk'!G34+'8 PH'!G34+'9 VGIG'!G34+'10 Járób'!G34+'11 Szoci'!G34+'12 Ovi'!G34+'13 Művház'!G34+'14 Könyvt'!G34+'5 Beruh kiad'!F11</f>
        <v>270315</v>
      </c>
      <c r="G34" s="24">
        <f>+'7 Önk'!H34+'8 PH'!H34+'9 VGIG'!H34+'10 Járób'!H34+'11 Szoci'!H34+'12 Ovi'!H34+'13 Művház'!H34+'14 Könyvt'!H34+'5 Beruh kiad'!G11</f>
        <v>3500000</v>
      </c>
      <c r="H34" s="25">
        <f t="shared" ref="H34:H40" si="10">+F34+G34</f>
        <v>3770315</v>
      </c>
      <c r="I34" s="32">
        <v>3770315</v>
      </c>
      <c r="J34" s="32">
        <f t="shared" si="0"/>
        <v>0</v>
      </c>
    </row>
    <row r="35" spans="1:10" x14ac:dyDescent="0.25">
      <c r="A35" s="63" t="s">
        <v>94</v>
      </c>
      <c r="B35" s="52" t="s">
        <v>95</v>
      </c>
      <c r="C35" s="344">
        <f>+'7 Önk'!D35+'8 PH'!D35+'9 VGIG'!D35+'10 Járób'!D35+'11 Szoci'!D35+'12 Ovi'!D35+'13 Művház'!D35+'14 Könyvt'!D35+'5 Beruh kiad'!D16</f>
        <v>16929134</v>
      </c>
      <c r="D35" s="344">
        <f>+'7 Önk'!E35+'8 PH'!E35+'9 VGIG'!E35+'10 Járób'!E35+'11 Szoci'!E35+'12 Ovi'!E35+'13 Művház'!E35+'14 Könyvt'!E35+'5 Beruh kiad'!E16</f>
        <v>0</v>
      </c>
      <c r="E35" s="345">
        <f t="shared" si="9"/>
        <v>16929134</v>
      </c>
      <c r="F35" s="24">
        <f>+'7 Önk'!G35+'8 PH'!G35+'9 VGIG'!G35+'10 Járób'!G35+'11 Szoci'!G35+'12 Ovi'!G35+'13 Művház'!G35+'14 Könyvt'!G35+'5 Beruh kiad'!F16</f>
        <v>156454112</v>
      </c>
      <c r="G35" s="24">
        <f>+'7 Önk'!H35+'8 PH'!H35+'9 VGIG'!H35+'10 Járób'!H35+'11 Szoci'!H35+'12 Ovi'!H35+'13 Művház'!H35+'14 Könyvt'!H35+'5 Beruh kiad'!G16</f>
        <v>221891739</v>
      </c>
      <c r="H35" s="25">
        <f t="shared" si="10"/>
        <v>378345851</v>
      </c>
      <c r="I35" s="32">
        <v>385870138</v>
      </c>
      <c r="J35" s="32">
        <f t="shared" si="0"/>
        <v>7524287</v>
      </c>
    </row>
    <row r="36" spans="1:10" x14ac:dyDescent="0.25">
      <c r="A36" s="63" t="s">
        <v>96</v>
      </c>
      <c r="B36" s="52" t="s">
        <v>97</v>
      </c>
      <c r="C36" s="344">
        <f>+'7 Önk'!D36+'8 PH'!D36+'9 VGIG'!D36+'10 Járób'!D36+'11 Szoci'!D36+'12 Ovi'!D36+'13 Művház'!D36+'14 Könyvt'!D36+'5 Beruh kiad'!D19</f>
        <v>1576771</v>
      </c>
      <c r="D36" s="344">
        <f>+'7 Önk'!E36+'8 PH'!E36+'9 VGIG'!E36+'10 Járób'!E36+'11 Szoci'!E36+'12 Ovi'!E36+'13 Művház'!E36+'14 Könyvt'!E36+'5 Beruh kiad'!E19</f>
        <v>1061000</v>
      </c>
      <c r="E36" s="345">
        <f t="shared" si="9"/>
        <v>2637771</v>
      </c>
      <c r="F36" s="24">
        <f>+'7 Önk'!G36+'8 PH'!G36+'9 VGIG'!G36+'10 Járób'!G36+'11 Szoci'!G36+'12 Ovi'!G36+'13 Művház'!G36+'14 Könyvt'!G36+'5 Beruh kiad'!F19</f>
        <v>2860856</v>
      </c>
      <c r="G36" s="24">
        <f>+'7 Önk'!H36+'8 PH'!H36+'9 VGIG'!H36+'10 Járób'!H36+'11 Szoci'!H36+'12 Ovi'!H36+'13 Művház'!H36+'14 Könyvt'!H36+'5 Beruh kiad'!G19</f>
        <v>2065890</v>
      </c>
      <c r="H36" s="25">
        <f t="shared" si="10"/>
        <v>4926746</v>
      </c>
      <c r="I36" s="32">
        <v>4926746</v>
      </c>
      <c r="J36" s="32">
        <f t="shared" si="0"/>
        <v>0</v>
      </c>
    </row>
    <row r="37" spans="1:10" x14ac:dyDescent="0.25">
      <c r="A37" s="63" t="s">
        <v>98</v>
      </c>
      <c r="B37" s="52" t="s">
        <v>99</v>
      </c>
      <c r="C37" s="344">
        <f>+'7 Önk'!D37+'8 PH'!D37+'9 VGIG'!D37+'10 Járób'!D37+'11 Szoci'!D37+'12 Ovi'!D37+'13 Művház'!D37+'14 Könyvt'!D37+'5 Beruh kiad'!D29</f>
        <v>43041075</v>
      </c>
      <c r="D37" s="344">
        <f>+'7 Önk'!E37+'8 PH'!E37+'9 VGIG'!E37+'10 Járób'!E37+'11 Szoci'!E37+'12 Ovi'!E37+'13 Művház'!E37+'14 Könyvt'!E37+'5 Beruh kiad'!E29</f>
        <v>116277284</v>
      </c>
      <c r="E37" s="345">
        <f t="shared" si="9"/>
        <v>159318359</v>
      </c>
      <c r="F37" s="24">
        <f>+'7 Önk'!G37+'8 PH'!G37+'9 VGIG'!G37+'10 Járób'!G37+'11 Szoci'!G37+'12 Ovi'!G37+'13 Művház'!G37+'14 Könyvt'!G37+'5 Beruh kiad'!F29</f>
        <v>73515452</v>
      </c>
      <c r="G37" s="24">
        <f>+'7 Önk'!H37+'8 PH'!H37+'9 VGIG'!H37+'10 Járób'!H37+'11 Szoci'!H37+'12 Ovi'!H37+'13 Művház'!H37+'14 Könyvt'!H37+'5 Beruh kiad'!G29</f>
        <v>130919941</v>
      </c>
      <c r="H37" s="25">
        <f t="shared" si="10"/>
        <v>204435393</v>
      </c>
      <c r="I37" s="32">
        <v>204435393</v>
      </c>
      <c r="J37" s="32">
        <f t="shared" si="0"/>
        <v>0</v>
      </c>
    </row>
    <row r="38" spans="1:10" x14ac:dyDescent="0.25">
      <c r="A38" s="64" t="s">
        <v>100</v>
      </c>
      <c r="B38" s="52" t="s">
        <v>101</v>
      </c>
      <c r="C38" s="344">
        <f>+'7 Önk'!D38+'8 PH'!D38+'9 VGIG'!D38+'10 Járób'!D38+'11 Szoci'!D38+'12 Ovi'!D38+'13 Művház'!D38+'14 Könyvt'!D38+'5 Beruh kiad'!D31</f>
        <v>0</v>
      </c>
      <c r="D38" s="344">
        <f>+'7 Önk'!E38+'8 PH'!E38+'9 VGIG'!E38+'10 Járób'!E38+'11 Szoci'!E38+'12 Ovi'!E38+'13 Művház'!E38+'14 Könyvt'!E38+'5 Beruh kiad'!E31</f>
        <v>0</v>
      </c>
      <c r="E38" s="345">
        <f t="shared" si="9"/>
        <v>0</v>
      </c>
      <c r="F38" s="24">
        <f>+'7 Önk'!G38+'8 PH'!G38+'9 VGIG'!G38+'10 Járób'!G38+'11 Szoci'!G38+'12 Ovi'!G38+'13 Művház'!G38+'14 Könyvt'!G38+'5 Beruh kiad'!F31</f>
        <v>0</v>
      </c>
      <c r="G38" s="24">
        <f>+'7 Önk'!H38+'8 PH'!H38+'9 VGIG'!H38+'10 Járób'!H38+'11 Szoci'!H38+'12 Ovi'!H38+'13 Művház'!H38+'14 Könyvt'!H38+'5 Beruh kiad'!G31</f>
        <v>0</v>
      </c>
      <c r="H38" s="25">
        <f t="shared" si="10"/>
        <v>0</v>
      </c>
      <c r="J38" s="32">
        <f t="shared" si="0"/>
        <v>0</v>
      </c>
    </row>
    <row r="39" spans="1:10" x14ac:dyDescent="0.25">
      <c r="A39" s="64" t="s">
        <v>102</v>
      </c>
      <c r="B39" s="52" t="s">
        <v>103</v>
      </c>
      <c r="C39" s="344">
        <f>+'7 Önk'!D39+'8 PH'!D39+'9 VGIG'!D39+'10 Járób'!D39+'11 Szoci'!D39+'12 Ovi'!D39+'13 Művház'!D39+'14 Könyvt'!D39+'5 Beruh kiad'!D33</f>
        <v>0</v>
      </c>
      <c r="D39" s="344">
        <f>+'7 Önk'!E39+'8 PH'!E39+'9 VGIG'!E39+'10 Járób'!E39+'11 Szoci'!E39+'12 Ovi'!E39+'13 Művház'!E39+'14 Könyvt'!E39+'5 Beruh kiad'!E33</f>
        <v>0</v>
      </c>
      <c r="E39" s="345">
        <f t="shared" si="9"/>
        <v>0</v>
      </c>
      <c r="F39" s="24">
        <f>+'7 Önk'!G39+'8 PH'!G39+'9 VGIG'!G39+'10 Járób'!G39+'11 Szoci'!G39+'12 Ovi'!G39+'13 Művház'!G39+'14 Könyvt'!G39+'5 Beruh kiad'!F33</f>
        <v>121740</v>
      </c>
      <c r="G39" s="24">
        <f>+'7 Önk'!H39+'8 PH'!H39+'9 VGIG'!H39+'10 Járób'!H39+'11 Szoci'!H39+'12 Ovi'!H39+'13 Művház'!H39+'14 Könyvt'!H39+'5 Beruh kiad'!G33</f>
        <v>0</v>
      </c>
      <c r="H39" s="25">
        <f t="shared" si="10"/>
        <v>121740</v>
      </c>
      <c r="I39" s="32">
        <v>121740</v>
      </c>
      <c r="J39" s="32">
        <f t="shared" si="0"/>
        <v>0</v>
      </c>
    </row>
    <row r="40" spans="1:10" x14ac:dyDescent="0.25">
      <c r="A40" s="64" t="s">
        <v>104</v>
      </c>
      <c r="B40" s="52" t="s">
        <v>105</v>
      </c>
      <c r="C40" s="344">
        <f>+'7 Önk'!D40+'8 PH'!D40+'9 VGIG'!D40+'10 Járób'!D40+'11 Szoci'!D40+'12 Ovi'!D40+'13 Művház'!D40+'14 Könyvt'!D40+'5 Beruh kiad'!D45</f>
        <v>15643205</v>
      </c>
      <c r="D40" s="344">
        <f>+'7 Önk'!E40+'8 PH'!E40+'9 VGIG'!E40+'10 Járób'!E40+'11 Szoci'!E40+'12 Ovi'!E40+'13 Művház'!E40+'14 Könyvt'!E40+'5 Beruh kiad'!E45</f>
        <v>32222797</v>
      </c>
      <c r="E40" s="345">
        <f t="shared" si="9"/>
        <v>47866002</v>
      </c>
      <c r="F40" s="24">
        <f>+'7 Önk'!G40+'8 PH'!G40+'9 VGIG'!G40+'10 Járób'!G40+'11 Szoci'!G40+'12 Ovi'!G40+'13 Művház'!G40+'14 Könyvt'!G40+'5 Beruh kiad'!F45</f>
        <v>45397759</v>
      </c>
      <c r="G40" s="24">
        <f>+'7 Önk'!H40+'8 PH'!H40+'9 VGIG'!H40+'10 Járób'!H40+'11 Szoci'!H40+'12 Ovi'!H40+'13 Művház'!H40+'14 Könyvt'!H40+'5 Beruh kiad'!G45</f>
        <v>37462634</v>
      </c>
      <c r="H40" s="25">
        <f t="shared" si="10"/>
        <v>82860393</v>
      </c>
      <c r="I40" s="32">
        <v>82860393</v>
      </c>
      <c r="J40" s="32">
        <f t="shared" si="0"/>
        <v>0</v>
      </c>
    </row>
    <row r="41" spans="1:10" s="31" customFormat="1" x14ac:dyDescent="0.25">
      <c r="A41" s="65" t="s">
        <v>106</v>
      </c>
      <c r="B41" s="55" t="s">
        <v>107</v>
      </c>
      <c r="C41" s="345">
        <f t="shared" ref="C41:I41" si="11">SUM(C34:C40)</f>
        <v>77390185</v>
      </c>
      <c r="D41" s="345">
        <f t="shared" si="11"/>
        <v>149561081</v>
      </c>
      <c r="E41" s="345">
        <f t="shared" si="11"/>
        <v>226951266</v>
      </c>
      <c r="F41" s="25">
        <f t="shared" si="11"/>
        <v>278620234</v>
      </c>
      <c r="G41" s="25">
        <f t="shared" si="11"/>
        <v>395840204</v>
      </c>
      <c r="H41" s="25">
        <f t="shared" si="11"/>
        <v>674460438</v>
      </c>
      <c r="I41" s="25">
        <f t="shared" si="11"/>
        <v>681984725</v>
      </c>
      <c r="J41" s="32">
        <f t="shared" si="0"/>
        <v>7524287</v>
      </c>
    </row>
    <row r="42" spans="1:10" x14ac:dyDescent="0.25">
      <c r="A42" s="66" t="s">
        <v>108</v>
      </c>
      <c r="B42" s="52" t="s">
        <v>109</v>
      </c>
      <c r="C42" s="344">
        <f>+'7 Önk'!D42+'8 PH'!D42+'9 VGIG'!D42+'10 Járób'!D42+'11 Szoci'!D42+'12 Ovi'!D42+'13 Művház'!D42+'14 Könyvt'!D42+'5 Beruh kiad'!D66</f>
        <v>1583950524</v>
      </c>
      <c r="D42" s="344">
        <f>+'7 Önk'!E42+'8 PH'!E42+'9 VGIG'!E42+'10 Járób'!E42+'11 Szoci'!E42+'12 Ovi'!E42+'13 Művház'!E42+'14 Könyvt'!E42+'5 Beruh kiad'!E66</f>
        <v>425445732</v>
      </c>
      <c r="E42" s="345">
        <f>+C42+D42</f>
        <v>2009396256</v>
      </c>
      <c r="F42" s="24">
        <f>+'7 Önk'!G42+'8 PH'!G42+'9 VGIG'!G42+'10 Járób'!G42+'11 Szoci'!G42+'12 Ovi'!G42+'13 Művház'!G42+'14 Könyvt'!G42+'5 Beruh kiad'!F66</f>
        <v>1278723580</v>
      </c>
      <c r="G42" s="24">
        <f>+'7 Önk'!H42+'8 PH'!H42+'9 VGIG'!H42+'10 Járób'!H42+'11 Szoci'!H42+'12 Ovi'!H42+'13 Művház'!H42+'14 Könyvt'!H42+'5 Beruh kiad'!G66</f>
        <v>69793957</v>
      </c>
      <c r="H42" s="25">
        <f>+F42+G42</f>
        <v>1348517537</v>
      </c>
      <c r="I42" s="32">
        <v>1637009082</v>
      </c>
      <c r="J42" s="32">
        <f t="shared" si="0"/>
        <v>288491545</v>
      </c>
    </row>
    <row r="43" spans="1:10" x14ac:dyDescent="0.25">
      <c r="A43" s="66" t="s">
        <v>110</v>
      </c>
      <c r="B43" s="52" t="s">
        <v>111</v>
      </c>
      <c r="C43" s="344">
        <f>+'7 Önk'!D43+'8 PH'!D43+'9 VGIG'!D43+'10 Járób'!D43+'11 Szoci'!D43+'12 Ovi'!D43+'13 Művház'!D43+'14 Könyvt'!D43+'5 Beruh kiad'!D68</f>
        <v>0</v>
      </c>
      <c r="D43" s="344">
        <f>+'7 Önk'!E43+'8 PH'!E43+'9 VGIG'!E43+'10 Járób'!E43+'11 Szoci'!E43+'12 Ovi'!E43+'13 Művház'!E43+'14 Könyvt'!E43+'5 Beruh kiad'!E68</f>
        <v>0</v>
      </c>
      <c r="E43" s="345">
        <f>+C43+D43</f>
        <v>0</v>
      </c>
      <c r="F43" s="24">
        <f>+'7 Önk'!G43+'8 PH'!G43+'9 VGIG'!G43+'10 Járób'!G43+'11 Szoci'!G43+'12 Ovi'!G43+'13 Művház'!G43+'14 Könyvt'!G43+'5 Beruh kiad'!F68</f>
        <v>0</v>
      </c>
      <c r="G43" s="24">
        <f>+'7 Önk'!H43+'8 PH'!H43+'9 VGIG'!H43+'10 Járób'!H43+'11 Szoci'!H43+'12 Ovi'!H43+'13 Művház'!H43+'14 Könyvt'!H43+'5 Beruh kiad'!G68</f>
        <v>0</v>
      </c>
      <c r="H43" s="25">
        <f>+F43+G43</f>
        <v>0</v>
      </c>
      <c r="J43" s="32">
        <f t="shared" si="0"/>
        <v>0</v>
      </c>
    </row>
    <row r="44" spans="1:10" x14ac:dyDescent="0.25">
      <c r="A44" s="66" t="s">
        <v>112</v>
      </c>
      <c r="B44" s="52" t="s">
        <v>113</v>
      </c>
      <c r="C44" s="344">
        <f>+'7 Önk'!D44+'8 PH'!D44+'9 VGIG'!D44+'10 Járób'!D44+'11 Szoci'!D44+'12 Ovi'!D44+'13 Művház'!D44+'14 Könyvt'!D44+'5 Beruh kiad'!D71</f>
        <v>20000000</v>
      </c>
      <c r="D44" s="344">
        <f>+'7 Önk'!E44+'8 PH'!E44+'9 VGIG'!E44+'10 Járób'!E44+'11 Szoci'!E44+'12 Ovi'!E44+'13 Művház'!E44+'14 Könyvt'!E44+'5 Beruh kiad'!E71</f>
        <v>0</v>
      </c>
      <c r="E44" s="345">
        <f>+C44+D44</f>
        <v>20000000</v>
      </c>
      <c r="F44" s="24">
        <f>+'7 Önk'!G44+'8 PH'!G44+'9 VGIG'!G44+'10 Járób'!G44+'11 Szoci'!G44+'12 Ovi'!G44+'13 Művház'!G44+'14 Könyvt'!G44+'5 Beruh kiad'!F71</f>
        <v>1460000</v>
      </c>
      <c r="G44" s="24">
        <f>+'7 Önk'!H44+'8 PH'!H44+'9 VGIG'!H44+'10 Járób'!H44+'11 Szoci'!H44+'12 Ovi'!H44+'13 Művház'!H44+'14 Könyvt'!H44+'5 Beruh kiad'!G71</f>
        <v>8432310</v>
      </c>
      <c r="H44" s="25">
        <f>+F44+G44</f>
        <v>9892310</v>
      </c>
      <c r="I44" s="32">
        <v>9892310</v>
      </c>
      <c r="J44" s="32">
        <f t="shared" si="0"/>
        <v>0</v>
      </c>
    </row>
    <row r="45" spans="1:10" x14ac:dyDescent="0.25">
      <c r="A45" s="66" t="s">
        <v>114</v>
      </c>
      <c r="B45" s="52" t="s">
        <v>115</v>
      </c>
      <c r="C45" s="344">
        <f>+'7 Önk'!D45+'8 PH'!D45+'9 VGIG'!D45+'10 Járób'!D45+'11 Szoci'!D45+'12 Ovi'!D45+'13 Művház'!D45+'14 Könyvt'!D45+'5 Beruh kiad'!D91</f>
        <v>432218219</v>
      </c>
      <c r="D45" s="344">
        <f>+'7 Önk'!E45+'8 PH'!E45+'9 VGIG'!E45+'10 Járób'!E45+'11 Szoci'!E45+'12 Ovi'!E45+'13 Művház'!E45+'14 Könyvt'!E45+'5 Beruh kiad'!E91</f>
        <v>114870908</v>
      </c>
      <c r="E45" s="345">
        <f>+C45+D45</f>
        <v>547089127</v>
      </c>
      <c r="F45" s="24">
        <f>+'7 Önk'!G45+'8 PH'!G45+'9 VGIG'!G45+'10 Járób'!G45+'11 Szoci'!G45+'12 Ovi'!G45+'13 Művház'!G45+'14 Könyvt'!G45+'5 Beruh kiad'!F91</f>
        <v>335231216</v>
      </c>
      <c r="G45" s="24">
        <f>+'7 Önk'!H45+'8 PH'!H45+'9 VGIG'!H45+'10 Járób'!H45+'11 Szoci'!H45+'12 Ovi'!H45+'13 Művház'!H45+'14 Könyvt'!H45+'5 Beruh kiad'!G91</f>
        <v>20672275</v>
      </c>
      <c r="H45" s="25">
        <f>+F45+G45</f>
        <v>355903491</v>
      </c>
      <c r="I45" s="32">
        <v>435828335</v>
      </c>
      <c r="J45" s="32">
        <f t="shared" si="0"/>
        <v>79924844</v>
      </c>
    </row>
    <row r="46" spans="1:10" s="31" customFormat="1" x14ac:dyDescent="0.25">
      <c r="A46" s="56" t="s">
        <v>116</v>
      </c>
      <c r="B46" s="55" t="s">
        <v>117</v>
      </c>
      <c r="C46" s="345">
        <f t="shared" ref="C46:I46" si="12">SUM(C42:C45)</f>
        <v>2036168743</v>
      </c>
      <c r="D46" s="345">
        <f t="shared" si="12"/>
        <v>540316640</v>
      </c>
      <c r="E46" s="345">
        <f t="shared" si="12"/>
        <v>2576485383</v>
      </c>
      <c r="F46" s="25">
        <f t="shared" si="12"/>
        <v>1615414796</v>
      </c>
      <c r="G46" s="25">
        <f t="shared" si="12"/>
        <v>98898542</v>
      </c>
      <c r="H46" s="25">
        <f t="shared" si="12"/>
        <v>1714313338</v>
      </c>
      <c r="I46" s="25">
        <f t="shared" si="12"/>
        <v>2082729727</v>
      </c>
      <c r="J46" s="32">
        <f t="shared" si="0"/>
        <v>368416389</v>
      </c>
    </row>
    <row r="47" spans="1:10" x14ac:dyDescent="0.25">
      <c r="A47" s="66" t="s">
        <v>118</v>
      </c>
      <c r="B47" s="52" t="s">
        <v>119</v>
      </c>
      <c r="C47" s="344">
        <f>+'7 Önk'!D47+'8 PH'!D47+'9 VGIG'!D47+'10 Járób'!D47+'11 Szoci'!D47+'12 Ovi'!D47+'13 Művház'!D47+'14 Könyvt'!D47</f>
        <v>0</v>
      </c>
      <c r="D47" s="344">
        <f>+'7 Önk'!E47+'8 PH'!E47+'9 VGIG'!E47+'10 Járób'!E47+'11 Szoci'!E47+'12 Ovi'!E47+'13 Művház'!E47+'14 Könyvt'!E47</f>
        <v>0</v>
      </c>
      <c r="E47" s="345">
        <f t="shared" ref="E47:E53" si="13">+C47+D47</f>
        <v>0</v>
      </c>
      <c r="F47" s="24">
        <f>+'7 Önk'!G47+'8 PH'!G47+'9 VGIG'!G47+'10 Járób'!G47+'11 Szoci'!G47+'12 Ovi'!G47+'13 Művház'!G47+'14 Könyvt'!G47</f>
        <v>0</v>
      </c>
      <c r="G47" s="24">
        <f>+'7 Önk'!H47+'8 PH'!H47+'9 VGIG'!H47+'10 Járób'!H47+'11 Szoci'!H47+'12 Ovi'!H47+'13 Művház'!H47+'14 Könyvt'!H47</f>
        <v>0</v>
      </c>
      <c r="H47" s="25">
        <f t="shared" ref="H47:H53" si="14">+F47+G47</f>
        <v>0</v>
      </c>
      <c r="J47" s="32">
        <f t="shared" si="0"/>
        <v>0</v>
      </c>
    </row>
    <row r="48" spans="1:10" x14ac:dyDescent="0.25">
      <c r="A48" s="66" t="s">
        <v>120</v>
      </c>
      <c r="B48" s="52" t="s">
        <v>121</v>
      </c>
      <c r="C48" s="344">
        <f>+'7 Önk'!D48+'8 PH'!D48+'9 VGIG'!D48+'10 Járób'!D48+'11 Szoci'!D48+'12 Ovi'!D48+'13 Művház'!D48+'14 Könyvt'!D48</f>
        <v>0</v>
      </c>
      <c r="D48" s="344">
        <f>+'7 Önk'!E48+'8 PH'!E48+'9 VGIG'!E48+'10 Járób'!E48+'11 Szoci'!E48+'12 Ovi'!E48+'13 Művház'!E48+'14 Könyvt'!E48</f>
        <v>0</v>
      </c>
      <c r="E48" s="345">
        <f t="shared" si="13"/>
        <v>0</v>
      </c>
      <c r="F48" s="24">
        <f>+'7 Önk'!G48+'8 PH'!G48+'9 VGIG'!G48+'10 Járób'!G48+'11 Szoci'!G48+'12 Ovi'!G48+'13 Művház'!G48+'14 Könyvt'!G48</f>
        <v>0</v>
      </c>
      <c r="G48" s="24">
        <f>+'7 Önk'!H48+'8 PH'!H48+'9 VGIG'!H48+'10 Járób'!H48+'11 Szoci'!H48+'12 Ovi'!H48+'13 Művház'!H48+'14 Könyvt'!H48</f>
        <v>0</v>
      </c>
      <c r="H48" s="25">
        <f t="shared" si="14"/>
        <v>0</v>
      </c>
      <c r="J48" s="32">
        <f t="shared" si="0"/>
        <v>0</v>
      </c>
    </row>
    <row r="49" spans="1:10" x14ac:dyDescent="0.25">
      <c r="A49" s="66" t="s">
        <v>122</v>
      </c>
      <c r="B49" s="52" t="s">
        <v>123</v>
      </c>
      <c r="C49" s="344">
        <f>+'7 Önk'!D49+'8 PH'!D49+'9 VGIG'!D49+'10 Járób'!D49+'11 Szoci'!D49+'12 Ovi'!D49+'13 Művház'!D49+'14 Könyvt'!D49</f>
        <v>0</v>
      </c>
      <c r="D49" s="344">
        <f>+'7 Önk'!E49+'8 PH'!E49+'9 VGIG'!E49+'10 Járób'!E49+'11 Szoci'!E49+'12 Ovi'!E49+'13 Művház'!E49+'14 Könyvt'!E49</f>
        <v>0</v>
      </c>
      <c r="E49" s="345">
        <f t="shared" si="13"/>
        <v>0</v>
      </c>
      <c r="F49" s="24">
        <f>+'7 Önk'!G49+'8 PH'!G49+'9 VGIG'!G49+'10 Járób'!G49+'11 Szoci'!G49+'12 Ovi'!G49+'13 Művház'!G49+'14 Könyvt'!G49</f>
        <v>0</v>
      </c>
      <c r="G49" s="24">
        <f>+'7 Önk'!H49+'8 PH'!H49+'9 VGIG'!H49+'10 Járób'!H49+'11 Szoci'!H49+'12 Ovi'!H49+'13 Művház'!H49+'14 Könyvt'!H49</f>
        <v>0</v>
      </c>
      <c r="H49" s="25">
        <f t="shared" si="14"/>
        <v>0</v>
      </c>
      <c r="J49" s="32">
        <f t="shared" si="0"/>
        <v>0</v>
      </c>
    </row>
    <row r="50" spans="1:10" x14ac:dyDescent="0.25">
      <c r="A50" s="66" t="s">
        <v>124</v>
      </c>
      <c r="B50" s="52" t="s">
        <v>125</v>
      </c>
      <c r="C50" s="344">
        <f>+'7 Önk'!D50+'8 PH'!D50+'9 VGIG'!D50+'10 Járób'!D50+'11 Szoci'!D50+'12 Ovi'!D50+'13 Művház'!D50+'14 Könyvt'!D50+'5 Beruh kiad'!D96</f>
        <v>0</v>
      </c>
      <c r="D50" s="344">
        <f>+'7 Önk'!E50+'8 PH'!E50+'9 VGIG'!E50+'10 Járób'!E50+'11 Szoci'!E50+'12 Ovi'!E50+'13 Művház'!E50+'14 Könyvt'!E50+'5 Beruh kiad'!E96</f>
        <v>2000000</v>
      </c>
      <c r="E50" s="345">
        <f t="shared" si="13"/>
        <v>2000000</v>
      </c>
      <c r="F50" s="344">
        <f>+'7 Önk'!G50+'8 PH'!G50+'9 VGIG'!G50+'10 Járób'!G50+'11 Szoci'!G50+'12 Ovi'!G50+'13 Művház'!G50+'14 Könyvt'!G50+'5 Beruh kiad'!F96</f>
        <v>0</v>
      </c>
      <c r="G50" s="344">
        <f>+'7 Önk'!H50+'8 PH'!H50+'9 VGIG'!H50+'10 Járób'!H50+'11 Szoci'!H50+'12 Ovi'!H50+'13 Művház'!H50+'14 Könyvt'!H50+'5 Beruh kiad'!G96</f>
        <v>2000000</v>
      </c>
      <c r="H50" s="25">
        <f t="shared" si="14"/>
        <v>2000000</v>
      </c>
      <c r="I50" s="32">
        <v>2000000</v>
      </c>
      <c r="J50" s="32">
        <f t="shared" si="0"/>
        <v>0</v>
      </c>
    </row>
    <row r="51" spans="1:10" x14ac:dyDescent="0.25">
      <c r="A51" s="66" t="s">
        <v>126</v>
      </c>
      <c r="B51" s="52" t="s">
        <v>127</v>
      </c>
      <c r="C51" s="344">
        <f>+'7 Önk'!D51+'8 PH'!D51+'9 VGIG'!D51+'10 Járób'!D51+'11 Szoci'!D51+'12 Ovi'!D51+'13 Művház'!D51+'14 Könyvt'!D51</f>
        <v>16101000</v>
      </c>
      <c r="D51" s="344">
        <f>+'7 Önk'!E51+'8 PH'!E51+'9 VGIG'!E51+'10 Járób'!E51+'11 Szoci'!E51+'12 Ovi'!E51+'13 Művház'!E51+'14 Könyvt'!E51</f>
        <v>0</v>
      </c>
      <c r="E51" s="345">
        <f t="shared" si="13"/>
        <v>16101000</v>
      </c>
      <c r="F51" s="344">
        <f>+'7 Önk'!G51+'8 PH'!G51+'9 VGIG'!G51+'10 Járób'!G51+'11 Szoci'!G51+'12 Ovi'!G51+'13 Művház'!G51+'14 Könyvt'!G51</f>
        <v>16101000</v>
      </c>
      <c r="G51" s="344">
        <f>+'7 Önk'!H51+'8 PH'!H51+'9 VGIG'!H51+'10 Járób'!H51+'11 Szoci'!H51+'12 Ovi'!H51+'13 Művház'!H51+'14 Könyvt'!H51</f>
        <v>0</v>
      </c>
      <c r="H51" s="25">
        <f t="shared" si="14"/>
        <v>16101000</v>
      </c>
      <c r="I51" s="32">
        <v>16101000</v>
      </c>
      <c r="J51" s="32">
        <f t="shared" si="0"/>
        <v>0</v>
      </c>
    </row>
    <row r="52" spans="1:10" x14ac:dyDescent="0.25">
      <c r="A52" s="66" t="s">
        <v>128</v>
      </c>
      <c r="B52" s="52" t="s">
        <v>129</v>
      </c>
      <c r="C52" s="344">
        <f>+'7 Önk'!D52+'8 PH'!D52+'9 VGIG'!D52+'10 Járób'!D52+'11 Szoci'!D52+'12 Ovi'!D52+'13 Művház'!D52+'14 Könyvt'!D52</f>
        <v>0</v>
      </c>
      <c r="D52" s="344">
        <f>+'7 Önk'!E52+'8 PH'!E52+'9 VGIG'!E52+'10 Járób'!E52+'11 Szoci'!E52+'12 Ovi'!E52+'13 Művház'!E52+'14 Könyvt'!E52</f>
        <v>0</v>
      </c>
      <c r="E52" s="345">
        <f t="shared" si="13"/>
        <v>0</v>
      </c>
      <c r="F52" s="24">
        <f>+'7 Önk'!G52+'8 PH'!G52+'9 VGIG'!G52+'10 Járób'!G52+'11 Szoci'!G52+'12 Ovi'!G52+'13 Művház'!G52+'14 Könyvt'!G52</f>
        <v>0</v>
      </c>
      <c r="G52" s="24">
        <f>+'7 Önk'!H52+'8 PH'!H52+'9 VGIG'!H52+'10 Járób'!H52+'11 Szoci'!H52+'12 Ovi'!H52+'13 Művház'!H52+'14 Könyvt'!H52</f>
        <v>0</v>
      </c>
      <c r="H52" s="25">
        <f t="shared" si="14"/>
        <v>0</v>
      </c>
      <c r="J52" s="32">
        <f t="shared" si="0"/>
        <v>0</v>
      </c>
    </row>
    <row r="53" spans="1:10" x14ac:dyDescent="0.25">
      <c r="A53" s="66" t="s">
        <v>130</v>
      </c>
      <c r="B53" s="52" t="s">
        <v>131</v>
      </c>
      <c r="C53" s="344">
        <f>+'7 Önk'!D53+'8 PH'!D53+'9 VGIG'!D53+'10 Járób'!D53+'11 Szoci'!D53+'12 Ovi'!D53+'13 Művház'!D53+'14 Könyvt'!D53</f>
        <v>0</v>
      </c>
      <c r="D53" s="344">
        <f>+'7 Önk'!E53+'8 PH'!E53+'9 VGIG'!E53+'10 Járób'!E53+'11 Szoci'!E53+'12 Ovi'!E53+'13 Művház'!E53+'14 Könyvt'!E53</f>
        <v>0</v>
      </c>
      <c r="E53" s="345">
        <f t="shared" si="13"/>
        <v>0</v>
      </c>
      <c r="F53" s="24">
        <f>+'7 Önk'!G53+'8 PH'!G53+'9 VGIG'!G53+'10 Járób'!G53+'11 Szoci'!G53+'12 Ovi'!G53+'13 Művház'!G53+'14 Könyvt'!G53</f>
        <v>0</v>
      </c>
      <c r="G53" s="24">
        <f>+'7 Önk'!H53+'8 PH'!H53+'9 VGIG'!H53+'10 Járób'!H53+'11 Szoci'!H53+'12 Ovi'!H53+'13 Művház'!H53+'14 Könyvt'!H53</f>
        <v>0</v>
      </c>
      <c r="H53" s="25">
        <f t="shared" si="14"/>
        <v>0</v>
      </c>
      <c r="J53" s="32">
        <f t="shared" si="0"/>
        <v>0</v>
      </c>
    </row>
    <row r="54" spans="1:10" hidden="1" x14ac:dyDescent="0.25">
      <c r="A54" s="66" t="s">
        <v>132</v>
      </c>
      <c r="B54" s="52" t="s">
        <v>133</v>
      </c>
      <c r="C54" s="344"/>
      <c r="D54" s="344"/>
      <c r="E54" s="345"/>
      <c r="F54" s="24"/>
      <c r="G54" s="24"/>
      <c r="H54" s="25"/>
      <c r="J54" s="32">
        <f t="shared" si="0"/>
        <v>0</v>
      </c>
    </row>
    <row r="55" spans="1:10" x14ac:dyDescent="0.25">
      <c r="A55" s="66" t="s">
        <v>134</v>
      </c>
      <c r="B55" s="52" t="s">
        <v>135</v>
      </c>
      <c r="C55" s="344">
        <f>+'7 Önk'!D55+'8 PH'!D55+'9 VGIG'!D55+'10 Járób'!D55+'11 Szoci'!D55+'12 Ovi'!D55+'13 Művház'!D55+'14 Könyvt'!D55</f>
        <v>0</v>
      </c>
      <c r="D55" s="344">
        <f>+'7 Önk'!E55+'8 PH'!E55+'9 VGIG'!E55+'10 Járób'!E55+'11 Szoci'!E55+'12 Ovi'!E55+'13 Művház'!E55+'14 Könyvt'!E55</f>
        <v>0</v>
      </c>
      <c r="E55" s="345">
        <f>+C55+D55</f>
        <v>0</v>
      </c>
      <c r="F55" s="24">
        <f>+'7 Önk'!G55+'8 PH'!G55+'9 VGIG'!G55+'10 Járób'!G55+'11 Szoci'!G55+'12 Ovi'!G55+'13 Művház'!G55+'14 Könyvt'!G55</f>
        <v>0</v>
      </c>
      <c r="G55" s="24">
        <f>+'7 Önk'!H55+'8 PH'!H55+'9 VGIG'!H55+'10 Járób'!H55+'11 Szoci'!H55+'12 Ovi'!H55+'13 Művház'!H55+'14 Könyvt'!H55</f>
        <v>0</v>
      </c>
      <c r="H55" s="25">
        <f>+F55+G55</f>
        <v>0</v>
      </c>
      <c r="J55" s="32">
        <f t="shared" si="0"/>
        <v>0</v>
      </c>
    </row>
    <row r="56" spans="1:10" s="31" customFormat="1" x14ac:dyDescent="0.25">
      <c r="A56" s="57" t="s">
        <v>136</v>
      </c>
      <c r="B56" s="55" t="s">
        <v>137</v>
      </c>
      <c r="C56" s="345">
        <f t="shared" ref="C56:I56" si="15">SUM(C47:C55)</f>
        <v>16101000</v>
      </c>
      <c r="D56" s="345">
        <f t="shared" si="15"/>
        <v>2000000</v>
      </c>
      <c r="E56" s="345">
        <f t="shared" si="15"/>
        <v>18101000</v>
      </c>
      <c r="F56" s="25">
        <f t="shared" si="15"/>
        <v>16101000</v>
      </c>
      <c r="G56" s="25">
        <f t="shared" si="15"/>
        <v>2000000</v>
      </c>
      <c r="H56" s="25">
        <f t="shared" si="15"/>
        <v>18101000</v>
      </c>
      <c r="I56" s="25">
        <f t="shared" si="15"/>
        <v>18101000</v>
      </c>
      <c r="J56" s="32">
        <f t="shared" si="0"/>
        <v>0</v>
      </c>
    </row>
    <row r="57" spans="1:10" x14ac:dyDescent="0.25">
      <c r="A57" s="60" t="s">
        <v>138</v>
      </c>
      <c r="B57" s="61" t="s">
        <v>139</v>
      </c>
      <c r="C57" s="346">
        <f t="shared" ref="C57:H57" si="16">+C56+C46+C41</f>
        <v>2129659928</v>
      </c>
      <c r="D57" s="346">
        <f t="shared" si="16"/>
        <v>691877721</v>
      </c>
      <c r="E57" s="346">
        <f t="shared" si="16"/>
        <v>2821537649</v>
      </c>
      <c r="F57" s="62">
        <f t="shared" si="16"/>
        <v>1910136030</v>
      </c>
      <c r="G57" s="62">
        <f t="shared" si="16"/>
        <v>496738746</v>
      </c>
      <c r="H57" s="62">
        <f t="shared" si="16"/>
        <v>2406874776</v>
      </c>
      <c r="I57" s="62">
        <f>+I56+I46+I41</f>
        <v>2782815452</v>
      </c>
      <c r="J57" s="32">
        <f t="shared" si="0"/>
        <v>375940676</v>
      </c>
    </row>
    <row r="58" spans="1:10" x14ac:dyDescent="0.25">
      <c r="A58" s="67" t="s">
        <v>140</v>
      </c>
      <c r="B58" s="68" t="s">
        <v>141</v>
      </c>
      <c r="C58" s="347">
        <f t="shared" ref="C58:H58" si="17">+C56+C46+C41+C32+C17+C16+C10+C9</f>
        <v>4268739761.4899998</v>
      </c>
      <c r="D58" s="347">
        <f t="shared" si="17"/>
        <v>2127616871</v>
      </c>
      <c r="E58" s="347">
        <f t="shared" si="17"/>
        <v>6396356632.4899998</v>
      </c>
      <c r="F58" s="69">
        <f t="shared" si="17"/>
        <v>4197263494.4899998</v>
      </c>
      <c r="G58" s="69">
        <f t="shared" si="17"/>
        <v>1729129681</v>
      </c>
      <c r="H58" s="69">
        <f t="shared" si="17"/>
        <v>5926393175.4899998</v>
      </c>
      <c r="I58" s="69">
        <f>+I56+I46+I41+I32+I17+I16+I10+I9</f>
        <v>6607333851</v>
      </c>
      <c r="J58" s="32">
        <f t="shared" si="0"/>
        <v>680940675.51000023</v>
      </c>
    </row>
    <row r="59" spans="1:10" x14ac:dyDescent="0.25">
      <c r="A59" s="66" t="s">
        <v>142</v>
      </c>
      <c r="B59" s="53" t="s">
        <v>143</v>
      </c>
      <c r="C59" s="344">
        <f>+'17 hitelek'!D13</f>
        <v>0</v>
      </c>
      <c r="D59" s="344">
        <f>+'17 hitelek'!E13</f>
        <v>0</v>
      </c>
      <c r="E59" s="345">
        <f>+C59+D59</f>
        <v>0</v>
      </c>
      <c r="F59" s="24">
        <f>+'17 hitelek'!F13</f>
        <v>0</v>
      </c>
      <c r="G59" s="24">
        <f>+'17 hitelek'!G13</f>
        <v>0</v>
      </c>
      <c r="H59" s="25">
        <f>+F59+G59</f>
        <v>0</v>
      </c>
      <c r="J59" s="32">
        <f t="shared" si="0"/>
        <v>0</v>
      </c>
    </row>
    <row r="60" spans="1:10" x14ac:dyDescent="0.25">
      <c r="A60" s="66" t="s">
        <v>144</v>
      </c>
      <c r="B60" s="53" t="s">
        <v>145</v>
      </c>
      <c r="C60" s="344">
        <f>+'17 hitelek'!D16</f>
        <v>0</v>
      </c>
      <c r="D60" s="344">
        <f>+'17 hitelek'!E16</f>
        <v>0</v>
      </c>
      <c r="E60" s="345">
        <f>+C60+D60</f>
        <v>0</v>
      </c>
      <c r="F60" s="24">
        <f>+'17 hitelek'!F16</f>
        <v>0</v>
      </c>
      <c r="G60" s="24">
        <f>+'17 hitelek'!G16</f>
        <v>0</v>
      </c>
      <c r="H60" s="25">
        <f>+F60+G60</f>
        <v>0</v>
      </c>
      <c r="J60" s="32">
        <f t="shared" si="0"/>
        <v>0</v>
      </c>
    </row>
    <row r="61" spans="1:10" x14ac:dyDescent="0.25">
      <c r="A61" s="66" t="s">
        <v>146</v>
      </c>
      <c r="B61" s="53" t="s">
        <v>147</v>
      </c>
      <c r="C61" s="344">
        <f>+'17 hitelek'!D19</f>
        <v>88500000</v>
      </c>
      <c r="D61" s="344">
        <f>+'17 hitelek'!E19</f>
        <v>0</v>
      </c>
      <c r="E61" s="345">
        <f>+C61+D61</f>
        <v>88500000</v>
      </c>
      <c r="F61" s="24">
        <f>+'17 hitelek'!F19</f>
        <v>88500000</v>
      </c>
      <c r="G61" s="24">
        <f>+'17 hitelek'!G19</f>
        <v>0</v>
      </c>
      <c r="H61" s="25">
        <f>+F61+G61</f>
        <v>88500000</v>
      </c>
      <c r="I61" s="32">
        <v>88500000</v>
      </c>
      <c r="J61" s="32">
        <f t="shared" si="0"/>
        <v>0</v>
      </c>
    </row>
    <row r="62" spans="1:10" x14ac:dyDescent="0.25">
      <c r="A62" s="57" t="s">
        <v>148</v>
      </c>
      <c r="B62" s="56" t="s">
        <v>149</v>
      </c>
      <c r="C62" s="348">
        <f t="shared" ref="C62:I62" si="18">SUM(C59:C61)</f>
        <v>88500000</v>
      </c>
      <c r="D62" s="348">
        <f t="shared" si="18"/>
        <v>0</v>
      </c>
      <c r="E62" s="348">
        <f t="shared" si="18"/>
        <v>88500000</v>
      </c>
      <c r="F62" s="70">
        <f t="shared" si="18"/>
        <v>88500000</v>
      </c>
      <c r="G62" s="70">
        <f t="shared" si="18"/>
        <v>0</v>
      </c>
      <c r="H62" s="70">
        <f t="shared" si="18"/>
        <v>88500000</v>
      </c>
      <c r="I62" s="70">
        <f t="shared" si="18"/>
        <v>88500000</v>
      </c>
      <c r="J62" s="32">
        <f t="shared" si="0"/>
        <v>0</v>
      </c>
    </row>
    <row r="63" spans="1:10" x14ac:dyDescent="0.25">
      <c r="A63" s="71" t="s">
        <v>150</v>
      </c>
      <c r="B63" s="53" t="s">
        <v>151</v>
      </c>
      <c r="C63" s="349"/>
      <c r="D63" s="349"/>
      <c r="E63" s="345">
        <f t="shared" ref="E63:E69" si="19">+C63+D63</f>
        <v>0</v>
      </c>
      <c r="F63" s="72"/>
      <c r="G63" s="72"/>
      <c r="H63" s="25">
        <f t="shared" ref="H63:H69" si="20">+F63+G63</f>
        <v>0</v>
      </c>
      <c r="J63" s="32">
        <f t="shared" si="0"/>
        <v>0</v>
      </c>
    </row>
    <row r="64" spans="1:10" x14ac:dyDescent="0.25">
      <c r="A64" s="71" t="s">
        <v>152</v>
      </c>
      <c r="B64" s="53" t="s">
        <v>153</v>
      </c>
      <c r="C64" s="344"/>
      <c r="D64" s="344"/>
      <c r="E64" s="345">
        <f t="shared" si="19"/>
        <v>0</v>
      </c>
      <c r="F64" s="24"/>
      <c r="G64" s="24"/>
      <c r="H64" s="25">
        <f t="shared" si="20"/>
        <v>0</v>
      </c>
      <c r="J64" s="32">
        <f t="shared" si="0"/>
        <v>0</v>
      </c>
    </row>
    <row r="65" spans="1:10" x14ac:dyDescent="0.25">
      <c r="A65" s="71" t="s">
        <v>154</v>
      </c>
      <c r="B65" s="53" t="s">
        <v>155</v>
      </c>
      <c r="C65" s="344">
        <f>+'17 hitelek'!D35</f>
        <v>36065526</v>
      </c>
      <c r="D65" s="344"/>
      <c r="E65" s="345">
        <f t="shared" si="19"/>
        <v>36065526</v>
      </c>
      <c r="F65" s="24">
        <f>+'17 hitelek'!F35</f>
        <v>36065526</v>
      </c>
      <c r="G65" s="24"/>
      <c r="H65" s="25">
        <f t="shared" si="20"/>
        <v>36065526</v>
      </c>
      <c r="I65" s="32">
        <v>36065526</v>
      </c>
      <c r="J65" s="32">
        <f t="shared" si="0"/>
        <v>0</v>
      </c>
    </row>
    <row r="66" spans="1:10" x14ac:dyDescent="0.25">
      <c r="A66" s="71" t="s">
        <v>156</v>
      </c>
      <c r="B66" s="53" t="s">
        <v>157</v>
      </c>
      <c r="C66" s="344"/>
      <c r="D66" s="344"/>
      <c r="E66" s="345">
        <f t="shared" si="19"/>
        <v>0</v>
      </c>
      <c r="F66" s="24"/>
      <c r="G66" s="24"/>
      <c r="H66" s="25">
        <f t="shared" si="20"/>
        <v>0</v>
      </c>
      <c r="J66" s="32">
        <f t="shared" si="0"/>
        <v>0</v>
      </c>
    </row>
    <row r="67" spans="1:10" x14ac:dyDescent="0.25">
      <c r="A67" s="71" t="s">
        <v>158</v>
      </c>
      <c r="B67" s="53" t="s">
        <v>159</v>
      </c>
      <c r="C67" s="344"/>
      <c r="D67" s="344"/>
      <c r="E67" s="345">
        <f t="shared" si="19"/>
        <v>0</v>
      </c>
      <c r="F67" s="24"/>
      <c r="G67" s="24"/>
      <c r="H67" s="25">
        <f t="shared" si="20"/>
        <v>0</v>
      </c>
      <c r="J67" s="32">
        <f t="shared" si="0"/>
        <v>0</v>
      </c>
    </row>
    <row r="68" spans="1:10" x14ac:dyDescent="0.25">
      <c r="A68" s="71" t="s">
        <v>160</v>
      </c>
      <c r="B68" s="53" t="s">
        <v>161</v>
      </c>
      <c r="C68" s="344"/>
      <c r="D68" s="344"/>
      <c r="E68" s="345">
        <f t="shared" si="19"/>
        <v>0</v>
      </c>
      <c r="F68" s="24"/>
      <c r="G68" s="24"/>
      <c r="H68" s="25">
        <f t="shared" si="20"/>
        <v>0</v>
      </c>
      <c r="J68" s="32">
        <f t="shared" si="0"/>
        <v>0</v>
      </c>
    </row>
    <row r="69" spans="1:10" x14ac:dyDescent="0.25">
      <c r="A69" s="71" t="s">
        <v>162</v>
      </c>
      <c r="B69" s="53" t="s">
        <v>163</v>
      </c>
      <c r="C69" s="344"/>
      <c r="D69" s="344"/>
      <c r="E69" s="345">
        <f t="shared" si="19"/>
        <v>0</v>
      </c>
      <c r="F69" s="24"/>
      <c r="G69" s="24"/>
      <c r="H69" s="25">
        <f t="shared" si="20"/>
        <v>0</v>
      </c>
      <c r="J69" s="32">
        <f t="shared" si="0"/>
        <v>0</v>
      </c>
    </row>
    <row r="70" spans="1:10" x14ac:dyDescent="0.25">
      <c r="A70" s="71" t="s">
        <v>164</v>
      </c>
      <c r="B70" s="53" t="s">
        <v>165</v>
      </c>
      <c r="C70" s="344"/>
      <c r="D70" s="344"/>
      <c r="E70" s="345"/>
      <c r="F70" s="24"/>
      <c r="G70" s="24"/>
      <c r="H70" s="25"/>
      <c r="J70" s="32">
        <f t="shared" si="0"/>
        <v>0</v>
      </c>
    </row>
    <row r="71" spans="1:10" x14ac:dyDescent="0.25">
      <c r="A71" s="73" t="s">
        <v>166</v>
      </c>
      <c r="B71" s="56" t="s">
        <v>167</v>
      </c>
      <c r="C71" s="349">
        <f t="shared" ref="C71:H71" si="21">+C69+C68+C67+C66+C65+C64+C63+C62</f>
        <v>124565526</v>
      </c>
      <c r="D71" s="349">
        <f t="shared" si="21"/>
        <v>0</v>
      </c>
      <c r="E71" s="349">
        <f t="shared" si="21"/>
        <v>124565526</v>
      </c>
      <c r="F71" s="72">
        <f t="shared" si="21"/>
        <v>124565526</v>
      </c>
      <c r="G71" s="72">
        <f t="shared" si="21"/>
        <v>0</v>
      </c>
      <c r="H71" s="72">
        <f t="shared" si="21"/>
        <v>124565526</v>
      </c>
      <c r="I71" s="72">
        <f>+I69+I68+I67+I66+I65+I64+I63+I62</f>
        <v>124565526</v>
      </c>
      <c r="J71" s="32">
        <f t="shared" si="0"/>
        <v>0</v>
      </c>
    </row>
    <row r="72" spans="1:10" hidden="1" x14ac:dyDescent="0.25">
      <c r="A72" s="71" t="s">
        <v>168</v>
      </c>
      <c r="B72" s="53" t="s">
        <v>169</v>
      </c>
      <c r="C72" s="344">
        <f>+'7 Önk'!D60+'8 PH'!D60+'9 VGIG'!D60+'10 Járób'!D60+'11 Szoci'!D60+'12 Ovi'!D60+'13 Művház'!D60+'14 Könyvt'!D60</f>
        <v>0</v>
      </c>
      <c r="D72" s="344">
        <f>+'7 Önk'!E60+'8 PH'!E60+'9 VGIG'!E60+'10 Járób'!E60+'11 Szoci'!E60+'12 Ovi'!E60+'13 Művház'!E60+'14 Könyvt'!E60</f>
        <v>0</v>
      </c>
      <c r="E72" s="345">
        <f>+C72+D72</f>
        <v>0</v>
      </c>
      <c r="F72" s="24">
        <f>+'7 Önk'!G60+'8 PH'!G60+'9 VGIG'!G60+'10 Járób'!G60+'11 Szoci'!G60+'12 Ovi'!G60+'13 Művház'!G60+'14 Könyvt'!G60</f>
        <v>0</v>
      </c>
      <c r="G72" s="24">
        <f>+'7 Önk'!H60+'8 PH'!H60+'9 VGIG'!H60+'10 Járób'!H60+'11 Szoci'!H60+'12 Ovi'!H60+'13 Művház'!H60+'14 Könyvt'!H60</f>
        <v>0</v>
      </c>
      <c r="H72" s="25">
        <f>+F72+G72</f>
        <v>0</v>
      </c>
      <c r="I72" s="25">
        <f>+G72+H72</f>
        <v>0</v>
      </c>
      <c r="J72" s="32">
        <f t="shared" ref="J72:J131" si="22">+I72-H72</f>
        <v>0</v>
      </c>
    </row>
    <row r="73" spans="1:10" hidden="1" x14ac:dyDescent="0.25">
      <c r="A73" s="66" t="s">
        <v>170</v>
      </c>
      <c r="B73" s="53" t="s">
        <v>171</v>
      </c>
      <c r="C73" s="344">
        <f>+'7 Önk'!D61+'8 PH'!D61+'9 VGIG'!D61+'10 Járób'!D61+'11 Szoci'!D61+'12 Ovi'!D61+'13 Művház'!D61+'14 Könyvt'!D61</f>
        <v>0</v>
      </c>
      <c r="D73" s="344">
        <f>+'7 Önk'!E61+'8 PH'!E61+'9 VGIG'!E61+'10 Járób'!E61+'11 Szoci'!E61+'12 Ovi'!E61+'13 Művház'!E61+'14 Könyvt'!E61</f>
        <v>0</v>
      </c>
      <c r="E73" s="345">
        <f>+C73+D73</f>
        <v>0</v>
      </c>
      <c r="F73" s="24">
        <f>+'7 Önk'!G61+'8 PH'!G61+'9 VGIG'!G61+'10 Járób'!G61+'11 Szoci'!G61+'12 Ovi'!G61+'13 Művház'!G61+'14 Könyvt'!G61</f>
        <v>0</v>
      </c>
      <c r="G73" s="24">
        <f>+'7 Önk'!H61+'8 PH'!H61+'9 VGIG'!H61+'10 Járób'!H61+'11 Szoci'!H61+'12 Ovi'!H61+'13 Művház'!H61+'14 Könyvt'!H61</f>
        <v>0</v>
      </c>
      <c r="H73" s="25">
        <f>+F73+G73</f>
        <v>0</v>
      </c>
      <c r="I73" s="25">
        <f>+G73+H73</f>
        <v>0</v>
      </c>
      <c r="J73" s="32">
        <f t="shared" si="22"/>
        <v>0</v>
      </c>
    </row>
    <row r="74" spans="1:10" hidden="1" x14ac:dyDescent="0.25">
      <c r="A74" s="66" t="s">
        <v>172</v>
      </c>
      <c r="B74" s="53" t="s">
        <v>173</v>
      </c>
      <c r="C74" s="344"/>
      <c r="D74" s="344"/>
      <c r="E74" s="345"/>
      <c r="F74" s="24"/>
      <c r="G74" s="24"/>
      <c r="H74" s="25"/>
      <c r="I74" s="25"/>
      <c r="J74" s="32">
        <f t="shared" si="22"/>
        <v>0</v>
      </c>
    </row>
    <row r="75" spans="1:10" x14ac:dyDescent="0.25">
      <c r="A75" s="74" t="s">
        <v>174</v>
      </c>
      <c r="B75" s="75" t="s">
        <v>175</v>
      </c>
      <c r="C75" s="350">
        <f t="shared" ref="C75:H75" si="23">+C73+C72+C71+C74</f>
        <v>124565526</v>
      </c>
      <c r="D75" s="350">
        <f t="shared" si="23"/>
        <v>0</v>
      </c>
      <c r="E75" s="350">
        <f t="shared" si="23"/>
        <v>124565526</v>
      </c>
      <c r="F75" s="76">
        <f t="shared" si="23"/>
        <v>124565526</v>
      </c>
      <c r="G75" s="76">
        <f t="shared" si="23"/>
        <v>0</v>
      </c>
      <c r="H75" s="76">
        <f t="shared" si="23"/>
        <v>124565526</v>
      </c>
      <c r="I75" s="76">
        <f>+I73+I72+I71+I74</f>
        <v>124565526</v>
      </c>
      <c r="J75" s="32">
        <f t="shared" si="22"/>
        <v>0</v>
      </c>
    </row>
    <row r="76" spans="1:10" x14ac:dyDescent="0.25">
      <c r="A76" s="28" t="s">
        <v>176</v>
      </c>
      <c r="B76" s="28" t="s">
        <v>177</v>
      </c>
      <c r="C76" s="351">
        <f t="shared" ref="C76:H76" si="24">+C58+C75</f>
        <v>4393305287.4899998</v>
      </c>
      <c r="D76" s="351">
        <f t="shared" si="24"/>
        <v>2127616871</v>
      </c>
      <c r="E76" s="351">
        <f t="shared" si="24"/>
        <v>6520922158.4899998</v>
      </c>
      <c r="F76" s="29">
        <f t="shared" si="24"/>
        <v>4321829020.4899998</v>
      </c>
      <c r="G76" s="29">
        <f t="shared" si="24"/>
        <v>1729129681</v>
      </c>
      <c r="H76" s="29">
        <f t="shared" si="24"/>
        <v>6050958701.4899998</v>
      </c>
      <c r="I76" s="29">
        <f>+I58+I75</f>
        <v>6731899377</v>
      </c>
      <c r="J76" s="32">
        <f t="shared" si="22"/>
        <v>680940675.51000023</v>
      </c>
    </row>
    <row r="77" spans="1:10" x14ac:dyDescent="0.25">
      <c r="A77" s="13"/>
      <c r="B77" s="13"/>
      <c r="C77" s="352"/>
      <c r="D77" s="352"/>
      <c r="E77" s="353"/>
      <c r="F77" s="14"/>
      <c r="G77" s="14"/>
      <c r="H77" s="77"/>
    </row>
    <row r="78" spans="1:10" ht="15.75" hidden="1" customHeight="1" x14ac:dyDescent="0.25">
      <c r="A78" s="13"/>
      <c r="B78" s="13"/>
      <c r="C78" s="492" t="s">
        <v>11</v>
      </c>
      <c r="D78" s="492"/>
      <c r="E78" s="492"/>
      <c r="F78" s="491" t="s">
        <v>11</v>
      </c>
      <c r="G78" s="491"/>
      <c r="H78" s="491"/>
      <c r="J78" s="32">
        <f t="shared" si="22"/>
        <v>0</v>
      </c>
    </row>
    <row r="79" spans="1:10" ht="31.5" x14ac:dyDescent="0.25">
      <c r="A79" s="19" t="s">
        <v>12</v>
      </c>
      <c r="B79" s="47" t="s">
        <v>178</v>
      </c>
      <c r="C79" s="354" t="s">
        <v>13</v>
      </c>
      <c r="D79" s="354" t="s">
        <v>14</v>
      </c>
      <c r="E79" s="355" t="s">
        <v>15</v>
      </c>
      <c r="F79" s="49" t="s">
        <v>13</v>
      </c>
      <c r="G79" s="49" t="s">
        <v>14</v>
      </c>
      <c r="H79" s="50" t="s">
        <v>15</v>
      </c>
    </row>
    <row r="80" spans="1:10" x14ac:dyDescent="0.25">
      <c r="A80" s="51" t="s">
        <v>179</v>
      </c>
      <c r="B80" s="64" t="s">
        <v>180</v>
      </c>
      <c r="C80" s="344">
        <f>+'3 Adók és tám'!D50</f>
        <v>202130442</v>
      </c>
      <c r="D80" s="344"/>
      <c r="E80" s="345">
        <f t="shared" ref="E80:E85" si="25">+D80+C80</f>
        <v>202130442</v>
      </c>
      <c r="F80" s="24">
        <f>+'3 Adók és tám'!E50</f>
        <v>210388804</v>
      </c>
      <c r="G80" s="24"/>
      <c r="H80" s="25">
        <f t="shared" ref="H80:H85" si="26">+G80+F80</f>
        <v>210388804</v>
      </c>
      <c r="I80" s="32">
        <v>210388804</v>
      </c>
      <c r="J80" s="32">
        <f t="shared" si="22"/>
        <v>0</v>
      </c>
    </row>
    <row r="81" spans="1:10" x14ac:dyDescent="0.25">
      <c r="A81" s="53" t="s">
        <v>181</v>
      </c>
      <c r="B81" s="64" t="s">
        <v>182</v>
      </c>
      <c r="C81" s="344">
        <f>+'3 Adók és tám'!D56</f>
        <v>188104650</v>
      </c>
      <c r="D81" s="344"/>
      <c r="E81" s="345">
        <f t="shared" si="25"/>
        <v>188104650</v>
      </c>
      <c r="F81" s="24">
        <f>+'3 Adók és tám'!E56</f>
        <v>190811792</v>
      </c>
      <c r="G81" s="24"/>
      <c r="H81" s="25">
        <f t="shared" si="26"/>
        <v>190811792</v>
      </c>
      <c r="I81" s="32">
        <v>190811792</v>
      </c>
      <c r="J81" s="32">
        <f t="shared" si="22"/>
        <v>0</v>
      </c>
    </row>
    <row r="82" spans="1:10" x14ac:dyDescent="0.25">
      <c r="A82" s="53" t="s">
        <v>183</v>
      </c>
      <c r="B82" s="64" t="s">
        <v>184</v>
      </c>
      <c r="C82" s="344">
        <f>+'3 Adók és tám'!D74</f>
        <v>565150340</v>
      </c>
      <c r="D82" s="344"/>
      <c r="E82" s="345">
        <f t="shared" si="25"/>
        <v>565150340</v>
      </c>
      <c r="F82" s="24">
        <f>+'3 Adók és tám'!E74</f>
        <v>684076502</v>
      </c>
      <c r="G82" s="24"/>
      <c r="H82" s="25">
        <f t="shared" si="26"/>
        <v>684076502</v>
      </c>
      <c r="I82" s="32">
        <v>684076502</v>
      </c>
      <c r="J82" s="32">
        <f t="shared" si="22"/>
        <v>0</v>
      </c>
    </row>
    <row r="83" spans="1:10" x14ac:dyDescent="0.25">
      <c r="A83" s="53" t="s">
        <v>185</v>
      </c>
      <c r="B83" s="64" t="s">
        <v>186</v>
      </c>
      <c r="C83" s="344">
        <f>+'3 Adók és tám'!D78</f>
        <v>13368080</v>
      </c>
      <c r="D83" s="344"/>
      <c r="E83" s="345">
        <f t="shared" si="25"/>
        <v>13368080</v>
      </c>
      <c r="F83" s="24">
        <f>+'3 Adók és tám'!E78</f>
        <v>19796215</v>
      </c>
      <c r="G83" s="24"/>
      <c r="H83" s="25">
        <f t="shared" si="26"/>
        <v>19796215</v>
      </c>
      <c r="I83" s="32">
        <v>19796215</v>
      </c>
      <c r="J83" s="32">
        <f t="shared" si="22"/>
        <v>0</v>
      </c>
    </row>
    <row r="84" spans="1:10" x14ac:dyDescent="0.25">
      <c r="A84" s="53" t="s">
        <v>187</v>
      </c>
      <c r="B84" s="64" t="s">
        <v>188</v>
      </c>
      <c r="C84" s="344">
        <f>+'3 Adók és tám'!D83</f>
        <v>215870613</v>
      </c>
      <c r="D84" s="344"/>
      <c r="E84" s="345">
        <f t="shared" si="25"/>
        <v>215870613</v>
      </c>
      <c r="F84" s="24">
        <f>+'3 Adók és tám'!E83</f>
        <v>64273664</v>
      </c>
      <c r="G84" s="24"/>
      <c r="H84" s="25">
        <f t="shared" si="26"/>
        <v>64273664</v>
      </c>
      <c r="I84" s="32">
        <v>154759340</v>
      </c>
      <c r="J84" s="32">
        <f t="shared" si="22"/>
        <v>90485676</v>
      </c>
    </row>
    <row r="85" spans="1:10" x14ac:dyDescent="0.25">
      <c r="A85" s="53" t="s">
        <v>189</v>
      </c>
      <c r="B85" s="64" t="s">
        <v>190</v>
      </c>
      <c r="C85" s="344">
        <f>+'3 Adók és tám'!D86</f>
        <v>0</v>
      </c>
      <c r="D85" s="344"/>
      <c r="E85" s="345">
        <f t="shared" si="25"/>
        <v>0</v>
      </c>
      <c r="F85" s="24">
        <f>+'3 Adók és tám'!E86</f>
        <v>1076510</v>
      </c>
      <c r="G85" s="24"/>
      <c r="H85" s="25">
        <f t="shared" si="26"/>
        <v>1076510</v>
      </c>
      <c r="I85" s="32">
        <v>1076510</v>
      </c>
      <c r="J85" s="32">
        <f t="shared" si="22"/>
        <v>0</v>
      </c>
    </row>
    <row r="86" spans="1:10" x14ac:dyDescent="0.25">
      <c r="A86" s="56" t="s">
        <v>191</v>
      </c>
      <c r="B86" s="65" t="s">
        <v>192</v>
      </c>
      <c r="C86" s="345">
        <f t="shared" ref="C86:I86" si="27">SUM(C80:C85)</f>
        <v>1184624125</v>
      </c>
      <c r="D86" s="345">
        <f t="shared" si="27"/>
        <v>0</v>
      </c>
      <c r="E86" s="345">
        <f t="shared" si="27"/>
        <v>1184624125</v>
      </c>
      <c r="F86" s="25">
        <f t="shared" si="27"/>
        <v>1170423487</v>
      </c>
      <c r="G86" s="25">
        <f t="shared" si="27"/>
        <v>0</v>
      </c>
      <c r="H86" s="25">
        <f t="shared" si="27"/>
        <v>1170423487</v>
      </c>
      <c r="I86" s="25">
        <f t="shared" si="27"/>
        <v>1260909163</v>
      </c>
      <c r="J86" s="32">
        <f t="shared" si="22"/>
        <v>90485676</v>
      </c>
    </row>
    <row r="87" spans="1:10" x14ac:dyDescent="0.25">
      <c r="A87" s="53" t="s">
        <v>193</v>
      </c>
      <c r="B87" s="64" t="s">
        <v>194</v>
      </c>
      <c r="C87" s="344">
        <f>+'7 Önk'!D69+'8 PH'!D69+'9 VGIG'!D69+'10 Járób'!D69+'11 Szoci'!D69+'12 Ovi'!D69+'13 Művház'!D69+'14 Könyvt'!D69</f>
        <v>0</v>
      </c>
      <c r="D87" s="344">
        <f>+'7 Önk'!E69+'8 PH'!E69+'9 VGIG'!E69+'10 Járób'!E69+'11 Szoci'!E69+'12 Ovi'!E69+'13 Művház'!E69+'14 Könyvt'!E69</f>
        <v>0</v>
      </c>
      <c r="E87" s="345">
        <f>+D87+C87</f>
        <v>0</v>
      </c>
      <c r="F87" s="24">
        <f>+'7 Önk'!G69+'8 PH'!G69+'9 VGIG'!G69+'10 Járób'!G69+'11 Szoci'!G69+'12 Ovi'!G69+'13 Művház'!G69+'14 Könyvt'!G69</f>
        <v>0</v>
      </c>
      <c r="G87" s="24">
        <f>+'7 Önk'!H69+'8 PH'!H69+'9 VGIG'!H69+'10 Járób'!H69+'11 Szoci'!H69+'12 Ovi'!H69+'13 Művház'!H69+'14 Könyvt'!H69</f>
        <v>0</v>
      </c>
      <c r="H87" s="25">
        <f>+G87+F87</f>
        <v>0</v>
      </c>
      <c r="J87" s="32">
        <f t="shared" si="22"/>
        <v>0</v>
      </c>
    </row>
    <row r="88" spans="1:10" x14ac:dyDescent="0.25">
      <c r="A88" s="53" t="s">
        <v>195</v>
      </c>
      <c r="B88" s="64" t="s">
        <v>196</v>
      </c>
      <c r="C88" s="344">
        <f>+'7 Önk'!D70+'8 PH'!D70+'9 VGIG'!D70+'10 Járób'!D70+'11 Szoci'!D70+'12 Ovi'!D70+'13 Művház'!D70+'14 Könyvt'!D70</f>
        <v>0</v>
      </c>
      <c r="D88" s="344">
        <f>+'7 Önk'!E70+'8 PH'!E70+'9 VGIG'!E70+'10 Járób'!E70+'11 Szoci'!E70+'12 Ovi'!E70+'13 Művház'!E70+'14 Könyvt'!E70</f>
        <v>0</v>
      </c>
      <c r="E88" s="345">
        <f>+D88+C88</f>
        <v>0</v>
      </c>
      <c r="F88" s="24">
        <f>+'7 Önk'!G70+'8 PH'!G70+'9 VGIG'!G70+'10 Járób'!G70+'11 Szoci'!G70+'12 Ovi'!G70+'13 Művház'!G70+'14 Könyvt'!G70</f>
        <v>0</v>
      </c>
      <c r="G88" s="24">
        <f>+'7 Önk'!H70+'8 PH'!H70+'9 VGIG'!H70+'10 Járób'!H70+'11 Szoci'!H70+'12 Ovi'!H70+'13 Művház'!H70+'14 Könyvt'!H70</f>
        <v>0</v>
      </c>
      <c r="H88" s="25">
        <f>+G88+F88</f>
        <v>0</v>
      </c>
      <c r="J88" s="32">
        <f t="shared" si="22"/>
        <v>0</v>
      </c>
    </row>
    <row r="89" spans="1:10" x14ac:dyDescent="0.25">
      <c r="A89" s="53" t="s">
        <v>197</v>
      </c>
      <c r="B89" s="64" t="s">
        <v>198</v>
      </c>
      <c r="C89" s="344">
        <f>+'7 Önk'!D71+'8 PH'!D71+'9 VGIG'!D71+'10 Járób'!D71+'11 Szoci'!D71+'12 Ovi'!D71+'13 Művház'!D71+'14 Könyvt'!D71</f>
        <v>0</v>
      </c>
      <c r="D89" s="344">
        <f>+'7 Önk'!E71+'8 PH'!E71+'9 VGIG'!E71+'10 Járób'!E71+'11 Szoci'!E71+'12 Ovi'!E71+'13 Művház'!E71+'14 Könyvt'!E71</f>
        <v>0</v>
      </c>
      <c r="E89" s="345">
        <f>+D89+C89</f>
        <v>0</v>
      </c>
      <c r="F89" s="24">
        <f>+'7 Önk'!G71+'8 PH'!G71+'9 VGIG'!G71+'10 Járób'!G71+'11 Szoci'!G71+'12 Ovi'!G71+'13 Művház'!G71+'14 Könyvt'!G71</f>
        <v>0</v>
      </c>
      <c r="G89" s="24">
        <f>+'7 Önk'!H71+'8 PH'!H71+'9 VGIG'!H71+'10 Járób'!H71+'11 Szoci'!H71+'12 Ovi'!H71+'13 Művház'!H71+'14 Könyvt'!H71</f>
        <v>0</v>
      </c>
      <c r="H89" s="25">
        <f>+G89+F89</f>
        <v>0</v>
      </c>
      <c r="J89" s="32">
        <f t="shared" si="22"/>
        <v>0</v>
      </c>
    </row>
    <row r="90" spans="1:10" x14ac:dyDescent="0.25">
      <c r="A90" s="53" t="s">
        <v>199</v>
      </c>
      <c r="B90" s="64" t="s">
        <v>200</v>
      </c>
      <c r="C90" s="344">
        <f>+'7 Önk'!D72+'8 PH'!D72+'9 VGIG'!D72+'10 Járób'!D72+'11 Szoci'!D72+'12 Ovi'!D72+'13 Művház'!D72+'14 Könyvt'!D72</f>
        <v>0</v>
      </c>
      <c r="D90" s="344">
        <f>+'7 Önk'!E72+'8 PH'!E72+'9 VGIG'!E72+'10 Járób'!E72+'11 Szoci'!E72+'12 Ovi'!E72+'13 Művház'!E72+'14 Könyvt'!E72</f>
        <v>0</v>
      </c>
      <c r="E90" s="345">
        <f>+D90+C90</f>
        <v>0</v>
      </c>
      <c r="F90" s="24">
        <f>+'7 Önk'!G72+'8 PH'!G72+'9 VGIG'!G72+'10 Járób'!G72+'11 Szoci'!G72+'12 Ovi'!G72+'13 Művház'!G72+'14 Könyvt'!G72</f>
        <v>0</v>
      </c>
      <c r="G90" s="24">
        <f>+'7 Önk'!H72+'8 PH'!H72+'9 VGIG'!H72+'10 Járób'!H72+'11 Szoci'!H72+'12 Ovi'!H72+'13 Művház'!H72+'14 Könyvt'!H72</f>
        <v>0</v>
      </c>
      <c r="H90" s="25">
        <f>+G90+F90</f>
        <v>0</v>
      </c>
      <c r="J90" s="32">
        <f t="shared" si="22"/>
        <v>0</v>
      </c>
    </row>
    <row r="91" spans="1:10" x14ac:dyDescent="0.25">
      <c r="A91" s="53" t="s">
        <v>201</v>
      </c>
      <c r="B91" s="64" t="s">
        <v>202</v>
      </c>
      <c r="C91" s="344">
        <f>+'7 Önk'!D73+'8 PH'!D73+'9 VGIG'!D73+'10 Járób'!D73+'11 Szoci'!D73+'12 Ovi'!D73+'13 Művház'!D73+'14 Könyvt'!D73+'4 Átvett és Felh bev'!D25</f>
        <v>152287959</v>
      </c>
      <c r="D91" s="344">
        <f>+'7 Önk'!E73+'8 PH'!E73+'9 VGIG'!E73+'10 Járób'!E73+'11 Szoci'!E73+'12 Ovi'!E73+'13 Művház'!E73+'14 Könyvt'!E73+'4 Átvett és Felh bev'!E25</f>
        <v>907856872</v>
      </c>
      <c r="E91" s="345">
        <f>+D91+C91</f>
        <v>1060144831</v>
      </c>
      <c r="F91" s="24">
        <f>+'7 Önk'!G73+'8 PH'!G73+'9 VGIG'!G73+'10 Járób'!G73+'11 Szoci'!G73+'12 Ovi'!G73+'13 Művház'!G73+'14 Könyvt'!G73+'4 Átvett és Felh bev'!F25</f>
        <v>172764668</v>
      </c>
      <c r="G91" s="24">
        <f>+'7 Önk'!H73+'8 PH'!H73+'9 VGIG'!H73+'10 Járób'!H73+'11 Szoci'!H73+'12 Ovi'!H73+'13 Művház'!H73+'14 Könyvt'!H73+'4 Átvett és Felh bev'!G25</f>
        <v>630143983</v>
      </c>
      <c r="H91" s="25">
        <f>+G91+F91</f>
        <v>802908651</v>
      </c>
      <c r="I91" s="32">
        <v>1107908651</v>
      </c>
      <c r="J91" s="32">
        <f t="shared" si="22"/>
        <v>305000000</v>
      </c>
    </row>
    <row r="92" spans="1:10" x14ac:dyDescent="0.25">
      <c r="A92" s="56" t="s">
        <v>203</v>
      </c>
      <c r="B92" s="65" t="s">
        <v>204</v>
      </c>
      <c r="C92" s="345">
        <f t="shared" ref="C92:J92" si="28">+C91+C90+C89+C88+C87+C86</f>
        <v>1336912084</v>
      </c>
      <c r="D92" s="345">
        <f t="shared" si="28"/>
        <v>907856872</v>
      </c>
      <c r="E92" s="345">
        <f t="shared" si="28"/>
        <v>2244768956</v>
      </c>
      <c r="F92" s="25">
        <f t="shared" si="28"/>
        <v>1343188155</v>
      </c>
      <c r="G92" s="25">
        <f t="shared" si="28"/>
        <v>630143983</v>
      </c>
      <c r="H92" s="25">
        <f t="shared" si="28"/>
        <v>1973332138</v>
      </c>
      <c r="I92" s="25">
        <f t="shared" si="28"/>
        <v>2368817814</v>
      </c>
      <c r="J92" s="25">
        <f t="shared" si="28"/>
        <v>395485676</v>
      </c>
    </row>
    <row r="93" spans="1:10" x14ac:dyDescent="0.25">
      <c r="A93" s="56" t="s">
        <v>205</v>
      </c>
      <c r="B93" s="65" t="s">
        <v>206</v>
      </c>
      <c r="C93" s="345">
        <f>+'7 Önk'!D75+'8 PH'!D75+'9 VGIG'!D75+'10 Járób'!D75+'11 Szoci'!D75+'12 Ovi'!D75+'13 Művház'!D75+'14 Könyvt'!D75+'4 Átvett és Felh bev'!D51</f>
        <v>386026269</v>
      </c>
      <c r="D93" s="345">
        <f>+'7 Önk'!E75+'8 PH'!E75+'9 VGIG'!E75+'10 Járób'!E75+'11 Szoci'!E75+'12 Ovi'!E75+'13 Művház'!E75+'14 Könyvt'!E75+'4 Átvett és Felh bev'!E51</f>
        <v>190688493</v>
      </c>
      <c r="E93" s="345">
        <f t="shared" ref="E93:E99" si="29">+D93+C93</f>
        <v>576714762</v>
      </c>
      <c r="F93" s="25">
        <f>+'7 Önk'!G75+'8 PH'!G75+'9 VGIG'!G75+'10 Járób'!G75+'11 Szoci'!G75+'12 Ovi'!G75+'13 Művház'!G75+'14 Könyvt'!G75+'4 Átvett és Felh bev'!F51</f>
        <v>213544317</v>
      </c>
      <c r="G93" s="25">
        <f>+'7 Önk'!H75+'8 PH'!H75+'9 VGIG'!H75+'10 Járób'!H75+'11 Szoci'!H75+'12 Ovi'!H75+'13 Művház'!H75+'14 Könyvt'!H75+'4 Átvett és Felh bev'!G51</f>
        <v>13589493</v>
      </c>
      <c r="H93" s="25">
        <f t="shared" ref="H93:H99" si="30">+G93+F93</f>
        <v>227133810</v>
      </c>
      <c r="I93" s="32">
        <v>577677810</v>
      </c>
      <c r="J93" s="32">
        <f t="shared" si="22"/>
        <v>350544000</v>
      </c>
    </row>
    <row r="94" spans="1:10" x14ac:dyDescent="0.25">
      <c r="A94" s="53" t="s">
        <v>207</v>
      </c>
      <c r="B94" s="64" t="s">
        <v>208</v>
      </c>
      <c r="C94" s="344">
        <f>+'7 Önk'!D76+'8 PH'!D76+'9 VGIG'!D76+'10 Járób'!D76+'11 Szoci'!D76+'12 Ovi'!D76+'13 Művház'!D76+'14 Könyvt'!D76</f>
        <v>0</v>
      </c>
      <c r="D94" s="344">
        <f>+'7 Önk'!E76+'8 PH'!E76+'9 VGIG'!E76+'10 Járób'!E76+'11 Szoci'!E76+'12 Ovi'!E76+'13 Művház'!E76+'14 Könyvt'!E76</f>
        <v>0</v>
      </c>
      <c r="E94" s="345">
        <f t="shared" si="29"/>
        <v>0</v>
      </c>
      <c r="F94" s="24">
        <f>+'7 Önk'!G76+'8 PH'!G76+'9 VGIG'!G76+'10 Járób'!G76+'11 Szoci'!G76+'12 Ovi'!G76+'13 Művház'!G76+'14 Könyvt'!G76</f>
        <v>0</v>
      </c>
      <c r="G94" s="24">
        <f>+'7 Önk'!H76+'8 PH'!H76+'9 VGIG'!H76+'10 Járób'!H76+'11 Szoci'!H76+'12 Ovi'!H76+'13 Művház'!H76+'14 Könyvt'!H76</f>
        <v>0</v>
      </c>
      <c r="H94" s="25">
        <f t="shared" si="30"/>
        <v>0</v>
      </c>
      <c r="J94" s="32">
        <f t="shared" si="22"/>
        <v>0</v>
      </c>
    </row>
    <row r="95" spans="1:10" x14ac:dyDescent="0.25">
      <c r="A95" s="53" t="s">
        <v>209</v>
      </c>
      <c r="B95" s="64" t="s">
        <v>210</v>
      </c>
      <c r="C95" s="344">
        <f>+'7 Önk'!D77+'8 PH'!D77+'9 VGIG'!D77+'10 Járób'!D77+'11 Szoci'!D77+'12 Ovi'!D77+'13 Művház'!D77+'14 Könyvt'!D77</f>
        <v>0</v>
      </c>
      <c r="D95" s="344">
        <f>+'7 Önk'!E77+'8 PH'!E77+'9 VGIG'!E77+'10 Járób'!E77+'11 Szoci'!E77+'12 Ovi'!E77+'13 Művház'!E77+'14 Könyvt'!E77</f>
        <v>0</v>
      </c>
      <c r="E95" s="345">
        <f t="shared" si="29"/>
        <v>0</v>
      </c>
      <c r="F95" s="24">
        <f>+'7 Önk'!G77+'8 PH'!G77+'9 VGIG'!G77+'10 Járób'!G77+'11 Szoci'!G77+'12 Ovi'!G77+'13 Művház'!G77+'14 Könyvt'!G77</f>
        <v>0</v>
      </c>
      <c r="G95" s="24">
        <f>+'7 Önk'!H77+'8 PH'!H77+'9 VGIG'!H77+'10 Járób'!H77+'11 Szoci'!H77+'12 Ovi'!H77+'13 Művház'!H77+'14 Könyvt'!H77</f>
        <v>0</v>
      </c>
      <c r="H95" s="25">
        <f t="shared" si="30"/>
        <v>0</v>
      </c>
      <c r="J95" s="32">
        <f t="shared" si="22"/>
        <v>0</v>
      </c>
    </row>
    <row r="96" spans="1:10" x14ac:dyDescent="0.25">
      <c r="A96" s="53" t="s">
        <v>211</v>
      </c>
      <c r="B96" s="64" t="s">
        <v>212</v>
      </c>
      <c r="C96" s="344">
        <f>+'7 Önk'!D78+'8 PH'!D78+'9 VGIG'!D78+'10 Járób'!D78+'11 Szoci'!D78+'12 Ovi'!D78+'13 Művház'!D78+'14 Könyvt'!D78</f>
        <v>0</v>
      </c>
      <c r="D96" s="344">
        <f>+'7 Önk'!E78+'8 PH'!E78+'9 VGIG'!E78+'10 Járób'!E78+'11 Szoci'!E78+'12 Ovi'!E78+'13 Művház'!E78+'14 Könyvt'!E78</f>
        <v>0</v>
      </c>
      <c r="E96" s="345">
        <f t="shared" si="29"/>
        <v>0</v>
      </c>
      <c r="F96" s="24">
        <f>+'7 Önk'!G78+'8 PH'!G78+'9 VGIG'!G78+'10 Járób'!G78+'11 Szoci'!G78+'12 Ovi'!G78+'13 Művház'!G78+'14 Könyvt'!G78</f>
        <v>0</v>
      </c>
      <c r="G96" s="24">
        <f>+'7 Önk'!H78+'8 PH'!H78+'9 VGIG'!H78+'10 Járób'!H78+'11 Szoci'!H78+'12 Ovi'!H78+'13 Művház'!H78+'14 Könyvt'!H78</f>
        <v>0</v>
      </c>
      <c r="H96" s="25">
        <f t="shared" si="30"/>
        <v>0</v>
      </c>
      <c r="J96" s="32">
        <f t="shared" si="22"/>
        <v>0</v>
      </c>
    </row>
    <row r="97" spans="1:10" x14ac:dyDescent="0.25">
      <c r="A97" s="53" t="s">
        <v>213</v>
      </c>
      <c r="B97" s="64" t="s">
        <v>214</v>
      </c>
      <c r="C97" s="344">
        <f>+'3 Adók és tám'!D13</f>
        <v>113500000</v>
      </c>
      <c r="D97" s="344"/>
      <c r="E97" s="345">
        <f t="shared" si="29"/>
        <v>113500000</v>
      </c>
      <c r="F97" s="24">
        <f>+'3 Adók és tám'!E13</f>
        <v>113500000</v>
      </c>
      <c r="G97" s="24"/>
      <c r="H97" s="25">
        <f t="shared" si="30"/>
        <v>113500000</v>
      </c>
      <c r="I97" s="32">
        <v>113500000</v>
      </c>
      <c r="J97" s="32">
        <f t="shared" si="22"/>
        <v>0</v>
      </c>
    </row>
    <row r="98" spans="1:10" x14ac:dyDescent="0.25">
      <c r="A98" s="53" t="s">
        <v>215</v>
      </c>
      <c r="B98" s="64" t="s">
        <v>216</v>
      </c>
      <c r="C98" s="344">
        <f>+'3 Adók és tám'!D23-D98</f>
        <v>221392106</v>
      </c>
      <c r="D98" s="344">
        <v>97107894</v>
      </c>
      <c r="E98" s="345">
        <f t="shared" si="29"/>
        <v>318500000</v>
      </c>
      <c r="F98" s="24">
        <f>+'3 Adók és tám'!E23-G98</f>
        <v>291912119</v>
      </c>
      <c r="G98" s="24">
        <v>120676881</v>
      </c>
      <c r="H98" s="25">
        <f t="shared" si="30"/>
        <v>412589000</v>
      </c>
      <c r="I98" s="32">
        <v>318500000</v>
      </c>
      <c r="J98" s="32">
        <f t="shared" si="22"/>
        <v>-94089000</v>
      </c>
    </row>
    <row r="99" spans="1:10" x14ac:dyDescent="0.25">
      <c r="A99" s="53" t="s">
        <v>217</v>
      </c>
      <c r="B99" s="64" t="s">
        <v>218</v>
      </c>
      <c r="C99" s="344">
        <f>+'3 Adók és tám'!D34</f>
        <v>500000</v>
      </c>
      <c r="D99" s="344"/>
      <c r="E99" s="345">
        <f t="shared" si="29"/>
        <v>500000</v>
      </c>
      <c r="F99" s="24">
        <f>+'3 Adók és tám'!E34</f>
        <v>500000</v>
      </c>
      <c r="G99" s="24"/>
      <c r="H99" s="25">
        <f t="shared" si="30"/>
        <v>500000</v>
      </c>
      <c r="I99" s="32">
        <v>500000</v>
      </c>
      <c r="J99" s="32">
        <f t="shared" si="22"/>
        <v>0</v>
      </c>
    </row>
    <row r="100" spans="1:10" x14ac:dyDescent="0.25">
      <c r="A100" s="56" t="s">
        <v>219</v>
      </c>
      <c r="B100" s="65" t="s">
        <v>220</v>
      </c>
      <c r="C100" s="345">
        <f t="shared" ref="C100:I100" si="31">SUM(C94:C99)</f>
        <v>335392106</v>
      </c>
      <c r="D100" s="345">
        <f t="shared" si="31"/>
        <v>97107894</v>
      </c>
      <c r="E100" s="345">
        <f t="shared" si="31"/>
        <v>432500000</v>
      </c>
      <c r="F100" s="25">
        <f t="shared" si="31"/>
        <v>405912119</v>
      </c>
      <c r="G100" s="25">
        <f t="shared" si="31"/>
        <v>120676881</v>
      </c>
      <c r="H100" s="25">
        <f t="shared" si="31"/>
        <v>526589000</v>
      </c>
      <c r="I100" s="25">
        <f t="shared" si="31"/>
        <v>432500000</v>
      </c>
      <c r="J100" s="32">
        <f t="shared" si="22"/>
        <v>-94089000</v>
      </c>
    </row>
    <row r="101" spans="1:10" x14ac:dyDescent="0.25">
      <c r="A101" s="66" t="s">
        <v>221</v>
      </c>
      <c r="B101" s="64" t="s">
        <v>222</v>
      </c>
      <c r="C101" s="344">
        <f>+'7 Önk'!D83+'8 PH'!D83+'9 VGIG'!D83+'10 Járób'!D83+'11 Szoci'!D83+'12 Ovi'!D83+'13 Művház'!D83+'14 Könyvt'!D83</f>
        <v>473000</v>
      </c>
      <c r="D101" s="344">
        <f>+'7 Önk'!E83+'8 PH'!E83+'9 VGIG'!E83+'10 Járób'!E83+'11 Szoci'!E83+'12 Ovi'!E83+'13 Művház'!E83+'14 Könyvt'!E83</f>
        <v>571000</v>
      </c>
      <c r="E101" s="345">
        <f t="shared" ref="E101:E111" si="32">+D101+C101</f>
        <v>1044000</v>
      </c>
      <c r="F101" s="24">
        <f>+'7 Önk'!G83+'8 PH'!G83+'9 VGIG'!G83+'10 Járób'!G83+'11 Szoci'!G83+'12 Ovi'!G83+'13 Művház'!G83+'14 Könyvt'!G83</f>
        <v>458659</v>
      </c>
      <c r="G101" s="24">
        <f>+'7 Önk'!H83+'8 PH'!H83+'9 VGIG'!H83+'10 Járób'!H83+'11 Szoci'!H83+'12 Ovi'!H83+'13 Művház'!H83+'14 Könyvt'!H83</f>
        <v>625341</v>
      </c>
      <c r="H101" s="25">
        <f t="shared" ref="H101:H111" si="33">+G101+F101</f>
        <v>1084000</v>
      </c>
      <c r="I101" s="32">
        <v>1084000</v>
      </c>
      <c r="J101" s="32">
        <f t="shared" si="22"/>
        <v>0</v>
      </c>
    </row>
    <row r="102" spans="1:10" x14ac:dyDescent="0.25">
      <c r="A102" s="66" t="s">
        <v>223</v>
      </c>
      <c r="B102" s="64" t="s">
        <v>224</v>
      </c>
      <c r="C102" s="344">
        <f>+'7 Önk'!D84+'8 PH'!D84+'9 VGIG'!D84+'10 Járób'!D84+'11 Szoci'!D84+'12 Ovi'!D84+'13 Művház'!D84+'14 Könyvt'!D84</f>
        <v>57983093</v>
      </c>
      <c r="D102" s="344">
        <f>+'7 Önk'!E84+'8 PH'!E84+'9 VGIG'!E84+'10 Járób'!E84+'11 Szoci'!E84+'12 Ovi'!E84+'13 Művház'!E84+'14 Könyvt'!E84</f>
        <v>206829700</v>
      </c>
      <c r="E102" s="345">
        <f t="shared" si="32"/>
        <v>264812793</v>
      </c>
      <c r="F102" s="24">
        <f>+'7 Önk'!G84+'8 PH'!G84+'9 VGIG'!G84+'10 Járób'!G84+'11 Szoci'!G84+'12 Ovi'!G84+'13 Művház'!G84+'14 Könyvt'!G84</f>
        <v>72411818</v>
      </c>
      <c r="G102" s="24">
        <f>+'7 Önk'!H84+'8 PH'!H84+'9 VGIG'!H84+'10 Járób'!H84+'11 Szoci'!H84+'12 Ovi'!H84+'13 Művház'!H84+'14 Könyvt'!H84</f>
        <v>210387142</v>
      </c>
      <c r="H102" s="25">
        <f t="shared" si="33"/>
        <v>282798960</v>
      </c>
      <c r="I102" s="32">
        <v>282798960</v>
      </c>
      <c r="J102" s="32">
        <f t="shared" si="22"/>
        <v>0</v>
      </c>
    </row>
    <row r="103" spans="1:10" x14ac:dyDescent="0.25">
      <c r="A103" s="66" t="s">
        <v>225</v>
      </c>
      <c r="B103" s="64" t="s">
        <v>226</v>
      </c>
      <c r="C103" s="344">
        <f>+'7 Önk'!D85+'8 PH'!D85+'9 VGIG'!D85+'10 Járób'!D85+'11 Szoci'!D85+'12 Ovi'!D85+'13 Művház'!D85+'14 Könyvt'!D85</f>
        <v>0</v>
      </c>
      <c r="D103" s="344">
        <f>+'7 Önk'!E85+'8 PH'!E85+'9 VGIG'!E85+'10 Járób'!E85+'11 Szoci'!E85+'12 Ovi'!E85+'13 Művház'!E85+'14 Könyvt'!E85</f>
        <v>5621000</v>
      </c>
      <c r="E103" s="345">
        <f t="shared" si="32"/>
        <v>5621000</v>
      </c>
      <c r="F103" s="24">
        <f>+'7 Önk'!G85+'8 PH'!G85+'9 VGIG'!G85+'10 Járób'!G85+'11 Szoci'!G85+'12 Ovi'!G85+'13 Művház'!G85+'14 Könyvt'!G85</f>
        <v>0</v>
      </c>
      <c r="G103" s="24">
        <f>+'7 Önk'!H85+'8 PH'!H85+'9 VGIG'!H85+'10 Járób'!H85+'11 Szoci'!H85+'12 Ovi'!H85+'13 Művház'!H85+'14 Könyvt'!H85</f>
        <v>5621000</v>
      </c>
      <c r="H103" s="25">
        <f t="shared" si="33"/>
        <v>5621000</v>
      </c>
      <c r="I103" s="32">
        <v>5621000</v>
      </c>
      <c r="J103" s="32">
        <f t="shared" si="22"/>
        <v>0</v>
      </c>
    </row>
    <row r="104" spans="1:10" x14ac:dyDescent="0.25">
      <c r="A104" s="66" t="s">
        <v>227</v>
      </c>
      <c r="B104" s="64" t="s">
        <v>228</v>
      </c>
      <c r="C104" s="344">
        <f>+'7 Önk'!D86+'8 PH'!D86+'9 VGIG'!D86+'10 Járób'!D86+'11 Szoci'!D86+'12 Ovi'!D86+'13 Művház'!D86+'14 Könyvt'!D86</f>
        <v>6772999</v>
      </c>
      <c r="D104" s="344">
        <f>+'7 Önk'!E86+'8 PH'!E86+'9 VGIG'!E86+'10 Járób'!E86+'11 Szoci'!E86+'12 Ovi'!E86+'13 Művház'!E86+'14 Könyvt'!E86</f>
        <v>0</v>
      </c>
      <c r="E104" s="345">
        <f t="shared" si="32"/>
        <v>6772999</v>
      </c>
      <c r="F104" s="24">
        <f>+'7 Önk'!G86+'8 PH'!G86+'9 VGIG'!G86+'10 Járób'!G86+'11 Szoci'!G86+'12 Ovi'!G86+'13 Művház'!G86+'14 Könyvt'!G86</f>
        <v>6772999</v>
      </c>
      <c r="G104" s="24">
        <f>+'7 Önk'!H86+'8 PH'!H86+'9 VGIG'!H86+'10 Járób'!H86+'11 Szoci'!H86+'12 Ovi'!H86+'13 Művház'!H86+'14 Könyvt'!H86</f>
        <v>0</v>
      </c>
      <c r="H104" s="25">
        <f t="shared" si="33"/>
        <v>6772999</v>
      </c>
      <c r="I104" s="32">
        <v>6772999</v>
      </c>
      <c r="J104" s="32">
        <f t="shared" si="22"/>
        <v>0</v>
      </c>
    </row>
    <row r="105" spans="1:10" x14ac:dyDescent="0.25">
      <c r="A105" s="66" t="s">
        <v>229</v>
      </c>
      <c r="B105" s="64" t="s">
        <v>230</v>
      </c>
      <c r="C105" s="344">
        <f>+'7 Önk'!D87+'8 PH'!D87+'9 VGIG'!D87+'10 Járób'!D87+'11 Szoci'!D87+'12 Ovi'!D87+'13 Művház'!D87+'14 Könyvt'!D87</f>
        <v>155644540</v>
      </c>
      <c r="D105" s="344">
        <f>+'7 Önk'!E87+'8 PH'!E87+'9 VGIG'!E87+'10 Járób'!E87+'11 Szoci'!E87+'12 Ovi'!E87+'13 Művház'!E87+'14 Könyvt'!E87</f>
        <v>0</v>
      </c>
      <c r="E105" s="345">
        <f t="shared" si="32"/>
        <v>155644540</v>
      </c>
      <c r="F105" s="24">
        <f>+'7 Önk'!G87+'8 PH'!G87+'9 VGIG'!G87+'10 Járób'!G87+'11 Szoci'!G87+'12 Ovi'!G87+'13 Művház'!G87+'14 Könyvt'!G87</f>
        <v>155644540</v>
      </c>
      <c r="G105" s="24">
        <f>+'7 Önk'!H87+'8 PH'!H87+'9 VGIG'!H87+'10 Járób'!H87+'11 Szoci'!H87+'12 Ovi'!H87+'13 Művház'!H87+'14 Könyvt'!H87</f>
        <v>0</v>
      </c>
      <c r="H105" s="25">
        <f t="shared" si="33"/>
        <v>155644540</v>
      </c>
      <c r="I105" s="32">
        <v>155644540</v>
      </c>
      <c r="J105" s="32">
        <f t="shared" si="22"/>
        <v>0</v>
      </c>
    </row>
    <row r="106" spans="1:10" x14ac:dyDescent="0.25">
      <c r="A106" s="66" t="s">
        <v>231</v>
      </c>
      <c r="B106" s="64" t="s">
        <v>232</v>
      </c>
      <c r="C106" s="344">
        <f>+'7 Önk'!D88+'8 PH'!D88+'9 VGIG'!D88+'10 Járób'!D88+'11 Szoci'!D88+'12 Ovi'!D88+'13 Művház'!D88+'14 Könyvt'!D88</f>
        <v>18983385</v>
      </c>
      <c r="D106" s="344">
        <f>+'7 Önk'!E88+'8 PH'!E88+'9 VGIG'!E88+'10 Járób'!E88+'11 Szoci'!E88+'12 Ovi'!E88+'13 Művház'!E88+'14 Könyvt'!E88</f>
        <v>28418600</v>
      </c>
      <c r="E106" s="345">
        <f t="shared" si="32"/>
        <v>47401985</v>
      </c>
      <c r="F106" s="24">
        <f>+'7 Önk'!G88+'8 PH'!G88+'9 VGIG'!G88+'10 Járób'!G88+'11 Szoci'!G88+'12 Ovi'!G88+'13 Művház'!G88+'14 Könyvt'!G88</f>
        <v>22717816</v>
      </c>
      <c r="G106" s="24">
        <f>+'7 Önk'!H88+'8 PH'!H88+'9 VGIG'!H88+'10 Járób'!H88+'11 Szoci'!H88+'12 Ovi'!H88+'13 Művház'!H88+'14 Könyvt'!H88</f>
        <v>28418600</v>
      </c>
      <c r="H106" s="25">
        <f t="shared" si="33"/>
        <v>51136416</v>
      </c>
      <c r="I106" s="32">
        <v>51136416</v>
      </c>
      <c r="J106" s="32">
        <f t="shared" si="22"/>
        <v>0</v>
      </c>
    </row>
    <row r="107" spans="1:10" x14ac:dyDescent="0.25">
      <c r="A107" s="66" t="s">
        <v>233</v>
      </c>
      <c r="B107" s="64" t="s">
        <v>234</v>
      </c>
      <c r="C107" s="344">
        <f>+'7 Önk'!D89+'8 PH'!D89+'9 VGIG'!D89+'10 Járób'!D89+'11 Szoci'!D89+'12 Ovi'!D89+'13 Művház'!D89+'14 Könyvt'!D89</f>
        <v>0</v>
      </c>
      <c r="D107" s="344">
        <f>+'7 Önk'!E89+'8 PH'!E89+'9 VGIG'!E89+'10 Járób'!E89+'11 Szoci'!E89+'12 Ovi'!E89+'13 Művház'!E89+'14 Könyvt'!E89</f>
        <v>0</v>
      </c>
      <c r="E107" s="345">
        <f t="shared" si="32"/>
        <v>0</v>
      </c>
      <c r="F107" s="24">
        <f>+'7 Önk'!G89+'8 PH'!G89+'9 VGIG'!G89+'10 Járób'!G89+'11 Szoci'!G89+'12 Ovi'!G89+'13 Művház'!G89+'14 Könyvt'!G89</f>
        <v>0</v>
      </c>
      <c r="G107" s="24">
        <f>+'7 Önk'!H89+'8 PH'!H89+'9 VGIG'!H89+'10 Járób'!H89+'11 Szoci'!H89+'12 Ovi'!H89+'13 Művház'!H89+'14 Könyvt'!H89</f>
        <v>0</v>
      </c>
      <c r="H107" s="25">
        <f t="shared" si="33"/>
        <v>0</v>
      </c>
      <c r="J107" s="32">
        <f t="shared" si="22"/>
        <v>0</v>
      </c>
    </row>
    <row r="108" spans="1:10" x14ac:dyDescent="0.25">
      <c r="A108" s="66" t="s">
        <v>235</v>
      </c>
      <c r="B108" s="64" t="s">
        <v>236</v>
      </c>
      <c r="C108" s="344">
        <f>+'7 Önk'!D90+'8 PH'!D90+'9 VGIG'!D90+'10 Járób'!D90+'11 Szoci'!D90+'12 Ovi'!D90+'13 Művház'!D90+'14 Könyvt'!D90</f>
        <v>0</v>
      </c>
      <c r="D108" s="344">
        <f>+'7 Önk'!E90+'8 PH'!E90+'9 VGIG'!E90+'10 Járób'!E90+'11 Szoci'!E90+'12 Ovi'!E90+'13 Művház'!E90+'14 Könyvt'!E90</f>
        <v>1000</v>
      </c>
      <c r="E108" s="345">
        <f t="shared" si="32"/>
        <v>1000</v>
      </c>
      <c r="F108" s="24">
        <f>+'7 Önk'!G90+'8 PH'!G90+'9 VGIG'!G90+'10 Járób'!G90+'11 Szoci'!G90+'12 Ovi'!G90+'13 Művház'!G90+'14 Könyvt'!G90</f>
        <v>0</v>
      </c>
      <c r="G108" s="24">
        <f>+'7 Önk'!H90+'8 PH'!H90+'9 VGIG'!H90+'10 Járób'!H90+'11 Szoci'!H90+'12 Ovi'!H90+'13 Művház'!H90+'14 Könyvt'!H90</f>
        <v>998</v>
      </c>
      <c r="H108" s="25">
        <f t="shared" si="33"/>
        <v>998</v>
      </c>
      <c r="I108" s="32">
        <v>998</v>
      </c>
      <c r="J108" s="32">
        <f t="shared" si="22"/>
        <v>0</v>
      </c>
    </row>
    <row r="109" spans="1:10" x14ac:dyDescent="0.25">
      <c r="A109" s="66" t="s">
        <v>237</v>
      </c>
      <c r="B109" s="64" t="s">
        <v>238</v>
      </c>
      <c r="C109" s="344">
        <f>+'7 Önk'!D91+'8 PH'!D91+'9 VGIG'!D91+'10 Járób'!D91+'11 Szoci'!D91+'12 Ovi'!D91+'13 Művház'!D91+'14 Könyvt'!D91</f>
        <v>0</v>
      </c>
      <c r="D109" s="344">
        <f>+'7 Önk'!E91+'8 PH'!E91+'9 VGIG'!E91+'10 Járób'!E91+'11 Szoci'!E91+'12 Ovi'!E91+'13 Művház'!E91+'14 Könyvt'!E91</f>
        <v>10000</v>
      </c>
      <c r="E109" s="345">
        <f t="shared" si="32"/>
        <v>10000</v>
      </c>
      <c r="F109" s="24">
        <f>+'7 Önk'!G91+'8 PH'!G91+'9 VGIG'!G91+'10 Járób'!G91+'11 Szoci'!G91+'12 Ovi'!G91+'13 Művház'!G91+'14 Könyvt'!G91</f>
        <v>0</v>
      </c>
      <c r="G109" s="24">
        <f>+'7 Önk'!H91+'8 PH'!H91+'9 VGIG'!H91+'10 Járób'!H91+'11 Szoci'!H91+'12 Ovi'!H91+'13 Művház'!H91+'14 Könyvt'!H91</f>
        <v>10000</v>
      </c>
      <c r="H109" s="25">
        <f t="shared" si="33"/>
        <v>10000</v>
      </c>
      <c r="I109" s="32">
        <v>10000</v>
      </c>
      <c r="J109" s="32">
        <f t="shared" si="22"/>
        <v>0</v>
      </c>
    </row>
    <row r="110" spans="1:10" x14ac:dyDescent="0.25">
      <c r="A110" s="66" t="s">
        <v>239</v>
      </c>
      <c r="B110" s="64" t="s">
        <v>240</v>
      </c>
      <c r="C110" s="344">
        <f>+'7 Önk'!D92+'8 PH'!D92+'9 VGIG'!D92+'10 Járób'!D92+'11 Szoci'!D92+'12 Ovi'!D92+'13 Művház'!D92+'14 Könyvt'!D92</f>
        <v>0</v>
      </c>
      <c r="D110" s="344">
        <f>+'7 Önk'!E92+'8 PH'!E92+'9 VGIG'!E92+'10 Járób'!E92+'11 Szoci'!E92+'12 Ovi'!E92+'13 Művház'!E92+'14 Könyvt'!E92</f>
        <v>0</v>
      </c>
      <c r="E110" s="345">
        <f t="shared" si="32"/>
        <v>0</v>
      </c>
      <c r="F110" s="24">
        <f>+'7 Önk'!G92+'8 PH'!G92+'9 VGIG'!G92+'10 Járób'!G92+'11 Szoci'!G92+'12 Ovi'!G92+'13 Művház'!G92+'14 Könyvt'!G92</f>
        <v>0</v>
      </c>
      <c r="G110" s="24">
        <f>+'7 Önk'!H92+'8 PH'!H92+'9 VGIG'!H92+'10 Járób'!H92+'11 Szoci'!H92+'12 Ovi'!H92+'13 Művház'!H92+'14 Könyvt'!H92</f>
        <v>0</v>
      </c>
      <c r="H110" s="25">
        <f t="shared" si="33"/>
        <v>0</v>
      </c>
      <c r="J110" s="32">
        <f t="shared" si="22"/>
        <v>0</v>
      </c>
    </row>
    <row r="111" spans="1:10" x14ac:dyDescent="0.25">
      <c r="A111" s="66" t="s">
        <v>241</v>
      </c>
      <c r="B111" s="64" t="s">
        <v>242</v>
      </c>
      <c r="C111" s="344">
        <f>+'7 Önk'!D93+'8 PH'!D93+'9 VGIG'!D93+'10 Járób'!D93+'11 Szoci'!D93+'12 Ovi'!D93+'13 Művház'!D93+'14 Könyvt'!D93</f>
        <v>0</v>
      </c>
      <c r="D111" s="344">
        <f>+'7 Önk'!E93+'8 PH'!E93+'9 VGIG'!E93+'10 Járób'!E93+'11 Szoci'!E93+'12 Ovi'!E93+'13 Művház'!E93+'14 Könyvt'!E93</f>
        <v>0</v>
      </c>
      <c r="E111" s="345">
        <f t="shared" si="32"/>
        <v>0</v>
      </c>
      <c r="F111" s="24">
        <f>+'7 Önk'!G93+'8 PH'!G93+'9 VGIG'!G93+'10 Járób'!G93+'11 Szoci'!G93+'12 Ovi'!G93+'13 Művház'!G93+'14 Könyvt'!G93</f>
        <v>74400</v>
      </c>
      <c r="G111" s="24">
        <f>+'7 Önk'!H93+'8 PH'!H93+'9 VGIG'!H93+'10 Járób'!H93+'11 Szoci'!H93+'12 Ovi'!H93+'13 Művház'!H93+'14 Könyvt'!H93</f>
        <v>752</v>
      </c>
      <c r="H111" s="25">
        <f t="shared" si="33"/>
        <v>75152</v>
      </c>
      <c r="I111" s="32">
        <v>75152</v>
      </c>
      <c r="J111" s="32">
        <f t="shared" si="22"/>
        <v>0</v>
      </c>
    </row>
    <row r="112" spans="1:10" x14ac:dyDescent="0.25">
      <c r="A112" s="57" t="s">
        <v>243</v>
      </c>
      <c r="B112" s="65" t="s">
        <v>244</v>
      </c>
      <c r="C112" s="345">
        <f t="shared" ref="C112:I112" si="34">SUM(C101:C111)</f>
        <v>239857017</v>
      </c>
      <c r="D112" s="345">
        <f t="shared" si="34"/>
        <v>241451300</v>
      </c>
      <c r="E112" s="345">
        <f t="shared" si="34"/>
        <v>481308317</v>
      </c>
      <c r="F112" s="25">
        <f t="shared" si="34"/>
        <v>258080232</v>
      </c>
      <c r="G112" s="25">
        <f t="shared" si="34"/>
        <v>245063833</v>
      </c>
      <c r="H112" s="25">
        <f t="shared" si="34"/>
        <v>503144065</v>
      </c>
      <c r="I112" s="25">
        <f t="shared" si="34"/>
        <v>503144065</v>
      </c>
      <c r="J112" s="32">
        <f t="shared" si="22"/>
        <v>0</v>
      </c>
    </row>
    <row r="113" spans="1:10" x14ac:dyDescent="0.25">
      <c r="A113" s="66" t="s">
        <v>245</v>
      </c>
      <c r="B113" s="64" t="s">
        <v>246</v>
      </c>
      <c r="C113" s="344">
        <f>+'7 Önk'!D95+'8 PH'!D95+'9 VGIG'!D95+'10 Járób'!D95+'11 Szoci'!D95+'12 Ovi'!D95+'13 Művház'!D95+'14 Könyvt'!D95+'4 Átvett és Felh bev'!E71</f>
        <v>0</v>
      </c>
      <c r="D113" s="344">
        <f>+'7 Önk'!E95+'8 PH'!E95+'9 VGIG'!E95+'10 Járób'!E95+'11 Szoci'!E95+'12 Ovi'!E95+'13 Művház'!E95+'14 Könyvt'!E95+'4 Átvett és Felh bev'!F71</f>
        <v>0</v>
      </c>
      <c r="E113" s="345">
        <f>+D113+C113</f>
        <v>0</v>
      </c>
      <c r="F113" s="24">
        <f>+'7 Önk'!G95+'8 PH'!G95+'9 VGIG'!G95+'10 Járób'!G95+'11 Szoci'!G95+'12 Ovi'!G95+'13 Művház'!G95+'14 Könyvt'!G95+'4 Átvett és Felh bev'!F71</f>
        <v>0</v>
      </c>
      <c r="G113" s="24">
        <f>+'7 Önk'!H95+'8 PH'!H95+'9 VGIG'!H95+'10 Járób'!H95+'11 Szoci'!H95+'12 Ovi'!H95+'13 Művház'!H95+'14 Könyvt'!H95+'4 Átvett és Felh bev'!G71</f>
        <v>0</v>
      </c>
      <c r="H113" s="25">
        <f>+G113+F113</f>
        <v>0</v>
      </c>
      <c r="J113" s="32">
        <f t="shared" si="22"/>
        <v>0</v>
      </c>
    </row>
    <row r="114" spans="1:10" x14ac:dyDescent="0.25">
      <c r="A114" s="66" t="s">
        <v>247</v>
      </c>
      <c r="B114" s="64" t="s">
        <v>248</v>
      </c>
      <c r="C114" s="344">
        <f>+'7 Önk'!D96+'8 PH'!D96+'9 VGIG'!D96+'10 Járób'!D96+'11 Szoci'!D96+'12 Ovi'!D96+'13 Művház'!D96+'14 Könyvt'!D96+'4 Átvett és Felh bev'!D77</f>
        <v>59000000</v>
      </c>
      <c r="D114" s="344">
        <f>+'7 Önk'!E96+'8 PH'!E96+'9 VGIG'!E96+'10 Járób'!E96+'11 Szoci'!E96+'12 Ovi'!E96+'13 Művház'!E96+'14 Könyvt'!E96+'4 Átvett és Felh bev'!E77</f>
        <v>0</v>
      </c>
      <c r="E114" s="345">
        <f>+D114+C114</f>
        <v>59000000</v>
      </c>
      <c r="F114" s="24">
        <f>+'7 Önk'!G96+'8 PH'!G96+'9 VGIG'!G96+'10 Járób'!G96+'11 Szoci'!G96+'12 Ovi'!G96+'13 Művház'!G96+'14 Könyvt'!G96+'4 Átvett és Felh bev'!F77</f>
        <v>30000000</v>
      </c>
      <c r="G114" s="24">
        <f>+'7 Önk'!H96+'8 PH'!H96+'9 VGIG'!H96+'10 Járób'!H96+'11 Szoci'!H96+'12 Ovi'!H96+'13 Művház'!H96+'14 Könyvt'!H96+'4 Átvett és Felh bev'!G77</f>
        <v>0</v>
      </c>
      <c r="H114" s="25">
        <f>+G114+F114</f>
        <v>30000000</v>
      </c>
      <c r="I114" s="32">
        <v>59000000</v>
      </c>
      <c r="J114" s="32">
        <f t="shared" si="22"/>
        <v>29000000</v>
      </c>
    </row>
    <row r="115" spans="1:10" x14ac:dyDescent="0.25">
      <c r="A115" s="66" t="s">
        <v>249</v>
      </c>
      <c r="B115" s="64" t="s">
        <v>250</v>
      </c>
      <c r="C115" s="344">
        <f>+'7 Önk'!D97+'8 PH'!D97+'9 VGIG'!D97+'10 Járób'!D97+'11 Szoci'!D97+'12 Ovi'!D97+'13 Művház'!D97+'14 Könyvt'!D97+'4 Átvett és Felh bev'!D80</f>
        <v>0</v>
      </c>
      <c r="D115" s="344">
        <f>+'7 Önk'!E97+'8 PH'!E97+'9 VGIG'!E97+'10 Járób'!E97+'11 Szoci'!E97+'12 Ovi'!E97+'13 Művház'!E97+'14 Könyvt'!E97+'4 Átvett és Felh bev'!E80</f>
        <v>0</v>
      </c>
      <c r="E115" s="345">
        <f>+D115+C115</f>
        <v>0</v>
      </c>
      <c r="F115" s="24">
        <f>+'7 Önk'!G97+'8 PH'!G97+'9 VGIG'!G97+'10 Járób'!G97+'11 Szoci'!G97+'12 Ovi'!G97+'13 Művház'!G97+'14 Könyvt'!G97+'4 Átvett és Felh bev'!F80</f>
        <v>0</v>
      </c>
      <c r="G115" s="24">
        <f>+'7 Önk'!H97+'8 PH'!H97+'9 VGIG'!H97+'10 Járób'!H97+'11 Szoci'!H97+'12 Ovi'!H97+'13 Művház'!H97+'14 Könyvt'!H97+'4 Átvett és Felh bev'!G80</f>
        <v>63500</v>
      </c>
      <c r="H115" s="25">
        <f>+G115+F115</f>
        <v>63500</v>
      </c>
      <c r="I115" s="32">
        <v>63500</v>
      </c>
      <c r="J115" s="32">
        <f t="shared" si="22"/>
        <v>0</v>
      </c>
    </row>
    <row r="116" spans="1:10" x14ac:dyDescent="0.25">
      <c r="A116" s="66" t="s">
        <v>251</v>
      </c>
      <c r="B116" s="64" t="s">
        <v>252</v>
      </c>
      <c r="C116" s="344">
        <f>+'7 Önk'!D98+'8 PH'!D98+'9 VGIG'!D98+'10 Járób'!D98+'11 Szoci'!D98+'12 Ovi'!D98+'13 Művház'!D98+'14 Könyvt'!D98+'4 Átvett és Felh bev'!D83</f>
        <v>0</v>
      </c>
      <c r="D116" s="344">
        <f>+'7 Önk'!E98+'8 PH'!E98+'9 VGIG'!E98+'10 Járób'!E98+'11 Szoci'!E98+'12 Ovi'!E98+'13 Művház'!E98+'14 Könyvt'!E98+'4 Átvett és Felh bev'!E83</f>
        <v>0</v>
      </c>
      <c r="E116" s="345">
        <f>+D116+C116</f>
        <v>0</v>
      </c>
      <c r="F116" s="24">
        <f>+'7 Önk'!G98+'8 PH'!G98+'9 VGIG'!G98+'10 Járób'!G98+'11 Szoci'!G98+'12 Ovi'!G98+'13 Művház'!G98+'14 Könyvt'!G98+'4 Átvett és Felh bev'!F83</f>
        <v>0</v>
      </c>
      <c r="G116" s="24">
        <f>+'7 Önk'!H98+'8 PH'!H98+'9 VGIG'!H98+'10 Járób'!H98+'11 Szoci'!H98+'12 Ovi'!H98+'13 Művház'!H98+'14 Könyvt'!H98+'4 Átvett és Felh bev'!G83</f>
        <v>0</v>
      </c>
      <c r="H116" s="25">
        <f>+G116+F116</f>
        <v>0</v>
      </c>
      <c r="J116" s="32">
        <f t="shared" si="22"/>
        <v>0</v>
      </c>
    </row>
    <row r="117" spans="1:10" x14ac:dyDescent="0.25">
      <c r="A117" s="66" t="s">
        <v>253</v>
      </c>
      <c r="B117" s="64" t="s">
        <v>254</v>
      </c>
      <c r="C117" s="344">
        <f>+'7 Önk'!D99+'8 PH'!D99+'9 VGIG'!D99+'10 Járób'!D99+'11 Szoci'!D99+'12 Ovi'!D99+'13 Művház'!D99+'14 Könyvt'!D99+'4 Átvett és Felh bev'!D86</f>
        <v>0</v>
      </c>
      <c r="D117" s="344">
        <f>+'7 Önk'!E99+'8 PH'!E99+'9 VGIG'!E99+'10 Járób'!E99+'11 Szoci'!E99+'12 Ovi'!E99+'13 Művház'!E99+'14 Könyvt'!E99+'4 Átvett és Felh bev'!E86</f>
        <v>0</v>
      </c>
      <c r="E117" s="345">
        <f>+D117+C117</f>
        <v>0</v>
      </c>
      <c r="F117" s="24">
        <f>+'7 Önk'!G99+'8 PH'!G99+'9 VGIG'!G99+'10 Járób'!G99+'11 Szoci'!G99+'12 Ovi'!G99+'13 Művház'!G99+'14 Könyvt'!G99+'4 Átvett és Felh bev'!F86</f>
        <v>0</v>
      </c>
      <c r="G117" s="24">
        <f>+'7 Önk'!H99+'8 PH'!H99+'9 VGIG'!H99+'10 Járób'!H99+'11 Szoci'!H99+'12 Ovi'!H99+'13 Művház'!H99+'14 Könyvt'!H99+'4 Átvett és Felh bev'!G86</f>
        <v>0</v>
      </c>
      <c r="H117" s="25">
        <f>+G117+F117</f>
        <v>0</v>
      </c>
      <c r="J117" s="32">
        <f t="shared" si="22"/>
        <v>0</v>
      </c>
    </row>
    <row r="118" spans="1:10" x14ac:dyDescent="0.25">
      <c r="A118" s="56" t="s">
        <v>255</v>
      </c>
      <c r="B118" s="65" t="s">
        <v>256</v>
      </c>
      <c r="C118" s="345">
        <f t="shared" ref="C118:I118" si="35">SUM(C113:C117)</f>
        <v>59000000</v>
      </c>
      <c r="D118" s="345">
        <f t="shared" si="35"/>
        <v>0</v>
      </c>
      <c r="E118" s="345">
        <f t="shared" si="35"/>
        <v>59000000</v>
      </c>
      <c r="F118" s="25">
        <f t="shared" si="35"/>
        <v>30000000</v>
      </c>
      <c r="G118" s="25">
        <f t="shared" si="35"/>
        <v>63500</v>
      </c>
      <c r="H118" s="25">
        <f t="shared" si="35"/>
        <v>30063500</v>
      </c>
      <c r="I118" s="25">
        <f t="shared" si="35"/>
        <v>59063500</v>
      </c>
      <c r="J118" s="32">
        <f t="shared" si="22"/>
        <v>29000000</v>
      </c>
    </row>
    <row r="119" spans="1:10" x14ac:dyDescent="0.25">
      <c r="A119" s="56" t="s">
        <v>257</v>
      </c>
      <c r="B119" s="65" t="s">
        <v>258</v>
      </c>
      <c r="C119" s="344">
        <f>+'7 Önk'!D101+'8 PH'!D101+'9 VGIG'!D101+'10 Járób'!D101+'11 Szoci'!D101+'12 Ovi'!D101+'13 Művház'!D101+'14 Könyvt'!D101</f>
        <v>22482500</v>
      </c>
      <c r="D119" s="344">
        <f>+'7 Önk'!E101+'8 PH'!E101+'9 VGIG'!E101+'10 Járób'!E101+'11 Szoci'!E101+'12 Ovi'!E101+'13 Művház'!E101+'14 Könyvt'!E101</f>
        <v>0</v>
      </c>
      <c r="E119" s="345">
        <f t="shared" ref="E119:E124" si="36">+D119+C119</f>
        <v>22482500</v>
      </c>
      <c r="F119" s="24">
        <f>+'7 Önk'!G101+'8 PH'!G101+'9 VGIG'!G101+'10 Járób'!G101+'11 Szoci'!G101+'12 Ovi'!G101+'13 Művház'!G101+'14 Könyvt'!G101</f>
        <v>35208149</v>
      </c>
      <c r="G119" s="24">
        <f>+'7 Önk'!H101+'8 PH'!H101+'9 VGIG'!H101+'10 Járób'!H101+'11 Szoci'!H101+'12 Ovi'!H101+'13 Művház'!H101+'14 Könyvt'!H101</f>
        <v>0</v>
      </c>
      <c r="H119" s="25">
        <f t="shared" ref="H119:H124" si="37">+G119+F119</f>
        <v>35208149</v>
      </c>
      <c r="I119" s="32">
        <v>35208149</v>
      </c>
      <c r="J119" s="32">
        <f t="shared" si="22"/>
        <v>0</v>
      </c>
    </row>
    <row r="120" spans="1:10" x14ac:dyDescent="0.25">
      <c r="A120" s="66" t="s">
        <v>259</v>
      </c>
      <c r="B120" s="64" t="s">
        <v>260</v>
      </c>
      <c r="C120" s="344">
        <f>+'7 Önk'!D102+'8 PH'!D102+'9 VGIG'!D102+'10 Járób'!D102+'11 Szoci'!D102+'12 Ovi'!D102+'13 Művház'!D102+'14 Könyvt'!D102</f>
        <v>0</v>
      </c>
      <c r="D120" s="344">
        <f>+'7 Önk'!E102+'8 PH'!E102+'9 VGIG'!E102+'10 Járób'!E102+'11 Szoci'!E102+'12 Ovi'!E102+'13 Művház'!E102+'14 Könyvt'!E102</f>
        <v>0</v>
      </c>
      <c r="E120" s="345">
        <f t="shared" si="36"/>
        <v>0</v>
      </c>
      <c r="F120" s="24">
        <f>+'7 Önk'!G102+'8 PH'!G102+'9 VGIG'!G102+'10 Járób'!G102+'11 Szoci'!G102+'12 Ovi'!G102+'13 Művház'!G102+'14 Könyvt'!G102</f>
        <v>0</v>
      </c>
      <c r="G120" s="24">
        <f>+'7 Önk'!H102+'8 PH'!H102+'9 VGIG'!H102+'10 Járób'!H102+'11 Szoci'!H102+'12 Ovi'!H102+'13 Művház'!H102+'14 Könyvt'!H102</f>
        <v>0</v>
      </c>
      <c r="H120" s="25">
        <f t="shared" si="37"/>
        <v>0</v>
      </c>
      <c r="J120" s="32">
        <f t="shared" si="22"/>
        <v>0</v>
      </c>
    </row>
    <row r="121" spans="1:10" x14ac:dyDescent="0.25">
      <c r="A121" s="53" t="s">
        <v>261</v>
      </c>
      <c r="B121" s="64" t="s">
        <v>262</v>
      </c>
      <c r="C121" s="344">
        <f>+'7 Önk'!D103+'8 PH'!D103+'9 VGIG'!D103+'10 Járób'!D103+'11 Szoci'!D103+'12 Ovi'!D103+'13 Művház'!D103+'14 Könyvt'!D103</f>
        <v>0</v>
      </c>
      <c r="D121" s="344">
        <f>+'7 Önk'!E103+'8 PH'!E103+'9 VGIG'!E103+'10 Járób'!E103+'11 Szoci'!E103+'12 Ovi'!E103+'13 Művház'!E103+'14 Könyvt'!E103</f>
        <v>0</v>
      </c>
      <c r="E121" s="345">
        <f t="shared" si="36"/>
        <v>0</v>
      </c>
      <c r="F121" s="24">
        <f>+'7 Önk'!G103+'8 PH'!G103+'9 VGIG'!G103+'10 Járób'!G103+'11 Szoci'!G103+'12 Ovi'!G103+'13 Művház'!G103+'14 Könyvt'!G103</f>
        <v>0</v>
      </c>
      <c r="G121" s="24">
        <f>+'7 Önk'!H103+'8 PH'!H103+'9 VGIG'!H103+'10 Járób'!H103+'11 Szoci'!H103+'12 Ovi'!H103+'13 Művház'!H103+'14 Könyvt'!H103</f>
        <v>0</v>
      </c>
      <c r="H121" s="25">
        <f t="shared" si="37"/>
        <v>0</v>
      </c>
      <c r="J121" s="32">
        <f t="shared" si="22"/>
        <v>0</v>
      </c>
    </row>
    <row r="122" spans="1:10" ht="31.5" x14ac:dyDescent="0.25">
      <c r="A122" s="66" t="s">
        <v>263</v>
      </c>
      <c r="B122" s="64" t="s">
        <v>264</v>
      </c>
      <c r="C122" s="344">
        <f>+'7 Önk'!D104+'8 PH'!D104+'9 VGIG'!D104+'10 Járób'!D104+'11 Szoci'!D104+'12 Ovi'!D104+'13 Művház'!D104+'14 Könyvt'!D104</f>
        <v>0</v>
      </c>
      <c r="D122" s="344">
        <f>+'7 Önk'!E104+'8 PH'!E104+'9 VGIG'!E104+'10 Járób'!E104+'11 Szoci'!E104+'12 Ovi'!E104+'13 Művház'!E104+'14 Könyvt'!E104</f>
        <v>0</v>
      </c>
      <c r="E122" s="345">
        <f t="shared" si="36"/>
        <v>0</v>
      </c>
      <c r="F122" s="24">
        <f>+'7 Önk'!G104+'8 PH'!G104+'9 VGIG'!G104+'10 Járób'!G104+'11 Szoci'!G104+'12 Ovi'!G104+'13 Művház'!G104+'14 Könyvt'!G104</f>
        <v>0</v>
      </c>
      <c r="G122" s="24">
        <f>+'7 Önk'!H104+'8 PH'!H104+'9 VGIG'!H104+'10 Járób'!H104+'11 Szoci'!H104+'12 Ovi'!H104+'13 Művház'!H104+'14 Könyvt'!H104</f>
        <v>0</v>
      </c>
      <c r="H122" s="25">
        <f t="shared" si="37"/>
        <v>0</v>
      </c>
      <c r="J122" s="32">
        <f t="shared" si="22"/>
        <v>0</v>
      </c>
    </row>
    <row r="123" spans="1:10" x14ac:dyDescent="0.25">
      <c r="A123" s="66" t="s">
        <v>265</v>
      </c>
      <c r="B123" s="64" t="s">
        <v>266</v>
      </c>
      <c r="C123" s="344">
        <f>+'7 Önk'!D105+'8 PH'!D105+'9 VGIG'!D105+'10 Járób'!D105+'11 Szoci'!D105+'12 Ovi'!D105+'13 Művház'!D105+'14 Könyvt'!D105</f>
        <v>0</v>
      </c>
      <c r="D123" s="344">
        <f>+'7 Önk'!E105+'8 PH'!E105+'9 VGIG'!E105+'10 Járób'!E105+'11 Szoci'!E105+'12 Ovi'!E105+'13 Művház'!E105+'14 Könyvt'!E105</f>
        <v>0</v>
      </c>
      <c r="E123" s="345">
        <f t="shared" si="36"/>
        <v>0</v>
      </c>
      <c r="F123" s="24">
        <f>+'7 Önk'!G105+'8 PH'!G105+'9 VGIG'!G105+'10 Járób'!G105+'11 Szoci'!G105+'12 Ovi'!G105+'13 Művház'!G105+'14 Könyvt'!G105</f>
        <v>0</v>
      </c>
      <c r="G123" s="24">
        <f>+'7 Önk'!H105+'8 PH'!H105+'9 VGIG'!H105+'10 Járób'!H105+'11 Szoci'!H105+'12 Ovi'!H105+'13 Művház'!H105+'14 Könyvt'!H105</f>
        <v>0</v>
      </c>
      <c r="H123" s="25">
        <f t="shared" si="37"/>
        <v>0</v>
      </c>
      <c r="J123" s="32">
        <f t="shared" si="22"/>
        <v>0</v>
      </c>
    </row>
    <row r="124" spans="1:10" x14ac:dyDescent="0.25">
      <c r="A124" s="66" t="s">
        <v>267</v>
      </c>
      <c r="B124" s="64" t="s">
        <v>268</v>
      </c>
      <c r="C124" s="344">
        <f>+'7 Önk'!D106+'8 PH'!D106+'9 VGIG'!D106+'10 Járób'!D106+'11 Szoci'!D106+'12 Ovi'!D106+'13 Művház'!D106+'14 Könyvt'!D106</f>
        <v>29400000</v>
      </c>
      <c r="D124" s="344">
        <f>+'7 Önk'!E106+'8 PH'!E106+'9 VGIG'!E106+'10 Járób'!E106+'11 Szoci'!E106+'12 Ovi'!E106+'13 Művház'!E106+'14 Könyvt'!E106+'4 Átvett és Felh bev'!F63</f>
        <v>0</v>
      </c>
      <c r="E124" s="345">
        <f t="shared" si="36"/>
        <v>29400000</v>
      </c>
      <c r="F124" s="24">
        <f>+'7 Önk'!G106+'8 PH'!G106+'9 VGIG'!G106+'10 Járób'!G106+'11 Szoci'!G106+'12 Ovi'!G106+'13 Művház'!G106+'14 Könyvt'!G106</f>
        <v>29460000</v>
      </c>
      <c r="G124" s="24">
        <f>+'7 Önk'!H106+'8 PH'!H106+'9 VGIG'!H106+'10 Járób'!H106+'11 Szoci'!H106+'12 Ovi'!H106+'13 Művház'!H106+'14 Könyvt'!H106</f>
        <v>0</v>
      </c>
      <c r="H124" s="25">
        <f t="shared" si="37"/>
        <v>29460000</v>
      </c>
      <c r="I124" s="32">
        <v>29460000</v>
      </c>
      <c r="J124" s="32">
        <f t="shared" si="22"/>
        <v>0</v>
      </c>
    </row>
    <row r="125" spans="1:10" x14ac:dyDescent="0.25">
      <c r="A125" s="56" t="s">
        <v>269</v>
      </c>
      <c r="B125" s="65" t="s">
        <v>270</v>
      </c>
      <c r="C125" s="345">
        <f t="shared" ref="C125:H125" si="38">SUM(C120:C124)</f>
        <v>29400000</v>
      </c>
      <c r="D125" s="345">
        <f t="shared" si="38"/>
        <v>0</v>
      </c>
      <c r="E125" s="345">
        <f t="shared" si="38"/>
        <v>29400000</v>
      </c>
      <c r="F125" s="25">
        <f t="shared" si="38"/>
        <v>29460000</v>
      </c>
      <c r="G125" s="25">
        <f t="shared" si="38"/>
        <v>0</v>
      </c>
      <c r="H125" s="25">
        <f t="shared" si="38"/>
        <v>29460000</v>
      </c>
      <c r="I125" s="25">
        <f>SUM(I120:I124)</f>
        <v>29460000</v>
      </c>
      <c r="J125" s="32">
        <f t="shared" si="22"/>
        <v>0</v>
      </c>
    </row>
    <row r="126" spans="1:10" x14ac:dyDescent="0.25">
      <c r="A126" s="78" t="s">
        <v>271</v>
      </c>
      <c r="B126" s="67" t="s">
        <v>272</v>
      </c>
      <c r="C126" s="347">
        <f t="shared" ref="C126:H126" si="39">+C125+C119+C118+C112+C100+C93+C92</f>
        <v>2409069976</v>
      </c>
      <c r="D126" s="347">
        <f t="shared" si="39"/>
        <v>1437104559</v>
      </c>
      <c r="E126" s="347">
        <f t="shared" si="39"/>
        <v>3846174535</v>
      </c>
      <c r="F126" s="69">
        <f t="shared" si="39"/>
        <v>2315392972</v>
      </c>
      <c r="G126" s="69">
        <f t="shared" si="39"/>
        <v>1009537690</v>
      </c>
      <c r="H126" s="69">
        <f t="shared" si="39"/>
        <v>3324930662</v>
      </c>
      <c r="I126" s="69">
        <f>+I125+I119+I118+I112+I100+I93+I92</f>
        <v>4005871338</v>
      </c>
      <c r="J126" s="32">
        <f t="shared" si="22"/>
        <v>680940676</v>
      </c>
    </row>
    <row r="127" spans="1:10" x14ac:dyDescent="0.25">
      <c r="A127" s="79" t="s">
        <v>273</v>
      </c>
      <c r="B127" s="80"/>
      <c r="C127" s="356">
        <f>+C119+C112+C100+C92-C33</f>
        <v>-204436126.49000001</v>
      </c>
      <c r="D127" s="356">
        <f>+D119+D112+D100+D92-D33</f>
        <v>-189323084</v>
      </c>
      <c r="E127" s="356">
        <f>+D127+C127</f>
        <v>-393759210.49000001</v>
      </c>
      <c r="F127" s="81">
        <f>+F119+F112+F100+F92-F33</f>
        <v>-244738809.48999977</v>
      </c>
      <c r="G127" s="81">
        <f>+G119+G112+G100+G92-G33</f>
        <v>-236506238</v>
      </c>
      <c r="H127" s="81">
        <f>+G127+F127</f>
        <v>-481245047.48999977</v>
      </c>
    </row>
    <row r="128" spans="1:10" x14ac:dyDescent="0.25">
      <c r="A128" s="79" t="s">
        <v>274</v>
      </c>
      <c r="B128" s="80"/>
      <c r="C128" s="356">
        <f>+C125+C118+C93-C57</f>
        <v>-1655233659</v>
      </c>
      <c r="D128" s="356">
        <f>+D125+D118+D93-D57</f>
        <v>-501189228</v>
      </c>
      <c r="E128" s="356">
        <f>+D128+C128</f>
        <v>-2156422887</v>
      </c>
      <c r="F128" s="81">
        <f>+F125+F118+F93-F57</f>
        <v>-1637131713</v>
      </c>
      <c r="G128" s="81">
        <f>+G125+G118+G93-G57</f>
        <v>-483085753</v>
      </c>
      <c r="H128" s="81">
        <f>+G128+F128</f>
        <v>-2120217466</v>
      </c>
    </row>
    <row r="129" spans="1:10" x14ac:dyDescent="0.25">
      <c r="A129" s="71" t="s">
        <v>275</v>
      </c>
      <c r="B129" s="53" t="s">
        <v>276</v>
      </c>
      <c r="C129" s="344">
        <f>+'17 hitelek'!D55</f>
        <v>0</v>
      </c>
      <c r="D129" s="344">
        <f>+'17 hitelek'!E55</f>
        <v>0</v>
      </c>
      <c r="E129" s="345">
        <f>+D129+C129</f>
        <v>0</v>
      </c>
      <c r="F129" s="24">
        <f>+'17 hitelek'!F55</f>
        <v>0</v>
      </c>
      <c r="G129" s="24">
        <f>+'17 hitelek'!G55</f>
        <v>0</v>
      </c>
      <c r="H129" s="25">
        <f>+G129+F129</f>
        <v>0</v>
      </c>
    </row>
    <row r="130" spans="1:10" x14ac:dyDescent="0.25">
      <c r="A130" s="66" t="s">
        <v>277</v>
      </c>
      <c r="B130" s="53" t="s">
        <v>278</v>
      </c>
      <c r="C130" s="344">
        <f>+'17 hitelek'!D58</f>
        <v>0</v>
      </c>
      <c r="D130" s="344">
        <f>+'17 hitelek'!E58</f>
        <v>0</v>
      </c>
      <c r="E130" s="345">
        <f>+D130+C130</f>
        <v>0</v>
      </c>
      <c r="F130" s="24">
        <f>+'17 hitelek'!F58</f>
        <v>0</v>
      </c>
      <c r="G130" s="24">
        <f>+'17 hitelek'!G58</f>
        <v>0</v>
      </c>
      <c r="H130" s="25">
        <f>+G130+F130</f>
        <v>0</v>
      </c>
    </row>
    <row r="131" spans="1:10" x14ac:dyDescent="0.25">
      <c r="A131" s="71" t="s">
        <v>279</v>
      </c>
      <c r="B131" s="53" t="s">
        <v>280</v>
      </c>
      <c r="C131" s="344">
        <f>+'17 hitelek'!D60</f>
        <v>88500000</v>
      </c>
      <c r="D131" s="344">
        <f>+'17 hitelek'!E60</f>
        <v>0</v>
      </c>
      <c r="E131" s="345">
        <f>+D131+C131</f>
        <v>88500000</v>
      </c>
      <c r="F131" s="24">
        <f>+'17 hitelek'!F60</f>
        <v>88500000</v>
      </c>
      <c r="G131" s="24">
        <f>+'17 hitelek'!G60</f>
        <v>0</v>
      </c>
      <c r="H131" s="25">
        <f>+G131+F131</f>
        <v>88500000</v>
      </c>
      <c r="I131" s="32">
        <v>88500000</v>
      </c>
      <c r="J131" s="32">
        <f t="shared" si="22"/>
        <v>0</v>
      </c>
    </row>
    <row r="132" spans="1:10" x14ac:dyDescent="0.25">
      <c r="A132" s="57" t="s">
        <v>281</v>
      </c>
      <c r="B132" s="56" t="s">
        <v>282</v>
      </c>
      <c r="C132" s="345">
        <f t="shared" ref="C132:I132" si="40">SUM(C129:C131)</f>
        <v>88500000</v>
      </c>
      <c r="D132" s="345">
        <f t="shared" si="40"/>
        <v>0</v>
      </c>
      <c r="E132" s="345">
        <f t="shared" si="40"/>
        <v>88500000</v>
      </c>
      <c r="F132" s="25">
        <f t="shared" si="40"/>
        <v>88500000</v>
      </c>
      <c r="G132" s="25">
        <f t="shared" si="40"/>
        <v>0</v>
      </c>
      <c r="H132" s="25">
        <f t="shared" si="40"/>
        <v>88500000</v>
      </c>
      <c r="I132" s="25">
        <f t="shared" si="40"/>
        <v>88500000</v>
      </c>
    </row>
    <row r="133" spans="1:10" hidden="1" x14ac:dyDescent="0.25">
      <c r="A133" s="66" t="s">
        <v>283</v>
      </c>
      <c r="B133" s="53" t="s">
        <v>284</v>
      </c>
      <c r="C133" s="344"/>
      <c r="D133" s="344"/>
      <c r="E133" s="345">
        <f>+D133+C133</f>
        <v>0</v>
      </c>
      <c r="F133" s="24"/>
      <c r="G133" s="24"/>
      <c r="H133" s="25">
        <f>+G133+F133</f>
        <v>0</v>
      </c>
    </row>
    <row r="134" spans="1:10" hidden="1" x14ac:dyDescent="0.25">
      <c r="A134" s="71" t="s">
        <v>285</v>
      </c>
      <c r="B134" s="53" t="s">
        <v>286</v>
      </c>
      <c r="C134" s="344"/>
      <c r="D134" s="344"/>
      <c r="E134" s="345">
        <f>+D134+C134</f>
        <v>0</v>
      </c>
      <c r="F134" s="24"/>
      <c r="G134" s="24"/>
      <c r="H134" s="25">
        <f>+G134+F134</f>
        <v>0</v>
      </c>
    </row>
    <row r="135" spans="1:10" hidden="1" x14ac:dyDescent="0.25">
      <c r="A135" s="66" t="s">
        <v>287</v>
      </c>
      <c r="B135" s="53" t="s">
        <v>288</v>
      </c>
      <c r="C135" s="344"/>
      <c r="D135" s="344"/>
      <c r="E135" s="345">
        <f>+D135+C135</f>
        <v>0</v>
      </c>
      <c r="F135" s="24"/>
      <c r="G135" s="24"/>
      <c r="H135" s="25">
        <f>+G135+F135</f>
        <v>0</v>
      </c>
    </row>
    <row r="136" spans="1:10" hidden="1" x14ac:dyDescent="0.25">
      <c r="A136" s="71" t="s">
        <v>289</v>
      </c>
      <c r="B136" s="53" t="s">
        <v>290</v>
      </c>
      <c r="C136" s="344"/>
      <c r="D136" s="344"/>
      <c r="E136" s="345">
        <f>+D136+C136</f>
        <v>0</v>
      </c>
      <c r="F136" s="24"/>
      <c r="G136" s="24"/>
      <c r="H136" s="25">
        <f>+G136+F136</f>
        <v>0</v>
      </c>
    </row>
    <row r="137" spans="1:10" x14ac:dyDescent="0.25">
      <c r="A137" s="73" t="s">
        <v>291</v>
      </c>
      <c r="B137" s="56" t="s">
        <v>292</v>
      </c>
      <c r="C137" s="345">
        <f t="shared" ref="C137:H137" si="41">SUM(C133:C136)</f>
        <v>0</v>
      </c>
      <c r="D137" s="345">
        <f t="shared" si="41"/>
        <v>0</v>
      </c>
      <c r="E137" s="345">
        <f t="shared" si="41"/>
        <v>0</v>
      </c>
      <c r="F137" s="25">
        <f t="shared" si="41"/>
        <v>0</v>
      </c>
      <c r="G137" s="25">
        <f t="shared" si="41"/>
        <v>0</v>
      </c>
      <c r="H137" s="25">
        <f t="shared" si="41"/>
        <v>0</v>
      </c>
    </row>
    <row r="138" spans="1:10" x14ac:dyDescent="0.25">
      <c r="A138" s="53" t="s">
        <v>293</v>
      </c>
      <c r="B138" s="53" t="s">
        <v>294</v>
      </c>
      <c r="C138" s="344">
        <f>+'7 Önk'!D113+'8 PH'!D113+'9 VGIG'!D113+'10 Járób'!D113+'11 Szoci'!D113+'12 Ovi'!D113+'13 Művház'!D113+'14 Könyvt'!D113+'19 EU projektek'!D113</f>
        <v>111475428</v>
      </c>
      <c r="D138" s="344">
        <f>+'7 Önk'!E113+'8 PH'!E113+'9 VGIG'!E113+'10 Járób'!E113+'11 Szoci'!E113+'12 Ovi'!E113+'13 Művház'!E113+'14 Könyvt'!E113+'19 EU projektek'!E113</f>
        <v>231779082</v>
      </c>
      <c r="E138" s="345">
        <f>+D138+C138</f>
        <v>343254510</v>
      </c>
      <c r="F138" s="344">
        <f>+'7 Önk'!G113+'8 PH'!G113+'9 VGIG'!G113+'10 Járób'!G113+'11 Szoci'!G113+'12 Ovi'!G113+'13 Művház'!G113+'14 Könyvt'!G113+'19 EU projektek'!G113</f>
        <v>133676165</v>
      </c>
      <c r="G138" s="344">
        <f>+'7 Önk'!H113+'8 PH'!H113+'9 VGIG'!H113+'10 Járób'!H113+'11 Szoci'!H113+'12 Ovi'!H113+'13 Művház'!H113+'14 Könyvt'!H113+'19 EU projektek'!H113</f>
        <v>245679018</v>
      </c>
      <c r="H138" s="25">
        <f>+G138+F138</f>
        <v>379355183</v>
      </c>
    </row>
    <row r="139" spans="1:10" x14ac:dyDescent="0.25">
      <c r="A139" s="53" t="s">
        <v>851</v>
      </c>
      <c r="B139" s="53" t="s">
        <v>294</v>
      </c>
      <c r="C139" s="344">
        <f>+'7 Önk'!D114+'8 PH'!D114+'9 VGIG'!D114+'10 Járób'!D114+'11 Szoci'!D114+'12 Ovi'!D114+'13 Művház'!D114+'14 Könyvt'!D114+'4 Átvett és Felh bev'!D68+'19 EU projektek'!D114</f>
        <v>1784259883</v>
      </c>
      <c r="D139" s="344">
        <f>+'7 Önk'!E114+'8 PH'!E114+'9 VGIG'!E114+'10 Járób'!E114+'11 Szoci'!E114+'12 Ovi'!E114+'13 Művház'!E114+'14 Könyvt'!E114+'4 Átvett és Felh bev'!E68+'19 EU projektek'!E114</f>
        <v>458733230</v>
      </c>
      <c r="E139" s="345">
        <f>+D139+C139</f>
        <v>2242993113</v>
      </c>
      <c r="F139" s="344">
        <f>+'7 Önk'!G114+'8 PH'!G114+'9 VGIG'!G114+'10 Járób'!G114+'11 Szoci'!G114+'12 Ovi'!G114+'13 Művház'!G114+'14 Könyvt'!G114+'4 Átvett és Felh bev'!F68+'19 EU projektek'!G114</f>
        <v>1784259883</v>
      </c>
      <c r="G139" s="344">
        <f>+'7 Önk'!H114+'8 PH'!H114+'9 VGIG'!H114+'10 Járób'!H114+'11 Szoci'!H114+'12 Ovi'!H114+'13 Művház'!H114+'14 Könyvt'!H114+'4 Átvett és Felh bev'!H68+'19 EU projektek'!H114</f>
        <v>473912973</v>
      </c>
      <c r="H139" s="25">
        <f>+G139+F139</f>
        <v>2258172856</v>
      </c>
    </row>
    <row r="140" spans="1:10" hidden="1" x14ac:dyDescent="0.25">
      <c r="A140" s="53" t="s">
        <v>296</v>
      </c>
      <c r="B140" s="53" t="s">
        <v>297</v>
      </c>
      <c r="C140" s="344"/>
      <c r="D140" s="344"/>
      <c r="E140" s="345">
        <f>+D140+C140</f>
        <v>0</v>
      </c>
      <c r="F140" s="24"/>
      <c r="G140" s="24"/>
      <c r="H140" s="25">
        <f>+G140+F140</f>
        <v>0</v>
      </c>
      <c r="J140" s="32">
        <f t="shared" ref="J140:J154" si="42">+I140-H140</f>
        <v>0</v>
      </c>
    </row>
    <row r="141" spans="1:10" hidden="1" x14ac:dyDescent="0.25">
      <c r="A141" s="53" t="s">
        <v>298</v>
      </c>
      <c r="B141" s="53" t="s">
        <v>297</v>
      </c>
      <c r="C141" s="344"/>
      <c r="D141" s="344"/>
      <c r="E141" s="345">
        <f>+D141+C141</f>
        <v>0</v>
      </c>
      <c r="F141" s="24"/>
      <c r="G141" s="24"/>
      <c r="H141" s="25">
        <f>+G141+F141</f>
        <v>0</v>
      </c>
      <c r="J141" s="32">
        <f t="shared" si="42"/>
        <v>0</v>
      </c>
    </row>
    <row r="142" spans="1:10" x14ac:dyDescent="0.25">
      <c r="A142" s="56" t="s">
        <v>299</v>
      </c>
      <c r="B142" s="56" t="s">
        <v>300</v>
      </c>
      <c r="C142" s="345">
        <f t="shared" ref="C142:H142" si="43">SUM(C138:C141)</f>
        <v>1895735311</v>
      </c>
      <c r="D142" s="345">
        <f t="shared" si="43"/>
        <v>690512312</v>
      </c>
      <c r="E142" s="345">
        <f t="shared" si="43"/>
        <v>2586247623</v>
      </c>
      <c r="F142" s="25">
        <f t="shared" si="43"/>
        <v>1917936048</v>
      </c>
      <c r="G142" s="25">
        <f t="shared" si="43"/>
        <v>719591991</v>
      </c>
      <c r="H142" s="25">
        <f t="shared" si="43"/>
        <v>2637528039</v>
      </c>
      <c r="I142" s="32">
        <v>2637528039</v>
      </c>
      <c r="J142" s="32">
        <f t="shared" si="42"/>
        <v>0</v>
      </c>
    </row>
    <row r="143" spans="1:10" x14ac:dyDescent="0.25">
      <c r="A143" s="71" t="s">
        <v>301</v>
      </c>
      <c r="B143" s="53" t="s">
        <v>302</v>
      </c>
      <c r="C143" s="344">
        <f>+'7 Önk'!D118+'8 PH'!D118+'9 VGIG'!D118+'10 Járób'!D118+'11 Szoci'!D118+'12 Ovi'!D118+'13 Művház'!D118+'14 Könyvt'!D118</f>
        <v>0</v>
      </c>
      <c r="D143" s="344">
        <f>+'7 Önk'!E118+'8 PH'!E118+'9 VGIG'!E118+'10 Járób'!E118+'11 Szoci'!E118+'12 Ovi'!E118+'13 Művház'!E118+'14 Könyvt'!E118</f>
        <v>0</v>
      </c>
      <c r="E143" s="345">
        <f>+D143+C143</f>
        <v>0</v>
      </c>
      <c r="F143" s="24">
        <f>+'7 Önk'!G118+'8 PH'!G118+'9 VGIG'!G118+'10 Járób'!G118+'11 Szoci'!G118+'12 Ovi'!G118+'13 Művház'!G118+'14 Könyvt'!G118</f>
        <v>0</v>
      </c>
      <c r="G143" s="24">
        <f>+'7 Önk'!H118+'8 PH'!H118+'9 VGIG'!H118+'10 Járób'!H118+'11 Szoci'!H118+'12 Ovi'!H118+'13 Művház'!H118+'14 Könyvt'!H118</f>
        <v>0</v>
      </c>
      <c r="H143" s="25">
        <f>+G143+F143</f>
        <v>0</v>
      </c>
      <c r="J143" s="32">
        <f t="shared" si="42"/>
        <v>0</v>
      </c>
    </row>
    <row r="144" spans="1:10" x14ac:dyDescent="0.25">
      <c r="A144" s="71" t="s">
        <v>303</v>
      </c>
      <c r="B144" s="53" t="s">
        <v>304</v>
      </c>
      <c r="C144" s="344">
        <f>+'7 Önk'!D119+'8 PH'!D119+'9 VGIG'!D119+'10 Járób'!D119+'11 Szoci'!D119+'12 Ovi'!D119+'13 Művház'!D119+'14 Könyvt'!D119</f>
        <v>0</v>
      </c>
      <c r="D144" s="344">
        <f>+'7 Önk'!E119+'8 PH'!E119+'9 VGIG'!E119+'10 Járób'!E119+'11 Szoci'!E119+'12 Ovi'!E119+'13 Művház'!E119+'14 Könyvt'!E119</f>
        <v>0</v>
      </c>
      <c r="E144" s="345">
        <f>+D144+C144</f>
        <v>0</v>
      </c>
      <c r="F144" s="24">
        <f>+'7 Önk'!G119+'8 PH'!G119+'9 VGIG'!G119+'10 Járób'!G119+'11 Szoci'!G119+'12 Ovi'!G119+'13 Művház'!G119+'14 Könyvt'!G119</f>
        <v>0</v>
      </c>
      <c r="G144" s="24">
        <f>+'7 Önk'!H119+'8 PH'!H119+'9 VGIG'!H119+'10 Járób'!H119+'11 Szoci'!H119+'12 Ovi'!H119+'13 Művház'!H119+'14 Könyvt'!H119</f>
        <v>0</v>
      </c>
      <c r="H144" s="25">
        <f>+G144+F144</f>
        <v>0</v>
      </c>
      <c r="J144" s="32">
        <f t="shared" si="42"/>
        <v>0</v>
      </c>
    </row>
    <row r="145" spans="1:10" x14ac:dyDescent="0.25">
      <c r="A145" s="71" t="s">
        <v>305</v>
      </c>
      <c r="B145" s="53" t="s">
        <v>306</v>
      </c>
      <c r="C145" s="344"/>
      <c r="D145" s="344"/>
      <c r="E145" s="345"/>
      <c r="F145" s="24"/>
      <c r="G145" s="24"/>
      <c r="H145" s="25"/>
      <c r="J145" s="32">
        <f t="shared" si="42"/>
        <v>0</v>
      </c>
    </row>
    <row r="146" spans="1:10" x14ac:dyDescent="0.25">
      <c r="A146" s="71" t="s">
        <v>307</v>
      </c>
      <c r="B146" s="53" t="s">
        <v>308</v>
      </c>
      <c r="C146" s="344">
        <f>+'7 Önk'!D123+'8 PH'!D123+'9 VGIG'!D123+'10 Járób'!D123+'11 Szoci'!D123+'12 Ovi'!D123+'13 Művház'!D123+'14 Könyvt'!D123</f>
        <v>0</v>
      </c>
      <c r="D146" s="344">
        <f>+'7 Önk'!E123+'8 PH'!E123+'9 VGIG'!E123+'10 Járób'!E123+'11 Szoci'!E123+'12 Ovi'!E123+'13 Művház'!E123+'14 Könyvt'!E123</f>
        <v>0</v>
      </c>
      <c r="E146" s="345">
        <f>+D146+C146</f>
        <v>0</v>
      </c>
      <c r="F146" s="24">
        <f>+'7 Önk'!G123+'8 PH'!G123+'9 VGIG'!G123+'10 Járób'!G123+'11 Szoci'!G123+'12 Ovi'!G123+'13 Művház'!G123+'14 Könyvt'!G123</f>
        <v>0</v>
      </c>
      <c r="G146" s="24">
        <f>+'7 Önk'!H123+'8 PH'!H123+'9 VGIG'!H123+'10 Járób'!H123+'11 Szoci'!H123+'12 Ovi'!H123+'13 Művház'!H123+'14 Könyvt'!H123</f>
        <v>0</v>
      </c>
      <c r="H146" s="25">
        <f>+G146+F146</f>
        <v>0</v>
      </c>
      <c r="J146" s="32">
        <f t="shared" si="42"/>
        <v>0</v>
      </c>
    </row>
    <row r="147" spans="1:10" x14ac:dyDescent="0.25">
      <c r="A147" s="66" t="s">
        <v>309</v>
      </c>
      <c r="B147" s="53" t="s">
        <v>310</v>
      </c>
      <c r="C147" s="344">
        <f>+'7 Önk'!D124+'8 PH'!D124+'9 VGIG'!D124+'10 Járób'!D124+'11 Szoci'!D124+'12 Ovi'!D124+'13 Művház'!D124+'14 Könyvt'!D124</f>
        <v>0</v>
      </c>
      <c r="D147" s="344">
        <f>+'7 Önk'!E124+'8 PH'!E124+'9 VGIG'!E124+'10 Járób'!E124+'11 Szoci'!E124+'12 Ovi'!E124+'13 Művház'!E124+'14 Könyvt'!E124</f>
        <v>0</v>
      </c>
      <c r="E147" s="345">
        <f>+D147+C147</f>
        <v>0</v>
      </c>
      <c r="F147" s="24">
        <f>+'7 Önk'!G124+'8 PH'!G124+'9 VGIG'!G124+'10 Járób'!G124+'11 Szoci'!G124+'12 Ovi'!G124+'13 Művház'!G124+'14 Könyvt'!G124</f>
        <v>0</v>
      </c>
      <c r="G147" s="24">
        <f>+'7 Önk'!H124+'8 PH'!H124+'9 VGIG'!H124+'10 Járób'!H124+'11 Szoci'!H124+'12 Ovi'!H124+'13 Művház'!H124+'14 Könyvt'!H124</f>
        <v>0</v>
      </c>
      <c r="H147" s="25">
        <f>+G147+F147</f>
        <v>0</v>
      </c>
      <c r="J147" s="32">
        <f t="shared" si="42"/>
        <v>0</v>
      </c>
    </row>
    <row r="148" spans="1:10" x14ac:dyDescent="0.25">
      <c r="A148" s="66" t="s">
        <v>311</v>
      </c>
      <c r="B148" s="53" t="s">
        <v>312</v>
      </c>
      <c r="C148" s="344">
        <f>+'7 Önk'!D125+'8 PH'!D125+'9 VGIG'!D125+'10 Járób'!D125+'11 Szoci'!D125+'12 Ovi'!D125+'13 Művház'!D125+'14 Könyvt'!D125</f>
        <v>0</v>
      </c>
      <c r="D148" s="344">
        <f>+'7 Önk'!E125+'8 PH'!E125+'9 VGIG'!E125+'10 Járób'!E125+'11 Szoci'!E125+'12 Ovi'!E125+'13 Művház'!E125+'14 Könyvt'!E125</f>
        <v>0</v>
      </c>
      <c r="E148" s="345">
        <f>+D148+C148</f>
        <v>0</v>
      </c>
      <c r="F148" s="24">
        <f>+'7 Önk'!G125+'8 PH'!G125+'9 VGIG'!G125+'10 Járób'!G125+'11 Szoci'!G125+'12 Ovi'!G125+'13 Művház'!G125+'14 Könyvt'!G125</f>
        <v>0</v>
      </c>
      <c r="G148" s="24">
        <f>+'7 Önk'!H125+'8 PH'!H125+'9 VGIG'!H125+'10 Járób'!H125+'11 Szoci'!H125+'12 Ovi'!H125+'13 Művház'!H125+'14 Könyvt'!H125</f>
        <v>0</v>
      </c>
      <c r="H148" s="25">
        <f>+G148+F148</f>
        <v>0</v>
      </c>
      <c r="J148" s="32">
        <f t="shared" si="42"/>
        <v>0</v>
      </c>
    </row>
    <row r="149" spans="1:10" x14ac:dyDescent="0.25">
      <c r="A149" s="57" t="s">
        <v>313</v>
      </c>
      <c r="B149" s="56" t="s">
        <v>314</v>
      </c>
      <c r="C149" s="345">
        <f t="shared" ref="C149:H149" si="44">SUM(C143:C147)+C142+C137+C132</f>
        <v>1984235311</v>
      </c>
      <c r="D149" s="345">
        <f t="shared" si="44"/>
        <v>690512312</v>
      </c>
      <c r="E149" s="345">
        <f t="shared" si="44"/>
        <v>2674747623</v>
      </c>
      <c r="F149" s="25">
        <f t="shared" si="44"/>
        <v>2006436048</v>
      </c>
      <c r="G149" s="25">
        <f t="shared" si="44"/>
        <v>719591991</v>
      </c>
      <c r="H149" s="25">
        <f t="shared" si="44"/>
        <v>2726028039</v>
      </c>
      <c r="I149" s="25">
        <f>SUM(I143:I147)+I142+I137+I132</f>
        <v>2726028039</v>
      </c>
      <c r="J149" s="32">
        <f t="shared" si="42"/>
        <v>0</v>
      </c>
    </row>
    <row r="150" spans="1:10" hidden="1" x14ac:dyDescent="0.25">
      <c r="A150" s="71" t="s">
        <v>315</v>
      </c>
      <c r="B150" s="53" t="s">
        <v>316</v>
      </c>
      <c r="C150" s="344">
        <f>+'7 Önk'!D127+'8 PH'!D127+'9 VGIG'!D127+'10 Járób'!D127+'11 Szoci'!D127+'12 Ovi'!D127+'13 Művház'!D127+'14 Könyvt'!D127</f>
        <v>0</v>
      </c>
      <c r="D150" s="344">
        <f>+'7 Önk'!E127+'8 PH'!E127+'9 VGIG'!E127+'10 Járób'!E127+'11 Szoci'!E127+'12 Ovi'!E127+'13 Művház'!E127+'14 Könyvt'!E127</f>
        <v>0</v>
      </c>
      <c r="E150" s="345">
        <f>+D150+C150</f>
        <v>0</v>
      </c>
      <c r="F150" s="24">
        <f>+'7 Önk'!G127+'8 PH'!G127+'9 VGIG'!G127+'10 Járób'!G127+'11 Szoci'!G127+'12 Ovi'!G127+'13 Művház'!G127+'14 Könyvt'!G127</f>
        <v>0</v>
      </c>
      <c r="G150" s="24">
        <f>+'7 Önk'!H127+'8 PH'!H127+'9 VGIG'!H127+'10 Járób'!H127+'11 Szoci'!H127+'12 Ovi'!H127+'13 Művház'!H127+'14 Könyvt'!H127</f>
        <v>0</v>
      </c>
      <c r="H150" s="25">
        <f t="shared" ref="H150:I152" si="45">+G150+F150</f>
        <v>0</v>
      </c>
      <c r="I150" s="25">
        <f t="shared" si="45"/>
        <v>0</v>
      </c>
      <c r="J150" s="32">
        <f t="shared" si="42"/>
        <v>0</v>
      </c>
    </row>
    <row r="151" spans="1:10" hidden="1" x14ac:dyDescent="0.25">
      <c r="A151" s="66" t="s">
        <v>317</v>
      </c>
      <c r="B151" s="53" t="s">
        <v>318</v>
      </c>
      <c r="C151" s="344">
        <f>+'7 Önk'!D128+'8 PH'!D128+'9 VGIG'!D128+'10 Járób'!D128+'11 Szoci'!D128+'12 Ovi'!D128+'13 Művház'!D128+'14 Könyvt'!D128</f>
        <v>0</v>
      </c>
      <c r="D151" s="344">
        <f>+'7 Önk'!E128+'8 PH'!E128+'9 VGIG'!E128+'10 Járób'!E128+'11 Szoci'!E128+'12 Ovi'!E128+'13 Művház'!E128+'14 Könyvt'!E128</f>
        <v>0</v>
      </c>
      <c r="E151" s="345">
        <f>+D151+C151</f>
        <v>0</v>
      </c>
      <c r="F151" s="24">
        <f>+'7 Önk'!G128+'8 PH'!G128+'9 VGIG'!G128+'10 Járób'!G128+'11 Szoci'!G128+'12 Ovi'!G128+'13 Művház'!G128+'14 Könyvt'!G128</f>
        <v>0</v>
      </c>
      <c r="G151" s="24">
        <f>+'7 Önk'!H128+'8 PH'!H128+'9 VGIG'!H128+'10 Járób'!H128+'11 Szoci'!H128+'12 Ovi'!H128+'13 Művház'!H128+'14 Könyvt'!H128</f>
        <v>0</v>
      </c>
      <c r="H151" s="25">
        <f t="shared" si="45"/>
        <v>0</v>
      </c>
      <c r="I151" s="25">
        <f t="shared" si="45"/>
        <v>0</v>
      </c>
      <c r="J151" s="32">
        <f t="shared" si="42"/>
        <v>0</v>
      </c>
    </row>
    <row r="152" spans="1:10" hidden="1" x14ac:dyDescent="0.25">
      <c r="A152" s="66" t="s">
        <v>319</v>
      </c>
      <c r="B152" s="53" t="s">
        <v>320</v>
      </c>
      <c r="C152" s="344">
        <f>+'7 Önk'!D129+'8 PH'!D129+'9 VGIG'!D129+'10 Járób'!D129+'11 Szoci'!D129+'12 Ovi'!D129+'13 Művház'!D129+'14 Könyvt'!D129</f>
        <v>0</v>
      </c>
      <c r="D152" s="344">
        <f>+'7 Önk'!E129+'8 PH'!E129+'9 VGIG'!E129+'10 Járób'!E129+'11 Szoci'!E129+'12 Ovi'!E129+'13 Művház'!E129+'14 Könyvt'!E129</f>
        <v>0</v>
      </c>
      <c r="E152" s="345">
        <f>+D152+C152</f>
        <v>0</v>
      </c>
      <c r="F152" s="24">
        <f>+'7 Önk'!G129+'8 PH'!G129+'9 VGIG'!G129+'10 Járób'!G129+'11 Szoci'!G129+'12 Ovi'!G129+'13 Művház'!G129+'14 Könyvt'!G129</f>
        <v>0</v>
      </c>
      <c r="G152" s="24">
        <f>+'7 Önk'!H129+'8 PH'!H129+'9 VGIG'!H129+'10 Járób'!H129+'11 Szoci'!H129+'12 Ovi'!H129+'13 Művház'!H129+'14 Könyvt'!H129</f>
        <v>0</v>
      </c>
      <c r="H152" s="25">
        <f t="shared" si="45"/>
        <v>0</v>
      </c>
      <c r="I152" s="25">
        <f t="shared" si="45"/>
        <v>0</v>
      </c>
      <c r="J152" s="32">
        <f t="shared" si="42"/>
        <v>0</v>
      </c>
    </row>
    <row r="153" spans="1:10" x14ac:dyDescent="0.25">
      <c r="A153" s="74" t="s">
        <v>321</v>
      </c>
      <c r="B153" s="75" t="s">
        <v>322</v>
      </c>
      <c r="C153" s="347">
        <f t="shared" ref="C153:H153" si="46">+C151+C150+C149+C152</f>
        <v>1984235311</v>
      </c>
      <c r="D153" s="347">
        <f t="shared" si="46"/>
        <v>690512312</v>
      </c>
      <c r="E153" s="347">
        <f t="shared" si="46"/>
        <v>2674747623</v>
      </c>
      <c r="F153" s="69">
        <f t="shared" si="46"/>
        <v>2006436048</v>
      </c>
      <c r="G153" s="69">
        <f t="shared" si="46"/>
        <v>719591991</v>
      </c>
      <c r="H153" s="69">
        <f t="shared" si="46"/>
        <v>2726028039</v>
      </c>
      <c r="I153" s="69">
        <f>+I151+I150+I149+I152</f>
        <v>2726028039</v>
      </c>
      <c r="J153" s="32">
        <f t="shared" si="42"/>
        <v>0</v>
      </c>
    </row>
    <row r="154" spans="1:10" x14ac:dyDescent="0.25">
      <c r="A154" s="28" t="s">
        <v>323</v>
      </c>
      <c r="B154" s="28" t="s">
        <v>324</v>
      </c>
      <c r="C154" s="351">
        <f t="shared" ref="C154:H154" si="47">+C126+C153</f>
        <v>4393305287</v>
      </c>
      <c r="D154" s="351">
        <f t="shared" si="47"/>
        <v>2127616871</v>
      </c>
      <c r="E154" s="351">
        <f t="shared" si="47"/>
        <v>6520922158</v>
      </c>
      <c r="F154" s="29">
        <f t="shared" si="47"/>
        <v>4321829020</v>
      </c>
      <c r="G154" s="29">
        <f t="shared" si="47"/>
        <v>1729129681</v>
      </c>
      <c r="H154" s="29">
        <f t="shared" si="47"/>
        <v>6050958701</v>
      </c>
      <c r="I154" s="29">
        <f>+I126+I153</f>
        <v>6731899377</v>
      </c>
      <c r="J154" s="32">
        <f t="shared" si="42"/>
        <v>680940676</v>
      </c>
    </row>
    <row r="155" spans="1:10" x14ac:dyDescent="0.25">
      <c r="A155" s="13"/>
      <c r="B155" s="13"/>
      <c r="C155" s="352"/>
      <c r="D155" s="352"/>
      <c r="E155" s="353"/>
      <c r="F155" s="14"/>
      <c r="G155" s="14"/>
      <c r="H155" s="77"/>
    </row>
    <row r="156" spans="1:10" x14ac:dyDescent="0.25">
      <c r="A156" s="26" t="s">
        <v>325</v>
      </c>
      <c r="B156" s="26"/>
      <c r="C156" s="345">
        <f t="shared" ref="C156:H156" si="48">+C126-C58</f>
        <v>-1859669785.4899998</v>
      </c>
      <c r="D156" s="345">
        <f t="shared" si="48"/>
        <v>-690512312</v>
      </c>
      <c r="E156" s="345">
        <f t="shared" si="48"/>
        <v>-2550182097.4899998</v>
      </c>
      <c r="F156" s="25">
        <f t="shared" si="48"/>
        <v>-1881870522.4899998</v>
      </c>
      <c r="G156" s="25">
        <f t="shared" si="48"/>
        <v>-719591991</v>
      </c>
      <c r="H156" s="25">
        <f t="shared" si="48"/>
        <v>-2601462513.4899998</v>
      </c>
    </row>
    <row r="157" spans="1:10" x14ac:dyDescent="0.25">
      <c r="A157" s="26" t="s">
        <v>326</v>
      </c>
      <c r="B157" s="26"/>
      <c r="C157" s="345">
        <f t="shared" ref="C157:H157" si="49">+C153-C75</f>
        <v>1859669785</v>
      </c>
      <c r="D157" s="345">
        <f t="shared" si="49"/>
        <v>690512312</v>
      </c>
      <c r="E157" s="345">
        <f t="shared" si="49"/>
        <v>2550182097</v>
      </c>
      <c r="F157" s="25">
        <f t="shared" si="49"/>
        <v>1881870522</v>
      </c>
      <c r="G157" s="25">
        <f t="shared" si="49"/>
        <v>719591991</v>
      </c>
      <c r="H157" s="25">
        <f t="shared" si="49"/>
        <v>2601462513</v>
      </c>
    </row>
    <row r="158" spans="1:10" x14ac:dyDescent="0.25">
      <c r="A158" s="27"/>
      <c r="B158" s="27"/>
      <c r="C158" s="353"/>
      <c r="D158" s="353"/>
      <c r="E158" s="353"/>
      <c r="F158" s="77"/>
      <c r="G158" s="77"/>
      <c r="H158" s="77"/>
    </row>
    <row r="159" spans="1:10" x14ac:dyDescent="0.25">
      <c r="A159" s="26" t="s">
        <v>327</v>
      </c>
      <c r="B159" s="26"/>
      <c r="C159" s="345">
        <f>+C127+C131+C138-C61-C65</f>
        <v>-129026224.49000001</v>
      </c>
      <c r="D159" s="345">
        <f>+D127+D132+D138-D61</f>
        <v>42455998</v>
      </c>
      <c r="E159" s="345">
        <f>+C159+D159</f>
        <v>-86570226.49000001</v>
      </c>
      <c r="F159" s="25">
        <f>+F127+F131+F138-F61-F65</f>
        <v>-147128170.48999977</v>
      </c>
      <c r="G159" s="25">
        <f>+G127+G132+G138-G61</f>
        <v>9172780</v>
      </c>
      <c r="H159" s="25">
        <f>+F159+G159</f>
        <v>-137955390.48999977</v>
      </c>
    </row>
    <row r="160" spans="1:10" x14ac:dyDescent="0.25">
      <c r="A160" s="26" t="s">
        <v>328</v>
      </c>
      <c r="B160" s="26"/>
      <c r="C160" s="345">
        <f t="shared" ref="C160:H160" si="50">+C128+C139-C59+C129+C130</f>
        <v>129026224</v>
      </c>
      <c r="D160" s="345">
        <f t="shared" si="50"/>
        <v>-42455998</v>
      </c>
      <c r="E160" s="345">
        <f t="shared" si="50"/>
        <v>86570226</v>
      </c>
      <c r="F160" s="25">
        <f t="shared" si="50"/>
        <v>147128170</v>
      </c>
      <c r="G160" s="25">
        <f t="shared" si="50"/>
        <v>-9172780</v>
      </c>
      <c r="H160" s="25">
        <f t="shared" si="50"/>
        <v>137955390</v>
      </c>
    </row>
    <row r="161" spans="1:8" x14ac:dyDescent="0.25">
      <c r="A161" s="13"/>
      <c r="B161" s="13"/>
      <c r="C161" s="352"/>
      <c r="D161" s="352"/>
      <c r="E161" s="353"/>
      <c r="F161" s="14"/>
      <c r="G161" s="14"/>
      <c r="H161" s="77"/>
    </row>
    <row r="162" spans="1:8" x14ac:dyDescent="0.25">
      <c r="A162" s="82" t="s">
        <v>329</v>
      </c>
      <c r="B162" s="13"/>
      <c r="C162" s="352">
        <f t="shared" ref="C162:H162" si="51">+C154-C76</f>
        <v>-0.48999977111816406</v>
      </c>
      <c r="D162" s="352">
        <f t="shared" si="51"/>
        <v>0</v>
      </c>
      <c r="E162" s="352">
        <f t="shared" si="51"/>
        <v>-0.48999977111816406</v>
      </c>
      <c r="F162" s="14">
        <f t="shared" si="51"/>
        <v>-0.48999977111816406</v>
      </c>
      <c r="G162" s="14">
        <f t="shared" si="51"/>
        <v>0</v>
      </c>
      <c r="H162" s="14">
        <f t="shared" si="51"/>
        <v>-0.48999977111816406</v>
      </c>
    </row>
    <row r="163" spans="1:8" x14ac:dyDescent="0.25">
      <c r="A163" s="13"/>
      <c r="B163" s="13"/>
      <c r="C163" s="352"/>
      <c r="D163" s="352"/>
      <c r="E163" s="353"/>
      <c r="F163" s="14"/>
      <c r="G163" s="14"/>
      <c r="H163" s="77"/>
    </row>
    <row r="164" spans="1:8" x14ac:dyDescent="0.25">
      <c r="A164" s="13"/>
      <c r="B164" s="13"/>
      <c r="C164" s="352"/>
      <c r="D164" s="352"/>
      <c r="E164" s="353"/>
      <c r="F164" s="14"/>
      <c r="G164" s="14"/>
      <c r="H164" s="77"/>
    </row>
    <row r="165" spans="1:8" x14ac:dyDescent="0.25">
      <c r="A165" s="13"/>
      <c r="B165" s="13"/>
      <c r="C165" s="352"/>
      <c r="D165" s="352"/>
      <c r="E165" s="353"/>
      <c r="F165" s="14"/>
      <c r="G165" s="14"/>
      <c r="H165" s="77"/>
    </row>
    <row r="166" spans="1:8" x14ac:dyDescent="0.25">
      <c r="A166" s="13"/>
      <c r="B166" s="13"/>
      <c r="C166" s="352"/>
      <c r="D166" s="352"/>
      <c r="E166" s="353"/>
      <c r="F166" s="14"/>
      <c r="G166" s="14"/>
      <c r="H166" s="77"/>
    </row>
    <row r="167" spans="1:8" x14ac:dyDescent="0.25">
      <c r="A167" s="13"/>
      <c r="B167" s="13"/>
      <c r="C167" s="352"/>
      <c r="D167" s="352"/>
      <c r="E167" s="353"/>
      <c r="F167" s="14"/>
      <c r="G167" s="14"/>
      <c r="H167" s="77"/>
    </row>
    <row r="168" spans="1:8" x14ac:dyDescent="0.25">
      <c r="A168" s="13"/>
      <c r="B168" s="13"/>
      <c r="C168" s="352"/>
      <c r="D168" s="352"/>
      <c r="E168" s="353"/>
      <c r="F168" s="14"/>
      <c r="G168" s="14"/>
      <c r="H168" s="77"/>
    </row>
    <row r="169" spans="1:8" x14ac:dyDescent="0.25">
      <c r="A169" s="13"/>
      <c r="B169" s="13"/>
      <c r="C169" s="352"/>
      <c r="D169" s="352"/>
      <c r="E169" s="353"/>
      <c r="F169" s="14"/>
      <c r="G169" s="14"/>
      <c r="H169" s="77"/>
    </row>
    <row r="170" spans="1:8" x14ac:dyDescent="0.25">
      <c r="A170" s="13"/>
      <c r="B170" s="13"/>
      <c r="C170" s="352"/>
      <c r="D170" s="352"/>
      <c r="E170" s="353"/>
      <c r="F170" s="14"/>
      <c r="G170" s="14"/>
      <c r="H170" s="77"/>
    </row>
    <row r="171" spans="1:8" x14ac:dyDescent="0.25">
      <c r="A171" s="13"/>
      <c r="B171" s="13"/>
      <c r="C171" s="352"/>
      <c r="D171" s="352"/>
      <c r="E171" s="353"/>
      <c r="F171" s="14"/>
      <c r="G171" s="14"/>
      <c r="H171" s="77"/>
    </row>
    <row r="172" spans="1:8" x14ac:dyDescent="0.25">
      <c r="A172" s="13"/>
      <c r="B172" s="13"/>
      <c r="C172" s="352"/>
      <c r="D172" s="352"/>
      <c r="E172" s="353"/>
      <c r="F172" s="14"/>
      <c r="G172" s="14"/>
      <c r="H172" s="77"/>
    </row>
    <row r="173" spans="1:8" x14ac:dyDescent="0.25">
      <c r="A173" s="13"/>
      <c r="B173" s="13"/>
      <c r="C173" s="352"/>
      <c r="D173" s="352"/>
      <c r="E173" s="353"/>
      <c r="F173" s="14"/>
      <c r="G173" s="14"/>
      <c r="H173" s="77"/>
    </row>
    <row r="174" spans="1:8" x14ac:dyDescent="0.25">
      <c r="A174" s="13"/>
      <c r="B174" s="13"/>
      <c r="C174" s="352"/>
      <c r="D174" s="352"/>
      <c r="E174" s="353"/>
      <c r="F174" s="14"/>
      <c r="G174" s="14"/>
      <c r="H174" s="77"/>
    </row>
    <row r="175" spans="1:8" x14ac:dyDescent="0.25">
      <c r="A175" s="13"/>
      <c r="B175" s="13"/>
      <c r="C175" s="352"/>
      <c r="D175" s="352"/>
      <c r="E175" s="353"/>
      <c r="F175" s="14"/>
      <c r="G175" s="14"/>
      <c r="H175" s="77"/>
    </row>
    <row r="176" spans="1:8" x14ac:dyDescent="0.25">
      <c r="A176" s="13"/>
      <c r="B176" s="13"/>
      <c r="C176" s="352"/>
      <c r="D176" s="352"/>
      <c r="E176" s="353"/>
      <c r="F176" s="14"/>
      <c r="G176" s="14"/>
      <c r="H176" s="77"/>
    </row>
    <row r="177" spans="1:8" x14ac:dyDescent="0.25">
      <c r="A177" s="13"/>
      <c r="B177" s="13"/>
      <c r="C177" s="352"/>
      <c r="D177" s="352"/>
      <c r="E177" s="353"/>
      <c r="F177" s="14"/>
      <c r="G177" s="14"/>
      <c r="H177" s="77"/>
    </row>
    <row r="178" spans="1:8" x14ac:dyDescent="0.25">
      <c r="A178" s="13"/>
      <c r="B178" s="13"/>
      <c r="C178" s="352"/>
      <c r="D178" s="352"/>
      <c r="E178" s="353"/>
      <c r="F178" s="14"/>
      <c r="G178" s="14"/>
      <c r="H178" s="77"/>
    </row>
    <row r="179" spans="1:8" x14ac:dyDescent="0.25">
      <c r="A179" s="13"/>
      <c r="B179" s="13"/>
      <c r="C179" s="352"/>
      <c r="D179" s="352"/>
      <c r="E179" s="353"/>
      <c r="F179" s="14"/>
      <c r="G179" s="14"/>
      <c r="H179" s="77"/>
    </row>
    <row r="180" spans="1:8" x14ac:dyDescent="0.25">
      <c r="A180" s="13"/>
      <c r="B180" s="13"/>
      <c r="C180" s="352"/>
      <c r="D180" s="352"/>
      <c r="E180" s="353"/>
      <c r="F180" s="14"/>
      <c r="G180" s="14"/>
      <c r="H180" s="77"/>
    </row>
    <row r="181" spans="1:8" x14ac:dyDescent="0.25">
      <c r="A181" s="13"/>
      <c r="B181" s="13"/>
      <c r="C181" s="352"/>
      <c r="D181" s="352"/>
      <c r="E181" s="353"/>
      <c r="F181" s="14"/>
      <c r="G181" s="14"/>
      <c r="H181" s="77"/>
    </row>
    <row r="182" spans="1:8" x14ac:dyDescent="0.25">
      <c r="A182" s="13"/>
      <c r="B182" s="13"/>
      <c r="C182" s="352"/>
      <c r="D182" s="352"/>
      <c r="E182" s="353"/>
      <c r="F182" s="14"/>
      <c r="G182" s="14"/>
      <c r="H182" s="77"/>
    </row>
    <row r="183" spans="1:8" x14ac:dyDescent="0.25">
      <c r="A183" s="13"/>
      <c r="B183" s="13"/>
      <c r="C183" s="352"/>
      <c r="D183" s="352"/>
      <c r="E183" s="353"/>
      <c r="F183" s="14"/>
      <c r="G183" s="14"/>
      <c r="H183" s="77"/>
    </row>
    <row r="184" spans="1:8" x14ac:dyDescent="0.25">
      <c r="A184" s="13"/>
      <c r="B184" s="13"/>
      <c r="C184" s="352"/>
      <c r="D184" s="352"/>
      <c r="E184" s="353"/>
      <c r="F184" s="14"/>
      <c r="G184" s="14"/>
      <c r="H184" s="77"/>
    </row>
    <row r="185" spans="1:8" x14ac:dyDescent="0.25">
      <c r="A185" s="13"/>
      <c r="B185" s="13"/>
      <c r="C185" s="352"/>
      <c r="D185" s="352"/>
      <c r="E185" s="353"/>
      <c r="F185" s="14"/>
      <c r="G185" s="14"/>
      <c r="H185" s="77"/>
    </row>
    <row r="186" spans="1:8" x14ac:dyDescent="0.25">
      <c r="A186" s="13"/>
      <c r="B186" s="13"/>
      <c r="C186" s="352"/>
      <c r="D186" s="352"/>
      <c r="E186" s="353"/>
      <c r="F186" s="14"/>
      <c r="G186" s="14"/>
      <c r="H186" s="77"/>
    </row>
    <row r="187" spans="1:8" x14ac:dyDescent="0.25">
      <c r="A187" s="13"/>
      <c r="B187" s="13"/>
      <c r="C187" s="352"/>
      <c r="D187" s="352"/>
      <c r="E187" s="353"/>
      <c r="F187" s="14"/>
      <c r="G187" s="14"/>
      <c r="H187" s="77"/>
    </row>
    <row r="188" spans="1:8" x14ac:dyDescent="0.25">
      <c r="A188" s="13"/>
      <c r="B188" s="13"/>
      <c r="C188" s="352"/>
      <c r="D188" s="352"/>
      <c r="E188" s="353"/>
      <c r="F188" s="14"/>
      <c r="G188" s="14"/>
      <c r="H188" s="77"/>
    </row>
    <row r="189" spans="1:8" x14ac:dyDescent="0.25">
      <c r="A189" s="13"/>
      <c r="B189" s="13"/>
      <c r="C189" s="352"/>
      <c r="D189" s="352"/>
      <c r="E189" s="353"/>
      <c r="F189" s="14"/>
      <c r="G189" s="14"/>
      <c r="H189" s="77"/>
    </row>
    <row r="190" spans="1:8" x14ac:dyDescent="0.25">
      <c r="A190" s="13"/>
      <c r="B190" s="13"/>
      <c r="C190" s="352"/>
      <c r="D190" s="352"/>
      <c r="E190" s="353"/>
      <c r="F190" s="14"/>
      <c r="G190" s="14"/>
      <c r="H190" s="77"/>
    </row>
    <row r="191" spans="1:8" x14ac:dyDescent="0.25">
      <c r="A191" s="13"/>
      <c r="B191" s="13"/>
      <c r="C191" s="352"/>
      <c r="D191" s="352"/>
      <c r="E191" s="353"/>
      <c r="F191" s="14"/>
      <c r="G191" s="14"/>
      <c r="H191" s="77"/>
    </row>
    <row r="192" spans="1:8" x14ac:dyDescent="0.25">
      <c r="A192" s="13"/>
      <c r="B192" s="13"/>
      <c r="C192" s="352"/>
      <c r="D192" s="352"/>
      <c r="E192" s="353"/>
      <c r="F192" s="14"/>
      <c r="G192" s="14"/>
      <c r="H192" s="77"/>
    </row>
    <row r="193" spans="1:8" x14ac:dyDescent="0.25">
      <c r="A193" s="13"/>
      <c r="B193" s="13"/>
      <c r="C193" s="352"/>
      <c r="D193" s="352"/>
      <c r="E193" s="353"/>
      <c r="F193" s="14"/>
      <c r="G193" s="14"/>
      <c r="H193" s="77"/>
    </row>
    <row r="194" spans="1:8" x14ac:dyDescent="0.25">
      <c r="A194" s="13"/>
      <c r="B194" s="13"/>
      <c r="C194" s="352"/>
      <c r="D194" s="352"/>
      <c r="E194" s="353"/>
      <c r="F194" s="14"/>
      <c r="G194" s="14"/>
      <c r="H194" s="77"/>
    </row>
    <row r="195" spans="1:8" x14ac:dyDescent="0.25">
      <c r="A195" s="13"/>
      <c r="B195" s="13"/>
      <c r="C195" s="352"/>
      <c r="D195" s="352"/>
      <c r="E195" s="353"/>
      <c r="F195" s="14"/>
      <c r="G195" s="14"/>
      <c r="H195" s="77"/>
    </row>
    <row r="196" spans="1:8" x14ac:dyDescent="0.25">
      <c r="A196" s="13"/>
      <c r="B196" s="13"/>
      <c r="C196" s="352"/>
      <c r="D196" s="352"/>
      <c r="E196" s="353"/>
      <c r="F196" s="14"/>
      <c r="G196" s="14"/>
      <c r="H196" s="77"/>
    </row>
    <row r="197" spans="1:8" x14ac:dyDescent="0.25">
      <c r="A197" s="13"/>
      <c r="B197" s="13"/>
      <c r="C197" s="352"/>
      <c r="D197" s="352"/>
      <c r="E197" s="353"/>
      <c r="F197" s="14"/>
      <c r="G197" s="14"/>
      <c r="H197" s="77"/>
    </row>
    <row r="198" spans="1:8" x14ac:dyDescent="0.25">
      <c r="A198" s="13"/>
      <c r="B198" s="13"/>
      <c r="C198" s="352"/>
      <c r="D198" s="352"/>
      <c r="E198" s="353"/>
      <c r="F198" s="14"/>
      <c r="G198" s="14"/>
      <c r="H198" s="77"/>
    </row>
    <row r="199" spans="1:8" x14ac:dyDescent="0.25">
      <c r="A199" s="13"/>
      <c r="B199" s="13"/>
      <c r="C199" s="352"/>
      <c r="D199" s="352"/>
      <c r="E199" s="353"/>
      <c r="F199" s="14"/>
      <c r="G199" s="14"/>
      <c r="H199" s="77"/>
    </row>
    <row r="200" spans="1:8" x14ac:dyDescent="0.25">
      <c r="A200" s="13"/>
      <c r="B200" s="13"/>
      <c r="C200" s="352"/>
      <c r="D200" s="352"/>
      <c r="E200" s="353"/>
      <c r="F200" s="14"/>
      <c r="G200" s="14"/>
      <c r="H200" s="77"/>
    </row>
    <row r="201" spans="1:8" x14ac:dyDescent="0.25">
      <c r="A201" s="13"/>
      <c r="B201" s="13"/>
      <c r="C201" s="352"/>
      <c r="D201" s="352"/>
      <c r="E201" s="353"/>
      <c r="F201" s="14"/>
      <c r="G201" s="14"/>
      <c r="H201" s="77"/>
    </row>
    <row r="202" spans="1:8" x14ac:dyDescent="0.25">
      <c r="A202" s="13"/>
      <c r="B202" s="13"/>
      <c r="C202" s="352"/>
      <c r="D202" s="352"/>
      <c r="E202" s="353"/>
      <c r="F202" s="14"/>
      <c r="G202" s="14"/>
      <c r="H202" s="77"/>
    </row>
    <row r="203" spans="1:8" x14ac:dyDescent="0.25">
      <c r="A203" s="13"/>
      <c r="B203" s="13"/>
      <c r="C203" s="352"/>
      <c r="D203" s="352"/>
      <c r="E203" s="353"/>
      <c r="F203" s="14"/>
      <c r="G203" s="14"/>
      <c r="H203" s="77"/>
    </row>
    <row r="204" spans="1:8" x14ac:dyDescent="0.25">
      <c r="A204" s="13"/>
      <c r="B204" s="13"/>
      <c r="C204" s="352"/>
      <c r="D204" s="352"/>
      <c r="E204" s="353"/>
      <c r="F204" s="14"/>
      <c r="G204" s="14"/>
      <c r="H204" s="77"/>
    </row>
    <row r="205" spans="1:8" x14ac:dyDescent="0.25">
      <c r="A205" s="13"/>
      <c r="B205" s="13"/>
      <c r="C205" s="352"/>
      <c r="D205" s="352"/>
      <c r="E205" s="353"/>
      <c r="F205" s="14"/>
      <c r="G205" s="14"/>
      <c r="H205" s="77"/>
    </row>
    <row r="206" spans="1:8" x14ac:dyDescent="0.25">
      <c r="A206" s="13"/>
      <c r="B206" s="13"/>
      <c r="C206" s="352"/>
      <c r="D206" s="352"/>
      <c r="E206" s="353"/>
      <c r="F206" s="14"/>
      <c r="G206" s="14"/>
      <c r="H206" s="77"/>
    </row>
    <row r="207" spans="1:8" x14ac:dyDescent="0.25">
      <c r="A207" s="13"/>
      <c r="B207" s="13"/>
      <c r="C207" s="352"/>
      <c r="D207" s="352"/>
      <c r="E207" s="353"/>
      <c r="F207" s="14"/>
      <c r="G207" s="14"/>
      <c r="H207" s="77"/>
    </row>
    <row r="208" spans="1:8" x14ac:dyDescent="0.25">
      <c r="A208" s="13"/>
      <c r="B208" s="13"/>
      <c r="C208" s="352"/>
      <c r="D208" s="352"/>
      <c r="E208" s="353"/>
      <c r="F208" s="14"/>
      <c r="G208" s="14"/>
      <c r="H208" s="77"/>
    </row>
    <row r="209" spans="1:8" x14ac:dyDescent="0.25">
      <c r="A209" s="13"/>
      <c r="B209" s="13"/>
      <c r="C209" s="352"/>
      <c r="D209" s="352"/>
      <c r="E209" s="353"/>
      <c r="F209" s="14"/>
      <c r="G209" s="14"/>
      <c r="H209" s="77"/>
    </row>
    <row r="210" spans="1:8" x14ac:dyDescent="0.25">
      <c r="A210" s="13"/>
      <c r="B210" s="13"/>
      <c r="C210" s="352"/>
      <c r="D210" s="352"/>
      <c r="E210" s="353"/>
      <c r="F210" s="14"/>
      <c r="G210" s="14"/>
      <c r="H210" s="77"/>
    </row>
    <row r="211" spans="1:8" x14ac:dyDescent="0.25">
      <c r="A211" s="13"/>
      <c r="B211" s="13"/>
      <c r="C211" s="352"/>
      <c r="D211" s="352"/>
      <c r="E211" s="353"/>
      <c r="F211" s="14"/>
      <c r="G211" s="14"/>
      <c r="H211" s="77"/>
    </row>
    <row r="212" spans="1:8" x14ac:dyDescent="0.25">
      <c r="A212" s="13"/>
      <c r="B212" s="13"/>
      <c r="C212" s="352"/>
      <c r="D212" s="352"/>
      <c r="E212" s="353"/>
      <c r="F212" s="14"/>
      <c r="G212" s="14"/>
      <c r="H212" s="77"/>
    </row>
    <row r="213" spans="1:8" x14ac:dyDescent="0.25">
      <c r="A213" s="13"/>
      <c r="B213" s="13"/>
      <c r="C213" s="352"/>
      <c r="D213" s="352"/>
      <c r="E213" s="353"/>
      <c r="F213" s="14"/>
      <c r="G213" s="14"/>
      <c r="H213" s="77"/>
    </row>
    <row r="214" spans="1:8" x14ac:dyDescent="0.25">
      <c r="A214" s="13"/>
      <c r="B214" s="13"/>
      <c r="C214" s="352"/>
      <c r="D214" s="352"/>
      <c r="E214" s="353"/>
      <c r="F214" s="14"/>
      <c r="G214" s="14"/>
      <c r="H214" s="77"/>
    </row>
    <row r="215" spans="1:8" x14ac:dyDescent="0.25">
      <c r="A215" s="13"/>
      <c r="B215" s="13"/>
      <c r="C215" s="352"/>
      <c r="D215" s="352"/>
      <c r="E215" s="353"/>
      <c r="F215" s="14"/>
      <c r="G215" s="14"/>
      <c r="H215" s="77"/>
    </row>
    <row r="216" spans="1:8" x14ac:dyDescent="0.25">
      <c r="A216" s="13"/>
      <c r="B216" s="13"/>
      <c r="C216" s="143"/>
      <c r="D216" s="143"/>
      <c r="E216" s="226"/>
      <c r="F216" s="14"/>
      <c r="G216" s="14"/>
      <c r="H216" s="77"/>
    </row>
    <row r="217" spans="1:8" x14ac:dyDescent="0.25">
      <c r="A217" s="13"/>
      <c r="B217" s="13"/>
      <c r="C217" s="143"/>
      <c r="D217" s="143"/>
      <c r="E217" s="226"/>
      <c r="F217" s="14"/>
      <c r="G217" s="14"/>
      <c r="H217" s="77"/>
    </row>
    <row r="218" spans="1:8" x14ac:dyDescent="0.25">
      <c r="A218" s="13"/>
      <c r="B218" s="13"/>
      <c r="C218" s="143"/>
      <c r="D218" s="143"/>
      <c r="E218" s="226"/>
      <c r="F218" s="14"/>
      <c r="G218" s="14"/>
      <c r="H218" s="77"/>
    </row>
    <row r="219" spans="1:8" x14ac:dyDescent="0.25">
      <c r="A219" s="13"/>
      <c r="B219" s="13"/>
      <c r="C219" s="143"/>
      <c r="D219" s="143"/>
      <c r="E219" s="226"/>
      <c r="F219" s="14"/>
      <c r="G219" s="14"/>
      <c r="H219" s="77"/>
    </row>
    <row r="220" spans="1:8" x14ac:dyDescent="0.25">
      <c r="A220" s="13"/>
      <c r="B220" s="13"/>
      <c r="C220" s="143"/>
      <c r="D220" s="143"/>
      <c r="E220" s="226"/>
      <c r="F220" s="14"/>
      <c r="G220" s="14"/>
      <c r="H220" s="77"/>
    </row>
    <row r="221" spans="1:8" x14ac:dyDescent="0.25">
      <c r="A221" s="13"/>
      <c r="B221" s="13"/>
      <c r="C221" s="143"/>
      <c r="D221" s="143"/>
      <c r="E221" s="226"/>
      <c r="F221" s="14"/>
      <c r="G221" s="14"/>
      <c r="H221" s="77"/>
    </row>
    <row r="222" spans="1:8" x14ac:dyDescent="0.25">
      <c r="A222" s="13"/>
      <c r="B222" s="13"/>
      <c r="C222" s="143"/>
      <c r="D222" s="143"/>
      <c r="E222" s="226"/>
      <c r="F222" s="14"/>
      <c r="G222" s="14"/>
      <c r="H222" s="77"/>
    </row>
    <row r="223" spans="1:8" x14ac:dyDescent="0.25">
      <c r="A223" s="13"/>
      <c r="B223" s="13"/>
      <c r="C223" s="143"/>
      <c r="D223" s="143"/>
      <c r="E223" s="226"/>
      <c r="F223" s="14"/>
      <c r="G223" s="14"/>
      <c r="H223" s="77"/>
    </row>
    <row r="224" spans="1:8" x14ac:dyDescent="0.25">
      <c r="A224" s="13"/>
      <c r="B224" s="13"/>
      <c r="C224" s="143"/>
      <c r="D224" s="143"/>
      <c r="E224" s="226"/>
      <c r="F224" s="14"/>
      <c r="G224" s="14"/>
      <c r="H224" s="77"/>
    </row>
    <row r="225" spans="1:8" x14ac:dyDescent="0.25">
      <c r="A225" s="13"/>
      <c r="B225" s="13"/>
      <c r="C225" s="143"/>
      <c r="D225" s="143"/>
      <c r="E225" s="226"/>
      <c r="F225" s="14"/>
      <c r="G225" s="14"/>
      <c r="H225" s="77"/>
    </row>
    <row r="226" spans="1:8" x14ac:dyDescent="0.25">
      <c r="A226" s="13"/>
      <c r="B226" s="13"/>
      <c r="C226" s="143"/>
      <c r="D226" s="143"/>
      <c r="E226" s="226"/>
      <c r="F226" s="14"/>
      <c r="G226" s="14"/>
      <c r="H226" s="77"/>
    </row>
    <row r="227" spans="1:8" x14ac:dyDescent="0.25">
      <c r="A227" s="13"/>
      <c r="B227" s="13"/>
      <c r="C227" s="143"/>
      <c r="D227" s="143"/>
      <c r="E227" s="226"/>
      <c r="F227" s="14"/>
      <c r="G227" s="14"/>
      <c r="H227" s="77"/>
    </row>
    <row r="228" spans="1:8" x14ac:dyDescent="0.25">
      <c r="A228" s="13"/>
      <c r="B228" s="13"/>
      <c r="C228" s="143"/>
      <c r="D228" s="143"/>
      <c r="E228" s="226"/>
      <c r="F228" s="14"/>
      <c r="G228" s="14"/>
      <c r="H228" s="77"/>
    </row>
    <row r="229" spans="1:8" x14ac:dyDescent="0.25">
      <c r="A229" s="13"/>
      <c r="B229" s="13"/>
      <c r="C229" s="143"/>
      <c r="D229" s="143"/>
      <c r="E229" s="226"/>
      <c r="F229" s="14"/>
      <c r="G229" s="14"/>
      <c r="H229" s="77"/>
    </row>
    <row r="230" spans="1:8" x14ac:dyDescent="0.25">
      <c r="A230" s="13"/>
      <c r="B230" s="13"/>
      <c r="C230" s="143"/>
      <c r="D230" s="143"/>
      <c r="E230" s="226"/>
      <c r="F230" s="14"/>
      <c r="G230" s="14"/>
      <c r="H230" s="77"/>
    </row>
    <row r="231" spans="1:8" x14ac:dyDescent="0.25">
      <c r="A231" s="13"/>
      <c r="B231" s="13"/>
      <c r="C231" s="143"/>
      <c r="D231" s="143"/>
      <c r="E231" s="226"/>
      <c r="F231" s="14"/>
      <c r="G231" s="14"/>
      <c r="H231" s="77"/>
    </row>
    <row r="232" spans="1:8" x14ac:dyDescent="0.25">
      <c r="A232" s="13"/>
      <c r="B232" s="13"/>
      <c r="C232" s="143"/>
      <c r="D232" s="143"/>
      <c r="E232" s="226"/>
      <c r="F232" s="14"/>
      <c r="G232" s="14"/>
      <c r="H232" s="77"/>
    </row>
    <row r="233" spans="1:8" x14ac:dyDescent="0.25">
      <c r="A233" s="13"/>
      <c r="B233" s="13"/>
      <c r="C233" s="143"/>
      <c r="D233" s="143"/>
      <c r="E233" s="226"/>
      <c r="F233" s="14"/>
      <c r="G233" s="14"/>
      <c r="H233" s="77"/>
    </row>
    <row r="234" spans="1:8" x14ac:dyDescent="0.25">
      <c r="A234" s="13"/>
      <c r="B234" s="13"/>
      <c r="C234" s="143"/>
      <c r="D234" s="143"/>
      <c r="E234" s="226"/>
      <c r="F234" s="14"/>
      <c r="G234" s="14"/>
      <c r="H234" s="77"/>
    </row>
    <row r="235" spans="1:8" x14ac:dyDescent="0.25">
      <c r="A235" s="13"/>
      <c r="B235" s="13"/>
      <c r="C235" s="143"/>
      <c r="D235" s="143"/>
      <c r="E235" s="226"/>
      <c r="F235" s="14"/>
      <c r="G235" s="14"/>
      <c r="H235" s="77"/>
    </row>
    <row r="236" spans="1:8" x14ac:dyDescent="0.25">
      <c r="A236" s="13"/>
      <c r="B236" s="13"/>
      <c r="C236" s="143"/>
      <c r="D236" s="143"/>
      <c r="E236" s="226"/>
      <c r="F236" s="14"/>
      <c r="G236" s="14"/>
      <c r="H236" s="77"/>
    </row>
    <row r="237" spans="1:8" x14ac:dyDescent="0.25">
      <c r="A237" s="13"/>
      <c r="B237" s="13"/>
      <c r="C237" s="143"/>
      <c r="D237" s="143"/>
      <c r="E237" s="226"/>
      <c r="F237" s="14"/>
      <c r="G237" s="14"/>
      <c r="H237" s="77"/>
    </row>
    <row r="238" spans="1:8" x14ac:dyDescent="0.25">
      <c r="A238" s="13"/>
      <c r="B238" s="13"/>
      <c r="C238" s="143"/>
      <c r="D238" s="143"/>
      <c r="E238" s="226"/>
      <c r="F238" s="14"/>
      <c r="G238" s="14"/>
      <c r="H238" s="77"/>
    </row>
    <row r="239" spans="1:8" x14ac:dyDescent="0.25">
      <c r="A239" s="13"/>
      <c r="B239" s="13"/>
      <c r="C239" s="143"/>
      <c r="D239" s="143"/>
      <c r="E239" s="226"/>
      <c r="F239" s="14"/>
      <c r="G239" s="14"/>
      <c r="H239" s="77"/>
    </row>
    <row r="240" spans="1:8" x14ac:dyDescent="0.25">
      <c r="A240" s="13"/>
      <c r="B240" s="13"/>
      <c r="C240" s="143"/>
      <c r="D240" s="143"/>
      <c r="E240" s="226"/>
      <c r="F240" s="14"/>
      <c r="G240" s="14"/>
      <c r="H240" s="77"/>
    </row>
    <row r="241" spans="1:8" x14ac:dyDescent="0.25">
      <c r="A241" s="13"/>
      <c r="B241" s="13"/>
      <c r="C241" s="143"/>
      <c r="D241" s="143"/>
      <c r="E241" s="226"/>
      <c r="F241" s="14"/>
      <c r="G241" s="14"/>
      <c r="H241" s="77"/>
    </row>
    <row r="242" spans="1:8" x14ac:dyDescent="0.25">
      <c r="A242" s="13"/>
      <c r="B242" s="13"/>
      <c r="C242" s="143"/>
      <c r="D242" s="143"/>
      <c r="E242" s="226"/>
      <c r="F242" s="14"/>
      <c r="G242" s="14"/>
      <c r="H242" s="77"/>
    </row>
    <row r="243" spans="1:8" x14ac:dyDescent="0.25">
      <c r="A243" s="13"/>
      <c r="B243" s="13"/>
      <c r="C243" s="143"/>
      <c r="D243" s="143"/>
      <c r="E243" s="226"/>
      <c r="F243" s="14"/>
      <c r="G243" s="14"/>
      <c r="H243" s="77"/>
    </row>
    <row r="244" spans="1:8" x14ac:dyDescent="0.25">
      <c r="A244" s="13"/>
      <c r="B244" s="13"/>
      <c r="C244" s="143"/>
      <c r="D244" s="143"/>
      <c r="E244" s="226"/>
      <c r="F244" s="14"/>
      <c r="G244" s="14"/>
      <c r="H244" s="77"/>
    </row>
    <row r="245" spans="1:8" x14ac:dyDescent="0.25">
      <c r="A245" s="13"/>
      <c r="B245" s="13"/>
      <c r="C245" s="143"/>
      <c r="D245" s="143"/>
      <c r="E245" s="226"/>
      <c r="F245" s="14"/>
      <c r="G245" s="14"/>
      <c r="H245" s="77"/>
    </row>
    <row r="246" spans="1:8" x14ac:dyDescent="0.25">
      <c r="A246" s="13"/>
      <c r="B246" s="13"/>
      <c r="C246" s="143"/>
      <c r="D246" s="143"/>
      <c r="E246" s="226"/>
      <c r="F246" s="14"/>
      <c r="G246" s="14"/>
      <c r="H246" s="77"/>
    </row>
    <row r="247" spans="1:8" x14ac:dyDescent="0.25">
      <c r="A247" s="13"/>
      <c r="B247" s="13"/>
      <c r="C247" s="143"/>
      <c r="D247" s="143"/>
      <c r="E247" s="226"/>
      <c r="F247" s="14"/>
      <c r="G247" s="14"/>
      <c r="H247" s="77"/>
    </row>
    <row r="248" spans="1:8" x14ac:dyDescent="0.25">
      <c r="A248" s="13"/>
      <c r="B248" s="13"/>
      <c r="C248" s="143"/>
      <c r="D248" s="143"/>
      <c r="E248" s="226"/>
      <c r="F248" s="14"/>
      <c r="G248" s="14"/>
      <c r="H248" s="77"/>
    </row>
    <row r="249" spans="1:8" x14ac:dyDescent="0.25">
      <c r="A249" s="13"/>
      <c r="B249" s="13"/>
      <c r="C249" s="143"/>
      <c r="D249" s="143"/>
      <c r="E249" s="226"/>
      <c r="F249" s="14"/>
      <c r="G249" s="14"/>
      <c r="H249" s="77"/>
    </row>
    <row r="250" spans="1:8" x14ac:dyDescent="0.25">
      <c r="A250" s="13"/>
      <c r="B250" s="13"/>
      <c r="C250" s="143"/>
      <c r="D250" s="143"/>
      <c r="E250" s="226"/>
      <c r="F250" s="14"/>
      <c r="G250" s="14"/>
      <c r="H250" s="77"/>
    </row>
    <row r="251" spans="1:8" x14ac:dyDescent="0.25">
      <c r="A251" s="13"/>
      <c r="B251" s="13"/>
      <c r="C251" s="143"/>
      <c r="D251" s="143"/>
      <c r="E251" s="226"/>
      <c r="F251" s="14"/>
      <c r="G251" s="14"/>
      <c r="H251" s="77"/>
    </row>
    <row r="252" spans="1:8" x14ac:dyDescent="0.25">
      <c r="A252" s="13"/>
      <c r="B252" s="13"/>
      <c r="C252" s="143"/>
      <c r="D252" s="143"/>
      <c r="E252" s="226"/>
      <c r="F252" s="14"/>
      <c r="G252" s="14"/>
      <c r="H252" s="77"/>
    </row>
    <row r="253" spans="1:8" x14ac:dyDescent="0.25">
      <c r="A253" s="13"/>
      <c r="B253" s="13"/>
      <c r="C253" s="143"/>
      <c r="D253" s="143"/>
      <c r="E253" s="226"/>
      <c r="F253" s="14"/>
      <c r="G253" s="14"/>
      <c r="H253" s="77"/>
    </row>
    <row r="254" spans="1:8" x14ac:dyDescent="0.25">
      <c r="A254" s="13"/>
      <c r="B254" s="13"/>
      <c r="C254" s="143"/>
      <c r="D254" s="143"/>
      <c r="E254" s="226"/>
      <c r="F254" s="14"/>
      <c r="G254" s="14"/>
      <c r="H254" s="77"/>
    </row>
    <row r="255" spans="1:8" x14ac:dyDescent="0.25">
      <c r="A255" s="13"/>
      <c r="B255" s="13"/>
      <c r="C255" s="143"/>
      <c r="D255" s="143"/>
      <c r="E255" s="226"/>
      <c r="F255" s="14"/>
      <c r="G255" s="14"/>
      <c r="H255" s="77"/>
    </row>
    <row r="256" spans="1:8" x14ac:dyDescent="0.25">
      <c r="A256" s="13"/>
      <c r="B256" s="13"/>
      <c r="C256" s="143"/>
      <c r="D256" s="143"/>
      <c r="E256" s="226"/>
      <c r="F256" s="14"/>
      <c r="G256" s="14"/>
      <c r="H256" s="77"/>
    </row>
    <row r="257" spans="1:8" x14ac:dyDescent="0.25">
      <c r="A257" s="13"/>
      <c r="B257" s="13"/>
      <c r="C257" s="143"/>
      <c r="D257" s="143"/>
      <c r="E257" s="226"/>
      <c r="F257" s="14"/>
      <c r="G257" s="14"/>
      <c r="H257" s="77"/>
    </row>
    <row r="258" spans="1:8" x14ac:dyDescent="0.25">
      <c r="A258" s="13"/>
      <c r="B258" s="13"/>
      <c r="C258" s="143"/>
      <c r="D258" s="143"/>
      <c r="E258" s="226"/>
      <c r="F258" s="14"/>
      <c r="G258" s="14"/>
      <c r="H258" s="77"/>
    </row>
    <row r="259" spans="1:8" x14ac:dyDescent="0.25">
      <c r="A259" s="13"/>
      <c r="B259" s="13"/>
      <c r="C259" s="143"/>
      <c r="D259" s="143"/>
      <c r="E259" s="226"/>
      <c r="F259" s="14"/>
      <c r="G259" s="14"/>
      <c r="H259" s="77"/>
    </row>
    <row r="260" spans="1:8" x14ac:dyDescent="0.25">
      <c r="A260" s="13"/>
      <c r="B260" s="13"/>
      <c r="C260" s="143"/>
      <c r="D260" s="143"/>
      <c r="E260" s="226"/>
      <c r="F260" s="14"/>
      <c r="G260" s="14"/>
      <c r="H260" s="77"/>
    </row>
    <row r="261" spans="1:8" x14ac:dyDescent="0.25">
      <c r="A261" s="13"/>
      <c r="B261" s="13"/>
      <c r="C261" s="143"/>
      <c r="D261" s="143"/>
      <c r="E261" s="226"/>
      <c r="F261" s="14"/>
      <c r="G261" s="14"/>
      <c r="H261" s="77"/>
    </row>
    <row r="262" spans="1:8" x14ac:dyDescent="0.25">
      <c r="A262" s="13"/>
      <c r="B262" s="13"/>
      <c r="C262" s="143"/>
      <c r="D262" s="143"/>
      <c r="E262" s="226"/>
      <c r="F262" s="14"/>
      <c r="G262" s="14"/>
      <c r="H262" s="77"/>
    </row>
    <row r="263" spans="1:8" x14ac:dyDescent="0.25">
      <c r="A263" s="13"/>
      <c r="B263" s="13"/>
      <c r="C263" s="143"/>
      <c r="D263" s="143"/>
      <c r="E263" s="226"/>
      <c r="F263" s="14"/>
      <c r="G263" s="14"/>
      <c r="H263" s="77"/>
    </row>
    <row r="264" spans="1:8" x14ac:dyDescent="0.25">
      <c r="A264" s="13"/>
      <c r="B264" s="13"/>
      <c r="C264" s="143"/>
      <c r="D264" s="143"/>
      <c r="E264" s="226"/>
      <c r="F264" s="14"/>
      <c r="G264" s="14"/>
      <c r="H264" s="77"/>
    </row>
    <row r="265" spans="1:8" x14ac:dyDescent="0.25">
      <c r="A265" s="13"/>
      <c r="B265" s="13"/>
      <c r="C265" s="143"/>
      <c r="D265" s="143"/>
      <c r="E265" s="226"/>
      <c r="F265" s="14"/>
      <c r="G265" s="14"/>
      <c r="H265" s="77"/>
    </row>
    <row r="266" spans="1:8" x14ac:dyDescent="0.25">
      <c r="A266" s="13"/>
      <c r="B266" s="13"/>
      <c r="C266" s="143"/>
      <c r="D266" s="143"/>
      <c r="E266" s="226"/>
      <c r="F266" s="14"/>
      <c r="G266" s="14"/>
      <c r="H266" s="77"/>
    </row>
    <row r="267" spans="1:8" x14ac:dyDescent="0.25">
      <c r="A267" s="13"/>
      <c r="B267" s="13"/>
      <c r="C267" s="143"/>
      <c r="D267" s="143"/>
      <c r="E267" s="226"/>
      <c r="F267" s="14"/>
      <c r="G267" s="14"/>
      <c r="H267" s="77"/>
    </row>
    <row r="268" spans="1:8" x14ac:dyDescent="0.25">
      <c r="A268" s="13"/>
      <c r="B268" s="13"/>
      <c r="C268" s="143"/>
      <c r="D268" s="143"/>
      <c r="E268" s="226"/>
      <c r="F268" s="14"/>
      <c r="G268" s="14"/>
      <c r="H268" s="77"/>
    </row>
    <row r="269" spans="1:8" x14ac:dyDescent="0.25">
      <c r="A269" s="13"/>
      <c r="B269" s="13"/>
      <c r="C269" s="143"/>
      <c r="D269" s="143"/>
      <c r="E269" s="226"/>
      <c r="F269" s="14"/>
      <c r="G269" s="14"/>
      <c r="H269" s="77"/>
    </row>
    <row r="270" spans="1:8" x14ac:dyDescent="0.25">
      <c r="A270" s="13"/>
      <c r="B270" s="13"/>
      <c r="C270" s="143"/>
      <c r="D270" s="143"/>
      <c r="E270" s="226"/>
      <c r="F270" s="14"/>
      <c r="G270" s="14"/>
      <c r="H270" s="77"/>
    </row>
    <row r="271" spans="1:8" x14ac:dyDescent="0.25">
      <c r="A271" s="13"/>
      <c r="B271" s="13"/>
      <c r="C271" s="143"/>
      <c r="D271" s="143"/>
      <c r="E271" s="226"/>
      <c r="F271" s="14"/>
      <c r="G271" s="14"/>
      <c r="H271" s="77"/>
    </row>
    <row r="272" spans="1:8" x14ac:dyDescent="0.25">
      <c r="A272" s="13"/>
      <c r="B272" s="13"/>
      <c r="C272" s="143"/>
      <c r="D272" s="143"/>
      <c r="E272" s="226"/>
      <c r="F272" s="14"/>
      <c r="G272" s="14"/>
      <c r="H272" s="77"/>
    </row>
    <row r="273" spans="1:8" x14ac:dyDescent="0.25">
      <c r="A273" s="13"/>
      <c r="B273" s="13"/>
      <c r="C273" s="143"/>
      <c r="D273" s="143"/>
      <c r="E273" s="226"/>
      <c r="F273" s="14"/>
      <c r="G273" s="14"/>
      <c r="H273" s="77"/>
    </row>
    <row r="274" spans="1:8" x14ac:dyDescent="0.25">
      <c r="A274" s="13"/>
      <c r="B274" s="13"/>
      <c r="C274" s="143"/>
      <c r="D274" s="143"/>
      <c r="E274" s="226"/>
      <c r="F274" s="14"/>
      <c r="G274" s="14"/>
      <c r="H274" s="77"/>
    </row>
    <row r="275" spans="1:8" x14ac:dyDescent="0.25">
      <c r="A275" s="13"/>
      <c r="B275" s="13"/>
      <c r="C275" s="143"/>
      <c r="D275" s="143"/>
      <c r="E275" s="226"/>
      <c r="F275" s="14"/>
      <c r="G275" s="14"/>
      <c r="H275" s="77"/>
    </row>
    <row r="276" spans="1:8" x14ac:dyDescent="0.25">
      <c r="A276" s="13"/>
      <c r="B276" s="13"/>
      <c r="C276" s="143"/>
      <c r="D276" s="143"/>
      <c r="E276" s="226"/>
      <c r="F276" s="14"/>
      <c r="G276" s="14"/>
      <c r="H276" s="77"/>
    </row>
    <row r="277" spans="1:8" x14ac:dyDescent="0.25">
      <c r="A277" s="13"/>
      <c r="B277" s="13"/>
      <c r="C277" s="143"/>
      <c r="D277" s="143"/>
      <c r="E277" s="226"/>
      <c r="F277" s="14"/>
      <c r="G277" s="14"/>
      <c r="H277" s="77"/>
    </row>
    <row r="278" spans="1:8" x14ac:dyDescent="0.25">
      <c r="A278" s="13"/>
      <c r="B278" s="13"/>
      <c r="C278" s="143"/>
      <c r="D278" s="143"/>
      <c r="E278" s="226"/>
      <c r="F278" s="14"/>
      <c r="G278" s="14"/>
      <c r="H278" s="77"/>
    </row>
    <row r="279" spans="1:8" x14ac:dyDescent="0.25">
      <c r="A279" s="13"/>
      <c r="B279" s="13"/>
      <c r="C279" s="143"/>
      <c r="D279" s="143"/>
      <c r="E279" s="226"/>
      <c r="F279" s="14"/>
      <c r="G279" s="14"/>
      <c r="H279" s="77"/>
    </row>
    <row r="280" spans="1:8" x14ac:dyDescent="0.25">
      <c r="A280" s="13"/>
      <c r="B280" s="13"/>
      <c r="C280" s="143"/>
      <c r="D280" s="143"/>
      <c r="E280" s="226"/>
      <c r="F280" s="14"/>
      <c r="G280" s="14"/>
      <c r="H280" s="77"/>
    </row>
    <row r="281" spans="1:8" x14ac:dyDescent="0.25">
      <c r="A281" s="13"/>
      <c r="B281" s="13"/>
      <c r="C281" s="143"/>
      <c r="D281" s="143"/>
      <c r="E281" s="226"/>
      <c r="F281" s="14"/>
      <c r="G281" s="14"/>
      <c r="H281" s="77"/>
    </row>
  </sheetData>
  <sheetProtection selectLockedCells="1" selectUnlockedCells="1"/>
  <mergeCells count="4">
    <mergeCell ref="C5:E5"/>
    <mergeCell ref="F5:H5"/>
    <mergeCell ref="C78:E78"/>
    <mergeCell ref="F78:H78"/>
  </mergeCells>
  <printOptions horizontalCentered="1"/>
  <pageMargins left="0.52013888888888893" right="0.39374999999999999" top="0.5" bottom="0.51180555555555551" header="0.51180555555555551" footer="0.31527777777777777"/>
  <pageSetup paperSize="9" scale="54" firstPageNumber="0" orientation="portrait" horizontalDpi="300" verticalDpi="300" r:id="rId1"/>
  <headerFooter alignWithMargins="0">
    <oddFooter>&amp;R&amp;P</oddFooter>
  </headerFooter>
  <rowBreaks count="1" manualBreakCount="1">
    <brk id="77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99"/>
  <sheetViews>
    <sheetView view="pageBreakPreview" zoomScale="80" zoomScaleSheetLayoutView="80" workbookViewId="0">
      <selection activeCell="E2" sqref="E2"/>
    </sheetView>
  </sheetViews>
  <sheetFormatPr defaultColWidth="11.5703125" defaultRowHeight="15.75" x14ac:dyDescent="0.25"/>
  <cols>
    <col min="1" max="1" width="10.42578125" style="13" customWidth="1"/>
    <col min="2" max="2" width="71.140625" style="13" customWidth="1"/>
    <col min="3" max="3" width="7.85546875" style="13" customWidth="1"/>
    <col min="4" max="4" width="15.42578125" style="13" customWidth="1"/>
    <col min="5" max="5" width="15.140625" style="13" customWidth="1"/>
    <col min="6" max="6" width="15.5703125" style="13" customWidth="1"/>
    <col min="7" max="7" width="17.140625" style="13" bestFit="1" customWidth="1"/>
    <col min="8" max="8" width="13.5703125" style="13" customWidth="1"/>
    <col min="9" max="254" width="9.140625" style="13" customWidth="1"/>
  </cols>
  <sheetData>
    <row r="1" spans="1:8" x14ac:dyDescent="0.25">
      <c r="E1" s="15" t="s">
        <v>330</v>
      </c>
    </row>
    <row r="2" spans="1:8" x14ac:dyDescent="0.25">
      <c r="E2" s="16" t="s">
        <v>919</v>
      </c>
    </row>
    <row r="3" spans="1:8" x14ac:dyDescent="0.25">
      <c r="D3" s="15"/>
      <c r="E3" s="15"/>
    </row>
    <row r="4" spans="1:8" ht="24" customHeight="1" x14ac:dyDescent="0.3">
      <c r="B4" s="4" t="s">
        <v>857</v>
      </c>
      <c r="C4" s="83"/>
      <c r="D4" s="83"/>
      <c r="E4" s="83"/>
    </row>
    <row r="5" spans="1:8" ht="18.75" x14ac:dyDescent="0.3">
      <c r="B5" s="4"/>
      <c r="C5" s="84"/>
      <c r="D5" s="84"/>
      <c r="E5" s="84"/>
    </row>
    <row r="6" spans="1:8" x14ac:dyDescent="0.25">
      <c r="A6" s="13" t="s">
        <v>331</v>
      </c>
      <c r="B6" s="41" t="s">
        <v>816</v>
      </c>
      <c r="C6" s="85"/>
      <c r="D6" s="85"/>
      <c r="E6" s="85"/>
    </row>
    <row r="7" spans="1:8" x14ac:dyDescent="0.25">
      <c r="A7" s="13" t="s">
        <v>332</v>
      </c>
    </row>
    <row r="8" spans="1:8" ht="31.5" x14ac:dyDescent="0.25">
      <c r="B8" s="19" t="s">
        <v>12</v>
      </c>
      <c r="C8" s="47" t="s">
        <v>38</v>
      </c>
      <c r="D8" s="86" t="s">
        <v>10</v>
      </c>
      <c r="E8" s="86" t="s">
        <v>11</v>
      </c>
      <c r="F8" s="87" t="s">
        <v>333</v>
      </c>
      <c r="G8" s="87" t="s">
        <v>815</v>
      </c>
      <c r="H8" s="87" t="s">
        <v>863</v>
      </c>
    </row>
    <row r="9" spans="1:8" x14ac:dyDescent="0.25">
      <c r="A9" s="13" t="s">
        <v>334</v>
      </c>
      <c r="B9" s="88" t="s">
        <v>335</v>
      </c>
      <c r="C9" s="53" t="s">
        <v>214</v>
      </c>
      <c r="D9" s="24">
        <v>50000000</v>
      </c>
      <c r="E9" s="24">
        <v>50000000</v>
      </c>
      <c r="F9" s="89">
        <v>51475</v>
      </c>
      <c r="G9" s="13">
        <v>56624</v>
      </c>
      <c r="H9" s="13">
        <v>50301</v>
      </c>
    </row>
    <row r="10" spans="1:8" x14ac:dyDescent="0.25">
      <c r="B10" s="88" t="s">
        <v>336</v>
      </c>
      <c r="C10" s="53" t="s">
        <v>214</v>
      </c>
      <c r="D10" s="24"/>
      <c r="E10" s="24"/>
      <c r="F10" s="89"/>
    </row>
    <row r="11" spans="1:8" x14ac:dyDescent="0.25">
      <c r="A11" s="13" t="s">
        <v>337</v>
      </c>
      <c r="B11" s="88" t="s">
        <v>338</v>
      </c>
      <c r="C11" s="53" t="s">
        <v>214</v>
      </c>
      <c r="D11" s="24">
        <v>60000000</v>
      </c>
      <c r="E11" s="24">
        <v>60000000</v>
      </c>
      <c r="F11" s="89">
        <v>61591</v>
      </c>
      <c r="G11" s="13">
        <v>62398</v>
      </c>
      <c r="H11" s="13">
        <v>59030</v>
      </c>
    </row>
    <row r="12" spans="1:8" x14ac:dyDescent="0.25">
      <c r="A12" s="13" t="s">
        <v>339</v>
      </c>
      <c r="B12" s="88" t="s">
        <v>340</v>
      </c>
      <c r="C12" s="53" t="s">
        <v>214</v>
      </c>
      <c r="D12" s="24">
        <v>3500000</v>
      </c>
      <c r="E12" s="24">
        <v>3500000</v>
      </c>
      <c r="F12" s="89">
        <v>2273</v>
      </c>
      <c r="G12" s="13">
        <v>2770</v>
      </c>
      <c r="H12" s="13">
        <v>4922</v>
      </c>
    </row>
    <row r="13" spans="1:8" s="94" customFormat="1" x14ac:dyDescent="0.25">
      <c r="A13" s="13"/>
      <c r="B13" s="90" t="s">
        <v>341</v>
      </c>
      <c r="C13" s="91" t="s">
        <v>214</v>
      </c>
      <c r="D13" s="92">
        <f>SUM(D9:D12)</f>
        <v>113500000</v>
      </c>
      <c r="E13" s="92">
        <f>SUM(E9:E12)</f>
        <v>113500000</v>
      </c>
      <c r="F13" s="93"/>
    </row>
    <row r="14" spans="1:8" x14ac:dyDescent="0.25">
      <c r="B14" s="88" t="s">
        <v>342</v>
      </c>
      <c r="C14" s="64" t="s">
        <v>343</v>
      </c>
      <c r="D14" s="24">
        <f>SUM(D15:D16)</f>
        <v>290000000</v>
      </c>
      <c r="E14" s="24">
        <f>SUM(E15:E16)</f>
        <v>384089000</v>
      </c>
      <c r="F14" s="89"/>
    </row>
    <row r="15" spans="1:8" ht="31.5" x14ac:dyDescent="0.25">
      <c r="A15" s="13" t="s">
        <v>344</v>
      </c>
      <c r="B15" s="95" t="s">
        <v>345</v>
      </c>
      <c r="C15" s="96" t="s">
        <v>343</v>
      </c>
      <c r="D15" s="97">
        <v>290000000</v>
      </c>
      <c r="E15" s="97">
        <f>290000000+94089000</f>
        <v>384089000</v>
      </c>
      <c r="F15" s="89">
        <v>349650</v>
      </c>
      <c r="G15" s="13">
        <v>296595</v>
      </c>
      <c r="H15" s="13">
        <v>289778</v>
      </c>
    </row>
    <row r="16" spans="1:8" ht="31.5" hidden="1" x14ac:dyDescent="0.25">
      <c r="B16" s="95" t="s">
        <v>346</v>
      </c>
      <c r="C16" s="96" t="s">
        <v>343</v>
      </c>
      <c r="D16" s="97"/>
      <c r="E16" s="97"/>
      <c r="F16" s="89"/>
    </row>
    <row r="17" spans="1:8" x14ac:dyDescent="0.25">
      <c r="A17" s="13" t="s">
        <v>348</v>
      </c>
      <c r="B17" s="98" t="s">
        <v>852</v>
      </c>
      <c r="C17" s="96" t="s">
        <v>347</v>
      </c>
      <c r="D17" s="97">
        <v>26500000</v>
      </c>
      <c r="E17" s="97">
        <v>26500000</v>
      </c>
      <c r="F17" s="89">
        <v>25036</v>
      </c>
      <c r="G17" s="13">
        <v>28037</v>
      </c>
      <c r="H17" s="13">
        <v>26488</v>
      </c>
    </row>
    <row r="18" spans="1:8" hidden="1" x14ac:dyDescent="0.25">
      <c r="B18" s="95" t="s">
        <v>349</v>
      </c>
      <c r="C18" s="96" t="s">
        <v>347</v>
      </c>
      <c r="D18" s="24"/>
      <c r="E18" s="24"/>
      <c r="F18" s="89"/>
    </row>
    <row r="19" spans="1:8" hidden="1" x14ac:dyDescent="0.25">
      <c r="B19" s="95" t="s">
        <v>350</v>
      </c>
      <c r="C19" s="96" t="s">
        <v>347</v>
      </c>
      <c r="D19" s="24"/>
      <c r="E19" s="24"/>
      <c r="F19" s="89"/>
    </row>
    <row r="20" spans="1:8" x14ac:dyDescent="0.25">
      <c r="B20" s="98" t="s">
        <v>351</v>
      </c>
      <c r="C20" s="71" t="s">
        <v>352</v>
      </c>
      <c r="D20" s="24">
        <f>SUM(D21:D22)</f>
        <v>2000000</v>
      </c>
      <c r="E20" s="24">
        <f>SUM(E21:E22)</f>
        <v>2000000</v>
      </c>
      <c r="F20" s="89"/>
    </row>
    <row r="21" spans="1:8" x14ac:dyDescent="0.25">
      <c r="A21" s="13" t="s">
        <v>353</v>
      </c>
      <c r="B21" s="95" t="s">
        <v>354</v>
      </c>
      <c r="C21" s="96" t="s">
        <v>352</v>
      </c>
      <c r="D21" s="97">
        <v>2000000</v>
      </c>
      <c r="E21" s="97">
        <v>2000000</v>
      </c>
      <c r="F21" s="89">
        <v>837</v>
      </c>
      <c r="G21" s="13">
        <v>1676</v>
      </c>
      <c r="H21" s="13">
        <v>2486</v>
      </c>
    </row>
    <row r="22" spans="1:8" hidden="1" x14ac:dyDescent="0.25">
      <c r="B22" s="95" t="s">
        <v>355</v>
      </c>
      <c r="C22" s="96" t="s">
        <v>352</v>
      </c>
      <c r="D22" s="97"/>
      <c r="E22" s="97"/>
      <c r="F22" s="87"/>
    </row>
    <row r="23" spans="1:8" s="94" customFormat="1" x14ac:dyDescent="0.25">
      <c r="A23" s="13"/>
      <c r="B23" s="90" t="s">
        <v>356</v>
      </c>
      <c r="C23" s="91" t="s">
        <v>216</v>
      </c>
      <c r="D23" s="92">
        <f>+D20+D17+D14</f>
        <v>318500000</v>
      </c>
      <c r="E23" s="92">
        <f>+E20+E17+E14</f>
        <v>412589000</v>
      </c>
      <c r="F23" s="99"/>
    </row>
    <row r="24" spans="1:8" hidden="1" x14ac:dyDescent="0.25">
      <c r="B24" s="88" t="s">
        <v>357</v>
      </c>
      <c r="C24" s="53" t="s">
        <v>218</v>
      </c>
      <c r="D24" s="24"/>
      <c r="E24" s="24"/>
      <c r="F24" s="87"/>
    </row>
    <row r="25" spans="1:8" hidden="1" x14ac:dyDescent="0.25">
      <c r="B25" s="88" t="s">
        <v>358</v>
      </c>
      <c r="C25" s="53" t="s">
        <v>218</v>
      </c>
      <c r="D25" s="24"/>
      <c r="E25" s="24"/>
      <c r="F25" s="87"/>
    </row>
    <row r="26" spans="1:8" hidden="1" x14ac:dyDescent="0.25">
      <c r="B26" s="88" t="s">
        <v>359</v>
      </c>
      <c r="C26" s="53" t="s">
        <v>218</v>
      </c>
      <c r="D26" s="24"/>
      <c r="E26" s="24"/>
      <c r="F26" s="87"/>
    </row>
    <row r="27" spans="1:8" hidden="1" x14ac:dyDescent="0.25">
      <c r="B27" s="88" t="s">
        <v>360</v>
      </c>
      <c r="C27" s="53" t="s">
        <v>218</v>
      </c>
      <c r="D27" s="24"/>
      <c r="E27" s="24"/>
      <c r="F27" s="87"/>
    </row>
    <row r="28" spans="1:8" hidden="1" x14ac:dyDescent="0.25">
      <c r="B28" s="88" t="s">
        <v>361</v>
      </c>
      <c r="C28" s="53" t="s">
        <v>218</v>
      </c>
      <c r="D28" s="24"/>
      <c r="E28" s="24"/>
      <c r="F28" s="87"/>
    </row>
    <row r="29" spans="1:8" hidden="1" x14ac:dyDescent="0.25">
      <c r="B29" s="88" t="s">
        <v>362</v>
      </c>
      <c r="C29" s="53" t="s">
        <v>218</v>
      </c>
      <c r="D29" s="24"/>
      <c r="E29" s="24"/>
      <c r="F29" s="87"/>
    </row>
    <row r="30" spans="1:8" hidden="1" x14ac:dyDescent="0.25">
      <c r="B30" s="88" t="s">
        <v>363</v>
      </c>
      <c r="C30" s="53" t="s">
        <v>218</v>
      </c>
      <c r="D30" s="24"/>
      <c r="E30" s="24"/>
      <c r="F30" s="87"/>
    </row>
    <row r="31" spans="1:8" ht="31.5" x14ac:dyDescent="0.25">
      <c r="B31" s="88" t="s">
        <v>364</v>
      </c>
      <c r="C31" s="53" t="s">
        <v>218</v>
      </c>
      <c r="D31" s="24">
        <v>50000</v>
      </c>
      <c r="E31" s="24">
        <v>50000</v>
      </c>
      <c r="F31" s="87"/>
      <c r="H31" s="13">
        <v>46</v>
      </c>
    </row>
    <row r="32" spans="1:8" x14ac:dyDescent="0.25">
      <c r="B32" s="88" t="s">
        <v>366</v>
      </c>
      <c r="C32" s="53" t="s">
        <v>218</v>
      </c>
      <c r="D32" s="24">
        <v>50000</v>
      </c>
      <c r="E32" s="24">
        <v>50000</v>
      </c>
      <c r="F32" s="87">
        <f>21+318</f>
        <v>339</v>
      </c>
      <c r="G32" s="13">
        <v>0</v>
      </c>
      <c r="H32" s="13">
        <v>63</v>
      </c>
    </row>
    <row r="33" spans="1:8" x14ac:dyDescent="0.25">
      <c r="A33" s="13" t="s">
        <v>365</v>
      </c>
      <c r="B33" s="88" t="s">
        <v>864</v>
      </c>
      <c r="C33" s="53" t="s">
        <v>218</v>
      </c>
      <c r="D33" s="24">
        <v>400000</v>
      </c>
      <c r="E33" s="24">
        <v>400000</v>
      </c>
      <c r="F33" s="87">
        <v>4477</v>
      </c>
      <c r="G33" s="13">
        <v>2739</v>
      </c>
      <c r="H33" s="13">
        <f>554+35</f>
        <v>589</v>
      </c>
    </row>
    <row r="34" spans="1:8" s="94" customFormat="1" x14ac:dyDescent="0.25">
      <c r="A34" s="13"/>
      <c r="B34" s="90" t="s">
        <v>367</v>
      </c>
      <c r="C34" s="91" t="s">
        <v>218</v>
      </c>
      <c r="D34" s="92">
        <f>SUM(D24:D33)</f>
        <v>500000</v>
      </c>
      <c r="E34" s="92">
        <f>SUM(E24:E33)</f>
        <v>500000</v>
      </c>
      <c r="F34" s="100"/>
    </row>
    <row r="36" spans="1:8" x14ac:dyDescent="0.25">
      <c r="D36" s="14"/>
      <c r="E36" s="14"/>
    </row>
    <row r="37" spans="1:8" ht="31.5" x14ac:dyDescent="0.25">
      <c r="A37" s="13" t="s">
        <v>331</v>
      </c>
      <c r="B37" s="19" t="s">
        <v>12</v>
      </c>
      <c r="C37" s="47" t="s">
        <v>178</v>
      </c>
      <c r="D37" s="86" t="s">
        <v>10</v>
      </c>
      <c r="E37" s="86" t="s">
        <v>11</v>
      </c>
    </row>
    <row r="38" spans="1:8" x14ac:dyDescent="0.25">
      <c r="A38" s="13" t="s">
        <v>368</v>
      </c>
      <c r="B38" s="101" t="s">
        <v>369</v>
      </c>
      <c r="C38" s="64" t="s">
        <v>180</v>
      </c>
      <c r="D38" s="102">
        <v>134972600</v>
      </c>
      <c r="E38" s="102">
        <f>134972600+3831000</f>
        <v>138803600</v>
      </c>
      <c r="F38" s="13" t="s">
        <v>370</v>
      </c>
    </row>
    <row r="39" spans="1:8" x14ac:dyDescent="0.25">
      <c r="B39" s="101" t="s">
        <v>371</v>
      </c>
      <c r="C39" s="64" t="s">
        <v>180</v>
      </c>
      <c r="D39" s="102">
        <v>72043030</v>
      </c>
      <c r="E39" s="102">
        <v>72043030</v>
      </c>
      <c r="F39" s="13" t="s">
        <v>372</v>
      </c>
    </row>
    <row r="40" spans="1:8" ht="31.5" x14ac:dyDescent="0.25">
      <c r="B40" s="103" t="s">
        <v>373</v>
      </c>
      <c r="C40" s="64" t="s">
        <v>180</v>
      </c>
      <c r="D40" s="102">
        <v>9628836</v>
      </c>
      <c r="E40" s="102">
        <v>9628836</v>
      </c>
      <c r="F40" s="13" t="s">
        <v>374</v>
      </c>
    </row>
    <row r="41" spans="1:8" x14ac:dyDescent="0.25">
      <c r="B41" s="103" t="s">
        <v>375</v>
      </c>
      <c r="C41" s="64" t="s">
        <v>180</v>
      </c>
      <c r="D41" s="102">
        <v>28280000</v>
      </c>
      <c r="E41" s="102">
        <v>28280000</v>
      </c>
      <c r="F41" s="13" t="s">
        <v>376</v>
      </c>
    </row>
    <row r="42" spans="1:8" x14ac:dyDescent="0.25">
      <c r="B42" s="103" t="s">
        <v>377</v>
      </c>
      <c r="C42" s="64" t="s">
        <v>180</v>
      </c>
      <c r="D42" s="102">
        <v>6500000</v>
      </c>
      <c r="E42" s="102">
        <v>6500000</v>
      </c>
      <c r="F42" s="13" t="s">
        <v>378</v>
      </c>
    </row>
    <row r="43" spans="1:8" x14ac:dyDescent="0.25">
      <c r="B43" s="103" t="s">
        <v>379</v>
      </c>
      <c r="C43" s="64" t="s">
        <v>180</v>
      </c>
      <c r="D43" s="102">
        <v>17514150</v>
      </c>
      <c r="E43" s="102">
        <v>17514150</v>
      </c>
    </row>
    <row r="44" spans="1:8" x14ac:dyDescent="0.25">
      <c r="B44" s="103" t="s">
        <v>380</v>
      </c>
      <c r="C44" s="64" t="s">
        <v>180</v>
      </c>
      <c r="D44" s="102">
        <v>0</v>
      </c>
      <c r="E44" s="102">
        <v>0</v>
      </c>
    </row>
    <row r="45" spans="1:8" x14ac:dyDescent="0.25">
      <c r="B45" s="101" t="s">
        <v>382</v>
      </c>
      <c r="C45" s="64" t="s">
        <v>180</v>
      </c>
      <c r="D45" s="102">
        <v>0</v>
      </c>
      <c r="E45" s="102">
        <v>0</v>
      </c>
    </row>
    <row r="46" spans="1:8" x14ac:dyDescent="0.25">
      <c r="B46" s="101" t="s">
        <v>383</v>
      </c>
      <c r="C46" s="64" t="s">
        <v>180</v>
      </c>
      <c r="D46" s="102">
        <v>1675770</v>
      </c>
      <c r="E46" s="102">
        <v>1675770</v>
      </c>
    </row>
    <row r="47" spans="1:8" x14ac:dyDescent="0.25">
      <c r="B47" s="101" t="s">
        <v>381</v>
      </c>
      <c r="C47" s="64" t="s">
        <v>180</v>
      </c>
      <c r="D47" s="102">
        <v>1597686</v>
      </c>
      <c r="E47" s="102">
        <v>1597686</v>
      </c>
    </row>
    <row r="48" spans="1:8" x14ac:dyDescent="0.25">
      <c r="B48" s="101" t="s">
        <v>817</v>
      </c>
      <c r="C48" s="64" t="s">
        <v>180</v>
      </c>
      <c r="D48" s="102">
        <v>1961400</v>
      </c>
      <c r="E48" s="102">
        <v>1961400</v>
      </c>
    </row>
    <row r="49" spans="1:7" x14ac:dyDescent="0.25">
      <c r="B49" s="101" t="s">
        <v>911</v>
      </c>
      <c r="C49" s="64" t="s">
        <v>180</v>
      </c>
      <c r="D49" s="102"/>
      <c r="E49" s="102">
        <v>4427362</v>
      </c>
    </row>
    <row r="50" spans="1:7" s="107" customFormat="1" x14ac:dyDescent="0.25">
      <c r="A50" s="13" t="s">
        <v>384</v>
      </c>
      <c r="B50" s="104" t="s">
        <v>385</v>
      </c>
      <c r="C50" s="91" t="s">
        <v>180</v>
      </c>
      <c r="D50" s="105">
        <f>SUM(D38:D49)-D39</f>
        <v>202130442</v>
      </c>
      <c r="E50" s="105">
        <f>SUM(E38:E49)-E39</f>
        <v>210388804</v>
      </c>
      <c r="F50" s="106">
        <v>210388804</v>
      </c>
      <c r="G50" s="106">
        <f>+F50-E50</f>
        <v>0</v>
      </c>
    </row>
    <row r="51" spans="1:7" s="27" customFormat="1" x14ac:dyDescent="0.25">
      <c r="A51" s="13"/>
      <c r="B51" s="108" t="s">
        <v>386</v>
      </c>
      <c r="C51" s="64" t="s">
        <v>182</v>
      </c>
      <c r="D51" s="102">
        <f>76646967+38323483</f>
        <v>114970450</v>
      </c>
      <c r="E51" s="102">
        <f>76646967+38323483+3510000</f>
        <v>118480450</v>
      </c>
    </row>
    <row r="52" spans="1:7" s="27" customFormat="1" x14ac:dyDescent="0.25">
      <c r="A52" s="13"/>
      <c r="B52" s="108" t="s">
        <v>387</v>
      </c>
      <c r="C52" s="64" t="s">
        <v>182</v>
      </c>
      <c r="D52" s="102">
        <f>26460000+13230000</f>
        <v>39690000</v>
      </c>
      <c r="E52" s="102">
        <f>26460000+13230000-802858</f>
        <v>38887142</v>
      </c>
    </row>
    <row r="53" spans="1:7" s="27" customFormat="1" x14ac:dyDescent="0.25">
      <c r="A53" s="13"/>
      <c r="B53" s="108" t="s">
        <v>388</v>
      </c>
      <c r="C53" s="64" t="s">
        <v>182</v>
      </c>
      <c r="D53" s="102">
        <f>19480000+9740000</f>
        <v>29220000</v>
      </c>
      <c r="E53" s="102">
        <f>19480000+9740000</f>
        <v>29220000</v>
      </c>
    </row>
    <row r="54" spans="1:7" s="27" customFormat="1" x14ac:dyDescent="0.25">
      <c r="A54" s="13"/>
      <c r="B54" s="108" t="s">
        <v>389</v>
      </c>
      <c r="C54" s="64" t="s">
        <v>182</v>
      </c>
      <c r="D54" s="102">
        <f>2776900+1447300</f>
        <v>4224200</v>
      </c>
      <c r="E54" s="102">
        <f>2776900+1447300</f>
        <v>4224200</v>
      </c>
    </row>
    <row r="55" spans="1:7" s="27" customFormat="1" x14ac:dyDescent="0.25">
      <c r="A55" s="13"/>
      <c r="B55" s="101"/>
      <c r="C55" s="64" t="s">
        <v>182</v>
      </c>
      <c r="D55" s="102"/>
      <c r="E55" s="102"/>
    </row>
    <row r="56" spans="1:7" s="107" customFormat="1" ht="31.5" x14ac:dyDescent="0.25">
      <c r="A56" s="13" t="s">
        <v>390</v>
      </c>
      <c r="B56" s="90" t="s">
        <v>391</v>
      </c>
      <c r="C56" s="91" t="s">
        <v>182</v>
      </c>
      <c r="D56" s="105">
        <f>SUM(D51:D55)</f>
        <v>188104650</v>
      </c>
      <c r="E56" s="105">
        <f>SUM(E51:E55)</f>
        <v>190811792</v>
      </c>
      <c r="F56" s="106">
        <v>190811792</v>
      </c>
      <c r="G56" s="106">
        <f>+F56-E56</f>
        <v>0</v>
      </c>
    </row>
    <row r="57" spans="1:7" s="27" customFormat="1" x14ac:dyDescent="0.25">
      <c r="A57" s="13"/>
      <c r="B57" s="101" t="s">
        <v>392</v>
      </c>
      <c r="C57" s="64" t="s">
        <v>184</v>
      </c>
      <c r="D57" s="102">
        <v>91340000</v>
      </c>
      <c r="E57" s="102">
        <v>91340000</v>
      </c>
      <c r="F57" s="27" t="s">
        <v>393</v>
      </c>
    </row>
    <row r="58" spans="1:7" s="27" customFormat="1" x14ac:dyDescent="0.25">
      <c r="A58" s="13"/>
      <c r="B58" s="109" t="s">
        <v>394</v>
      </c>
      <c r="C58" s="64" t="s">
        <v>184</v>
      </c>
      <c r="D58" s="102">
        <v>4760000</v>
      </c>
      <c r="E58" s="102">
        <f>4760000+532000</f>
        <v>5292000</v>
      </c>
      <c r="F58" s="27" t="s">
        <v>395</v>
      </c>
    </row>
    <row r="59" spans="1:7" s="27" customFormat="1" x14ac:dyDescent="0.25">
      <c r="A59" s="13"/>
      <c r="B59" s="109" t="s">
        <v>396</v>
      </c>
      <c r="C59" s="64" t="s">
        <v>184</v>
      </c>
      <c r="D59" s="102">
        <v>24750000</v>
      </c>
      <c r="E59" s="102">
        <v>24750000</v>
      </c>
    </row>
    <row r="60" spans="1:7" s="27" customFormat="1" x14ac:dyDescent="0.25">
      <c r="A60" s="13"/>
      <c r="B60" s="101" t="s">
        <v>397</v>
      </c>
      <c r="C60" s="64" t="s">
        <v>184</v>
      </c>
      <c r="D60" s="102">
        <v>7196800</v>
      </c>
      <c r="E60" s="102">
        <f>7196800+1300000</f>
        <v>8496800</v>
      </c>
      <c r="F60" s="27" t="s">
        <v>395</v>
      </c>
    </row>
    <row r="61" spans="1:7" s="27" customFormat="1" x14ac:dyDescent="0.25">
      <c r="A61" s="13"/>
      <c r="B61" s="101" t="s">
        <v>398</v>
      </c>
      <c r="C61" s="64" t="s">
        <v>184</v>
      </c>
      <c r="D61" s="102">
        <f>150000+6600000</f>
        <v>6750000</v>
      </c>
      <c r="E61" s="102">
        <f>150000+6600000</f>
        <v>6750000</v>
      </c>
      <c r="F61" s="27" t="s">
        <v>395</v>
      </c>
    </row>
    <row r="62" spans="1:7" s="27" customFormat="1" x14ac:dyDescent="0.25">
      <c r="A62" s="13"/>
      <c r="B62" s="101" t="s">
        <v>399</v>
      </c>
      <c r="C62" s="64" t="s">
        <v>184</v>
      </c>
      <c r="D62" s="102">
        <v>2725000</v>
      </c>
      <c r="E62" s="102">
        <f>2725000+2025000</f>
        <v>4750000</v>
      </c>
      <c r="F62" s="27" t="s">
        <v>395</v>
      </c>
    </row>
    <row r="63" spans="1:7" s="27" customFormat="1" x14ac:dyDescent="0.25">
      <c r="A63" s="13"/>
      <c r="B63" s="101" t="s">
        <v>400</v>
      </c>
      <c r="C63" s="64" t="s">
        <v>184</v>
      </c>
      <c r="D63" s="102">
        <v>5000000</v>
      </c>
      <c r="E63" s="102">
        <f>5000000+1890000</f>
        <v>6890000</v>
      </c>
    </row>
    <row r="64" spans="1:7" s="27" customFormat="1" x14ac:dyDescent="0.25">
      <c r="A64" s="13"/>
      <c r="B64" s="101" t="s">
        <v>401</v>
      </c>
      <c r="C64" s="64" t="s">
        <v>184</v>
      </c>
      <c r="D64" s="102">
        <f>3400000+6750000</f>
        <v>10150000</v>
      </c>
      <c r="E64" s="102">
        <f>3400000+6750000</f>
        <v>10150000</v>
      </c>
      <c r="F64" s="27" t="s">
        <v>395</v>
      </c>
    </row>
    <row r="65" spans="1:7" s="27" customFormat="1" x14ac:dyDescent="0.25">
      <c r="A65" s="13"/>
      <c r="B65" s="101" t="s">
        <v>862</v>
      </c>
      <c r="C65" s="64" t="s">
        <v>184</v>
      </c>
      <c r="D65" s="102">
        <v>12693545</v>
      </c>
      <c r="E65" s="102">
        <v>12693545</v>
      </c>
    </row>
    <row r="66" spans="1:7" s="27" customFormat="1" x14ac:dyDescent="0.25">
      <c r="A66" s="13"/>
      <c r="B66" s="101" t="s">
        <v>402</v>
      </c>
      <c r="C66" s="64" t="s">
        <v>184</v>
      </c>
      <c r="D66" s="102">
        <v>113920000</v>
      </c>
      <c r="E66" s="102">
        <f>113920000+48118000</f>
        <v>162038000</v>
      </c>
      <c r="F66" s="27" t="s">
        <v>395</v>
      </c>
    </row>
    <row r="67" spans="1:7" s="27" customFormat="1" x14ac:dyDescent="0.25">
      <c r="A67" s="13"/>
      <c r="B67" s="101" t="s">
        <v>403</v>
      </c>
      <c r="C67" s="64" t="s">
        <v>184</v>
      </c>
      <c r="D67" s="102">
        <v>75148000</v>
      </c>
      <c r="E67" s="102">
        <v>75148000</v>
      </c>
      <c r="F67" s="27" t="s">
        <v>395</v>
      </c>
    </row>
    <row r="68" spans="1:7" s="27" customFormat="1" x14ac:dyDescent="0.25">
      <c r="A68" s="13"/>
      <c r="B68" s="101" t="s">
        <v>404</v>
      </c>
      <c r="C68" s="64" t="s">
        <v>184</v>
      </c>
      <c r="D68" s="102">
        <v>68058000</v>
      </c>
      <c r="E68" s="102">
        <f>68058000+7164000</f>
        <v>75222000</v>
      </c>
    </row>
    <row r="69" spans="1:7" s="27" customFormat="1" x14ac:dyDescent="0.25">
      <c r="A69" s="13"/>
      <c r="B69" s="101" t="s">
        <v>405</v>
      </c>
      <c r="C69" s="64" t="s">
        <v>184</v>
      </c>
      <c r="D69" s="102">
        <v>99515371</v>
      </c>
      <c r="E69" s="102">
        <v>99515371</v>
      </c>
    </row>
    <row r="70" spans="1:7" s="27" customFormat="1" x14ac:dyDescent="0.25">
      <c r="A70" s="13"/>
      <c r="B70" s="109" t="s">
        <v>406</v>
      </c>
      <c r="C70" s="64" t="s">
        <v>184</v>
      </c>
      <c r="D70" s="102">
        <v>7708324</v>
      </c>
      <c r="E70" s="102">
        <v>7708324</v>
      </c>
    </row>
    <row r="71" spans="1:7" s="27" customFormat="1" x14ac:dyDescent="0.25">
      <c r="A71" s="13"/>
      <c r="B71" s="101" t="s">
        <v>819</v>
      </c>
      <c r="C71" s="64" t="s">
        <v>184</v>
      </c>
      <c r="D71" s="102">
        <v>24243300</v>
      </c>
      <c r="E71" s="102">
        <v>24243300</v>
      </c>
    </row>
    <row r="72" spans="1:7" s="27" customFormat="1" x14ac:dyDescent="0.25">
      <c r="A72" s="13"/>
      <c r="B72" s="101" t="s">
        <v>818</v>
      </c>
      <c r="C72" s="64" t="s">
        <v>184</v>
      </c>
      <c r="D72" s="102">
        <v>11192000</v>
      </c>
      <c r="E72" s="102">
        <v>11192000</v>
      </c>
    </row>
    <row r="73" spans="1:7" s="27" customFormat="1" x14ac:dyDescent="0.25">
      <c r="A73" s="13"/>
      <c r="B73" s="101" t="s">
        <v>908</v>
      </c>
      <c r="C73" s="64" t="s">
        <v>184</v>
      </c>
      <c r="D73" s="102"/>
      <c r="E73" s="102">
        <v>57897162</v>
      </c>
    </row>
    <row r="74" spans="1:7" s="94" customFormat="1" ht="31.5" x14ac:dyDescent="0.25">
      <c r="A74" s="13" t="s">
        <v>407</v>
      </c>
      <c r="B74" s="90" t="s">
        <v>408</v>
      </c>
      <c r="C74" s="91" t="s">
        <v>184</v>
      </c>
      <c r="D74" s="105">
        <f>SUM(D57:D73)</f>
        <v>565150340</v>
      </c>
      <c r="E74" s="105">
        <f>SUM(E57:E73)</f>
        <v>684076502</v>
      </c>
      <c r="F74" s="106">
        <v>684076502</v>
      </c>
      <c r="G74" s="114">
        <f>+F74-E74</f>
        <v>0</v>
      </c>
    </row>
    <row r="75" spans="1:7" x14ac:dyDescent="0.25">
      <c r="B75" s="101" t="s">
        <v>409</v>
      </c>
      <c r="C75" s="64" t="s">
        <v>186</v>
      </c>
      <c r="D75" s="102">
        <v>13368080</v>
      </c>
      <c r="E75" s="102">
        <f>13368080+453000+2218000</f>
        <v>16039080</v>
      </c>
      <c r="F75" s="13" t="s">
        <v>410</v>
      </c>
    </row>
    <row r="76" spans="1:7" x14ac:dyDescent="0.25">
      <c r="B76" s="101" t="s">
        <v>909</v>
      </c>
      <c r="C76" s="64" t="s">
        <v>186</v>
      </c>
      <c r="D76" s="102"/>
      <c r="E76" s="102">
        <f>317392+317392+317392+297555+317392+312079+311421+1399512</f>
        <v>3590135</v>
      </c>
    </row>
    <row r="77" spans="1:7" x14ac:dyDescent="0.25">
      <c r="B77" s="474" t="s">
        <v>912</v>
      </c>
      <c r="C77" s="64" t="s">
        <v>186</v>
      </c>
      <c r="D77" s="102">
        <v>0</v>
      </c>
      <c r="E77" s="102">
        <v>167000</v>
      </c>
      <c r="F77" s="13" t="s">
        <v>410</v>
      </c>
    </row>
    <row r="78" spans="1:7" s="94" customFormat="1" ht="29.85" customHeight="1" x14ac:dyDescent="0.25">
      <c r="A78" s="13" t="s">
        <v>411</v>
      </c>
      <c r="B78" s="90" t="s">
        <v>412</v>
      </c>
      <c r="C78" s="91" t="s">
        <v>186</v>
      </c>
      <c r="D78" s="105">
        <f>SUM(D75:D77)</f>
        <v>13368080</v>
      </c>
      <c r="E78" s="105">
        <f>SUM(E75:E77)</f>
        <v>19796215</v>
      </c>
      <c r="F78" s="106">
        <v>19796215</v>
      </c>
      <c r="G78" s="114">
        <f>+F78-E78</f>
        <v>0</v>
      </c>
    </row>
    <row r="79" spans="1:7" x14ac:dyDescent="0.25">
      <c r="B79" s="475"/>
      <c r="C79" s="64"/>
      <c r="D79" s="102"/>
      <c r="E79" s="102"/>
    </row>
    <row r="80" spans="1:7" x14ac:dyDescent="0.25">
      <c r="B80" s="468" t="s">
        <v>413</v>
      </c>
      <c r="C80" s="367" t="s">
        <v>188</v>
      </c>
      <c r="D80" s="102"/>
      <c r="E80" s="102">
        <v>26282200</v>
      </c>
    </row>
    <row r="81" spans="1:9" x14ac:dyDescent="0.25">
      <c r="B81" s="477" t="s">
        <v>870</v>
      </c>
      <c r="C81" s="367" t="s">
        <v>188</v>
      </c>
      <c r="D81" s="102">
        <v>23576000</v>
      </c>
      <c r="E81" s="102">
        <v>23576000</v>
      </c>
    </row>
    <row r="82" spans="1:9" s="110" customFormat="1" ht="17.25" customHeight="1" x14ac:dyDescent="0.25">
      <c r="B82" s="476" t="s">
        <v>414</v>
      </c>
      <c r="C82" s="111" t="s">
        <v>188</v>
      </c>
      <c r="D82" s="112">
        <f>299676893+5724000+291000-118956862+1905000+1530582+2124000</f>
        <v>192294613</v>
      </c>
      <c r="E82" s="112">
        <f>14415464+90485676-90485676</f>
        <v>14415464</v>
      </c>
    </row>
    <row r="83" spans="1:9" s="107" customFormat="1" x14ac:dyDescent="0.25">
      <c r="A83" s="13" t="s">
        <v>415</v>
      </c>
      <c r="B83" s="372" t="s">
        <v>416</v>
      </c>
      <c r="C83" s="373" t="s">
        <v>188</v>
      </c>
      <c r="D83" s="479">
        <f>SUM(D79:D82)</f>
        <v>215870613</v>
      </c>
      <c r="E83" s="479">
        <f>SUM(E79:E82)</f>
        <v>64273664</v>
      </c>
      <c r="F83" s="106">
        <v>64273664</v>
      </c>
      <c r="G83" s="114">
        <f>+F83-E83</f>
        <v>0</v>
      </c>
    </row>
    <row r="84" spans="1:9" s="107" customFormat="1" x14ac:dyDescent="0.25">
      <c r="A84" s="13"/>
      <c r="B84" s="483"/>
      <c r="C84" s="484"/>
      <c r="D84" s="485"/>
      <c r="E84" s="485"/>
      <c r="F84" s="106"/>
      <c r="G84" s="114"/>
    </row>
    <row r="85" spans="1:9" ht="31.5" x14ac:dyDescent="0.25">
      <c r="A85" s="13" t="s">
        <v>417</v>
      </c>
      <c r="B85" s="486" t="s">
        <v>915</v>
      </c>
      <c r="C85" s="484" t="s">
        <v>190</v>
      </c>
      <c r="D85" s="485"/>
      <c r="E85" s="485">
        <v>1076510</v>
      </c>
      <c r="I85" s="13" t="s">
        <v>418</v>
      </c>
    </row>
    <row r="86" spans="1:9" s="107" customFormat="1" x14ac:dyDescent="0.25">
      <c r="A86" s="13"/>
      <c r="B86" s="480" t="s">
        <v>419</v>
      </c>
      <c r="C86" s="481" t="s">
        <v>190</v>
      </c>
      <c r="D86" s="482">
        <f>SUM(D85:D85)</f>
        <v>0</v>
      </c>
      <c r="E86" s="482">
        <f>SUM(E85:E85)</f>
        <v>1076510</v>
      </c>
      <c r="F86" s="13"/>
    </row>
    <row r="87" spans="1:9" s="94" customFormat="1" x14ac:dyDescent="0.25">
      <c r="A87" s="13"/>
      <c r="B87" s="113" t="s">
        <v>191</v>
      </c>
      <c r="C87" s="113" t="s">
        <v>192</v>
      </c>
      <c r="D87" s="92">
        <f>+D86+D83+D78+D74+D56+D50</f>
        <v>1184624125</v>
      </c>
      <c r="E87" s="92">
        <f>+E86+E83+E78+E74+E56+E50</f>
        <v>1170423487</v>
      </c>
      <c r="F87" s="114"/>
    </row>
    <row r="88" spans="1:9" x14ac:dyDescent="0.25">
      <c r="D88" s="115"/>
      <c r="E88" s="115"/>
    </row>
    <row r="89" spans="1:9" x14ac:dyDescent="0.25">
      <c r="D89" s="14"/>
      <c r="E89" s="14"/>
    </row>
    <row r="90" spans="1:9" x14ac:dyDescent="0.25">
      <c r="D90" s="116"/>
      <c r="E90" s="116"/>
    </row>
    <row r="91" spans="1:9" x14ac:dyDescent="0.25">
      <c r="D91" s="14"/>
      <c r="E91" s="14"/>
    </row>
    <row r="92" spans="1:9" x14ac:dyDescent="0.25">
      <c r="D92" s="14"/>
      <c r="E92" s="14"/>
    </row>
    <row r="93" spans="1:9" x14ac:dyDescent="0.25">
      <c r="D93" s="14"/>
      <c r="E93" s="14"/>
    </row>
    <row r="94" spans="1:9" x14ac:dyDescent="0.25">
      <c r="D94" s="14"/>
      <c r="E94" s="14"/>
    </row>
    <row r="95" spans="1:9" x14ac:dyDescent="0.25">
      <c r="D95" s="14"/>
      <c r="E95" s="14"/>
    </row>
    <row r="96" spans="1:9" x14ac:dyDescent="0.25">
      <c r="D96" s="14"/>
      <c r="E96" s="14"/>
    </row>
    <row r="97" spans="4:5" x14ac:dyDescent="0.25">
      <c r="D97" s="14"/>
      <c r="E97" s="14"/>
    </row>
    <row r="98" spans="4:5" x14ac:dyDescent="0.25">
      <c r="D98" s="14"/>
      <c r="E98" s="14"/>
    </row>
    <row r="99" spans="4:5" x14ac:dyDescent="0.25">
      <c r="D99" s="14"/>
      <c r="E99" s="14"/>
    </row>
  </sheetData>
  <sheetProtection selectLockedCells="1" selectUnlockedCells="1"/>
  <phoneticPr fontId="80" type="noConversion"/>
  <printOptions horizontalCentered="1"/>
  <pageMargins left="0.70833333333333337" right="0.43333333333333335" top="0.41597222222222224" bottom="0.74861111111111112" header="0.51180555555555551" footer="0.31527777777777777"/>
  <pageSetup paperSize="9" scale="76" firstPageNumber="0" orientation="portrait" horizontalDpi="300" verticalDpi="300" r:id="rId1"/>
  <headerFooter alignWithMargins="0">
    <oddFooter>&amp;R&amp;P</oddFooter>
  </headerFooter>
  <rowBreaks count="1" manualBreakCount="1">
    <brk id="3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94"/>
  <sheetViews>
    <sheetView view="pageBreakPreview" zoomScale="80" zoomScaleSheetLayoutView="80" workbookViewId="0">
      <selection activeCell="G2" sqref="G2"/>
    </sheetView>
  </sheetViews>
  <sheetFormatPr defaultColWidth="11.5703125" defaultRowHeight="15.75" x14ac:dyDescent="0.25"/>
  <cols>
    <col min="1" max="1" width="11.7109375" style="13" customWidth="1"/>
    <col min="2" max="2" width="87.5703125" style="13" customWidth="1"/>
    <col min="3" max="3" width="9.140625" style="13" customWidth="1"/>
    <col min="4" max="4" width="16" style="14" customWidth="1"/>
    <col min="5" max="5" width="17.42578125" style="14" customWidth="1"/>
    <col min="6" max="6" width="14.7109375" style="14" customWidth="1"/>
    <col min="7" max="7" width="15" style="14" customWidth="1"/>
    <col min="8" max="8" width="9.140625" style="13" customWidth="1"/>
    <col min="9" max="9" width="12.5703125" style="13" customWidth="1"/>
    <col min="10" max="253" width="9.140625" style="13" customWidth="1"/>
  </cols>
  <sheetData>
    <row r="1" spans="1:7" x14ac:dyDescent="0.25">
      <c r="G1" s="15" t="s">
        <v>420</v>
      </c>
    </row>
    <row r="2" spans="1:7" x14ac:dyDescent="0.25">
      <c r="G2" s="16" t="s">
        <v>919</v>
      </c>
    </row>
    <row r="3" spans="1:7" x14ac:dyDescent="0.25">
      <c r="E3" s="15"/>
      <c r="G3" s="15"/>
    </row>
    <row r="4" spans="1:7" ht="27" customHeight="1" x14ac:dyDescent="0.3">
      <c r="B4" s="4" t="s">
        <v>857</v>
      </c>
      <c r="C4" s="36"/>
      <c r="D4" s="36"/>
      <c r="F4" s="36"/>
    </row>
    <row r="5" spans="1:7" x14ac:dyDescent="0.25">
      <c r="B5" s="43"/>
      <c r="C5" s="42"/>
      <c r="D5" s="42"/>
      <c r="F5" s="42"/>
    </row>
    <row r="6" spans="1:7" ht="12.75" customHeight="1" x14ac:dyDescent="0.25">
      <c r="B6" s="493" t="s">
        <v>824</v>
      </c>
      <c r="C6" s="493"/>
    </row>
    <row r="7" spans="1:7" ht="15.75" customHeight="1" x14ac:dyDescent="0.25">
      <c r="B7" s="41"/>
      <c r="C7" s="42"/>
      <c r="D7" s="44"/>
      <c r="F7" s="44"/>
    </row>
    <row r="8" spans="1:7" ht="39.200000000000003" customHeight="1" x14ac:dyDescent="0.25">
      <c r="D8" s="494" t="s">
        <v>421</v>
      </c>
      <c r="E8" s="494"/>
      <c r="F8" s="494" t="s">
        <v>11</v>
      </c>
      <c r="G8" s="494"/>
    </row>
    <row r="9" spans="1:7" ht="31.5" x14ac:dyDescent="0.25">
      <c r="B9" s="19" t="s">
        <v>12</v>
      </c>
      <c r="C9" s="47" t="s">
        <v>38</v>
      </c>
      <c r="D9" s="49" t="s">
        <v>422</v>
      </c>
      <c r="E9" s="49" t="s">
        <v>423</v>
      </c>
      <c r="F9" s="49" t="s">
        <v>422</v>
      </c>
      <c r="G9" s="49" t="s">
        <v>423</v>
      </c>
    </row>
    <row r="10" spans="1:7" hidden="1" x14ac:dyDescent="0.25">
      <c r="B10" s="66"/>
      <c r="C10" s="64"/>
      <c r="D10" s="24"/>
      <c r="E10" s="24"/>
      <c r="F10" s="24"/>
      <c r="G10" s="24"/>
    </row>
    <row r="11" spans="1:7" hidden="1" x14ac:dyDescent="0.25">
      <c r="B11" s="66"/>
      <c r="C11" s="64"/>
      <c r="D11" s="24"/>
      <c r="E11" s="24"/>
      <c r="F11" s="24"/>
      <c r="G11" s="24"/>
    </row>
    <row r="12" spans="1:7" s="94" customFormat="1" ht="31.5" hidden="1" x14ac:dyDescent="0.25">
      <c r="A12" s="13" t="s">
        <v>331</v>
      </c>
      <c r="B12" s="90" t="s">
        <v>424</v>
      </c>
      <c r="C12" s="91" t="s">
        <v>198</v>
      </c>
      <c r="D12" s="92">
        <f>SUM(D10:D11)</f>
        <v>0</v>
      </c>
      <c r="E12" s="92">
        <f>SUM(E10:E11)</f>
        <v>0</v>
      </c>
      <c r="F12" s="92">
        <f>SUM(F10:F11)</f>
        <v>0</v>
      </c>
      <c r="G12" s="92">
        <f>SUM(G10:G11)</f>
        <v>0</v>
      </c>
    </row>
    <row r="13" spans="1:7" hidden="1" x14ac:dyDescent="0.25">
      <c r="A13" s="13" t="s">
        <v>425</v>
      </c>
      <c r="B13" s="66"/>
      <c r="C13" s="64"/>
      <c r="D13" s="24"/>
      <c r="E13" s="24"/>
      <c r="F13" s="24"/>
      <c r="G13" s="24"/>
    </row>
    <row r="14" spans="1:7" hidden="1" x14ac:dyDescent="0.25">
      <c r="B14" s="66"/>
      <c r="C14" s="64"/>
      <c r="D14" s="24"/>
      <c r="E14" s="24"/>
      <c r="F14" s="24"/>
      <c r="G14" s="24"/>
    </row>
    <row r="15" spans="1:7" s="94" customFormat="1" ht="31.5" hidden="1" x14ac:dyDescent="0.25">
      <c r="A15" s="13"/>
      <c r="B15" s="90" t="s">
        <v>426</v>
      </c>
      <c r="C15" s="91" t="s">
        <v>200</v>
      </c>
      <c r="D15" s="92">
        <f>SUM(D13:D14)</f>
        <v>0</v>
      </c>
      <c r="E15" s="92">
        <f>SUM(E13:E14)</f>
        <v>0</v>
      </c>
      <c r="F15" s="92">
        <f>SUM(F13:F14)</f>
        <v>0</v>
      </c>
      <c r="G15" s="92">
        <f>SUM(G13:G14)</f>
        <v>0</v>
      </c>
    </row>
    <row r="16" spans="1:7" x14ac:dyDescent="0.25">
      <c r="B16" s="56"/>
      <c r="C16" s="65"/>
      <c r="D16" s="25" t="s">
        <v>418</v>
      </c>
      <c r="E16" s="24"/>
      <c r="F16" s="25"/>
      <c r="G16" s="24"/>
    </row>
    <row r="17" spans="1:8" x14ac:dyDescent="0.25">
      <c r="B17" s="117" t="s">
        <v>916</v>
      </c>
      <c r="C17" s="111" t="s">
        <v>427</v>
      </c>
      <c r="D17" s="25"/>
      <c r="E17" s="24"/>
      <c r="F17" s="24"/>
      <c r="G17" s="24">
        <v>850000</v>
      </c>
    </row>
    <row r="18" spans="1:8" x14ac:dyDescent="0.25">
      <c r="B18" s="118" t="s">
        <v>429</v>
      </c>
      <c r="C18" s="111" t="s">
        <v>427</v>
      </c>
      <c r="D18" s="24"/>
      <c r="E18" s="24">
        <f>154465000-103617245</f>
        <v>50847755</v>
      </c>
      <c r="F18" s="25"/>
      <c r="G18" s="24">
        <f>154465000-103617245-8000000</f>
        <v>42847755</v>
      </c>
      <c r="H18" s="13" t="s">
        <v>669</v>
      </c>
    </row>
    <row r="19" spans="1:8" x14ac:dyDescent="0.25">
      <c r="A19" s="13">
        <v>1</v>
      </c>
      <c r="B19" s="117" t="s">
        <v>430</v>
      </c>
      <c r="C19" s="111" t="s">
        <v>427</v>
      </c>
      <c r="D19" s="24"/>
      <c r="E19" s="24">
        <f>500000000-142200775</f>
        <v>357799225</v>
      </c>
      <c r="F19" s="24"/>
      <c r="G19" s="24">
        <f>500000000-142200775-297000000</f>
        <v>60799225</v>
      </c>
      <c r="H19" s="329" t="s">
        <v>669</v>
      </c>
    </row>
    <row r="20" spans="1:8" s="94" customFormat="1" x14ac:dyDescent="0.25">
      <c r="A20" s="13" t="s">
        <v>431</v>
      </c>
      <c r="B20" s="120" t="s">
        <v>432</v>
      </c>
      <c r="C20" s="121" t="s">
        <v>427</v>
      </c>
      <c r="D20" s="122">
        <f>SUM(D16:D19)</f>
        <v>0</v>
      </c>
      <c r="E20" s="122">
        <f>SUM(E16:E19)</f>
        <v>408646980</v>
      </c>
      <c r="F20" s="122">
        <f>SUM(F16:F19)</f>
        <v>0</v>
      </c>
      <c r="G20" s="122">
        <f>SUM(G16:G19)</f>
        <v>104496980</v>
      </c>
      <c r="H20" s="123"/>
    </row>
    <row r="21" spans="1:8" x14ac:dyDescent="0.25">
      <c r="B21" s="124"/>
      <c r="C21" s="65"/>
      <c r="D21" s="125"/>
      <c r="E21" s="125"/>
      <c r="F21" s="125"/>
      <c r="G21" s="125"/>
      <c r="H21" s="119"/>
    </row>
    <row r="22" spans="1:8" x14ac:dyDescent="0.25">
      <c r="A22" s="13">
        <v>5</v>
      </c>
      <c r="B22" s="126" t="s">
        <v>433</v>
      </c>
      <c r="C22" s="111" t="s">
        <v>434</v>
      </c>
      <c r="D22" s="24">
        <v>4968000</v>
      </c>
      <c r="E22" s="24"/>
      <c r="F22" s="24">
        <v>4968000</v>
      </c>
      <c r="G22" s="24"/>
      <c r="H22" s="27" t="s">
        <v>395</v>
      </c>
    </row>
    <row r="23" spans="1:8" x14ac:dyDescent="0.25">
      <c r="A23" s="13">
        <v>3</v>
      </c>
      <c r="B23" s="126" t="s">
        <v>435</v>
      </c>
      <c r="C23" s="111" t="s">
        <v>434</v>
      </c>
      <c r="D23" s="24">
        <v>2960000</v>
      </c>
      <c r="E23" s="24"/>
      <c r="F23" s="24">
        <v>2960000</v>
      </c>
      <c r="G23" s="24"/>
      <c r="H23" s="27" t="s">
        <v>395</v>
      </c>
    </row>
    <row r="24" spans="1:8" s="94" customFormat="1" x14ac:dyDescent="0.25">
      <c r="A24" s="13" t="s">
        <v>436</v>
      </c>
      <c r="B24" s="120" t="s">
        <v>437</v>
      </c>
      <c r="C24" s="121" t="s">
        <v>434</v>
      </c>
      <c r="D24" s="122">
        <f>SUM(D22:D23)</f>
        <v>7928000</v>
      </c>
      <c r="E24" s="122">
        <f>SUM(E22:E23)</f>
        <v>0</v>
      </c>
      <c r="F24" s="122">
        <f>SUM(F22:F23)</f>
        <v>7928000</v>
      </c>
      <c r="G24" s="122">
        <f>SUM(G22:G23)</f>
        <v>0</v>
      </c>
      <c r="H24" s="107"/>
    </row>
    <row r="25" spans="1:8" s="94" customFormat="1" x14ac:dyDescent="0.25">
      <c r="A25" s="13"/>
      <c r="B25" s="127" t="s">
        <v>438</v>
      </c>
      <c r="C25" s="128" t="s">
        <v>202</v>
      </c>
      <c r="D25" s="129">
        <f>+D24+D20</f>
        <v>7928000</v>
      </c>
      <c r="E25" s="129">
        <f>+E24+E20</f>
        <v>408646980</v>
      </c>
      <c r="F25" s="129">
        <f>+F24+F20</f>
        <v>7928000</v>
      </c>
      <c r="G25" s="129">
        <f>+G24+G20</f>
        <v>104496980</v>
      </c>
    </row>
    <row r="26" spans="1:8" ht="13.5" customHeight="1" x14ac:dyDescent="0.25">
      <c r="B26" s="130"/>
      <c r="C26" s="131"/>
      <c r="D26" s="132"/>
      <c r="E26" s="132"/>
      <c r="F26" s="132"/>
      <c r="G26" s="132"/>
    </row>
    <row r="27" spans="1:8" x14ac:dyDescent="0.25">
      <c r="A27" s="13" t="s">
        <v>439</v>
      </c>
      <c r="B27" s="117" t="s">
        <v>912</v>
      </c>
      <c r="C27" s="64" t="s">
        <v>440</v>
      </c>
      <c r="D27" s="97"/>
      <c r="E27" s="102"/>
      <c r="F27" s="97">
        <v>167000</v>
      </c>
      <c r="G27" s="102">
        <v>0</v>
      </c>
    </row>
    <row r="28" spans="1:8" s="94" customFormat="1" x14ac:dyDescent="0.25">
      <c r="A28" s="13"/>
      <c r="B28" s="127" t="s">
        <v>441</v>
      </c>
      <c r="C28" s="128" t="s">
        <v>440</v>
      </c>
      <c r="D28" s="129">
        <f>SUM(D26:D27)</f>
        <v>0</v>
      </c>
      <c r="E28" s="129">
        <f>SUM(E26:E27)</f>
        <v>0</v>
      </c>
      <c r="F28" s="129">
        <f>SUM(F26:F27)</f>
        <v>167000</v>
      </c>
      <c r="G28" s="129">
        <f>SUM(G26:G27)</f>
        <v>0</v>
      </c>
    </row>
    <row r="29" spans="1:8" ht="13.5" hidden="1" customHeight="1" x14ac:dyDescent="0.25">
      <c r="B29" s="130"/>
      <c r="C29" s="131"/>
      <c r="D29" s="132"/>
      <c r="E29" s="132"/>
      <c r="F29" s="132"/>
      <c r="G29" s="132"/>
    </row>
    <row r="30" spans="1:8" hidden="1" x14ac:dyDescent="0.25">
      <c r="B30" s="66"/>
      <c r="C30" s="64"/>
      <c r="D30" s="24"/>
      <c r="E30" s="24"/>
      <c r="F30" s="24"/>
      <c r="G30" s="24"/>
    </row>
    <row r="31" spans="1:8" s="94" customFormat="1" ht="31.5" hidden="1" x14ac:dyDescent="0.25">
      <c r="A31" s="13"/>
      <c r="B31" s="90" t="s">
        <v>442</v>
      </c>
      <c r="C31" s="91" t="s">
        <v>443</v>
      </c>
      <c r="D31" s="92">
        <f>SUM(D29:D30)</f>
        <v>0</v>
      </c>
      <c r="E31" s="92">
        <f>SUM(E29:E30)</f>
        <v>0</v>
      </c>
      <c r="F31" s="92">
        <f>SUM(F29:F30)</f>
        <v>0</v>
      </c>
      <c r="G31" s="92">
        <f>SUM(G29:G30)</f>
        <v>0</v>
      </c>
    </row>
    <row r="32" spans="1:8" hidden="1" x14ac:dyDescent="0.25">
      <c r="B32" s="66"/>
      <c r="C32" s="64"/>
      <c r="D32" s="24"/>
      <c r="E32" s="24"/>
      <c r="F32" s="24"/>
      <c r="G32" s="24"/>
    </row>
    <row r="33" spans="1:7" hidden="1" x14ac:dyDescent="0.25">
      <c r="B33" s="66"/>
      <c r="C33" s="64"/>
      <c r="D33" s="24"/>
      <c r="E33" s="24"/>
      <c r="F33" s="24"/>
      <c r="G33" s="24"/>
    </row>
    <row r="34" spans="1:7" s="94" customFormat="1" ht="31.5" hidden="1" x14ac:dyDescent="0.25">
      <c r="A34" s="13"/>
      <c r="B34" s="90" t="s">
        <v>444</v>
      </c>
      <c r="C34" s="91" t="s">
        <v>445</v>
      </c>
      <c r="D34" s="92">
        <f>SUM(D32:D33)</f>
        <v>0</v>
      </c>
      <c r="E34" s="92">
        <f>SUM(E32:E33)</f>
        <v>0</v>
      </c>
      <c r="F34" s="92">
        <f>SUM(F32:F33)</f>
        <v>0</v>
      </c>
      <c r="G34" s="92">
        <f>SUM(G32:G33)</f>
        <v>0</v>
      </c>
    </row>
    <row r="35" spans="1:7" x14ac:dyDescent="0.25">
      <c r="A35" s="13" t="s">
        <v>331</v>
      </c>
      <c r="B35" s="56"/>
      <c r="C35" s="65"/>
      <c r="D35" s="24"/>
      <c r="E35" s="24"/>
      <c r="F35" s="24"/>
      <c r="G35" s="24"/>
    </row>
    <row r="36" spans="1:7" x14ac:dyDescent="0.25">
      <c r="B36" s="118" t="s">
        <v>865</v>
      </c>
      <c r="C36" s="64" t="s">
        <v>446</v>
      </c>
      <c r="D36" s="132">
        <v>30000000</v>
      </c>
      <c r="E36" s="24"/>
      <c r="F36" s="132">
        <f>30000000-30000000</f>
        <v>0</v>
      </c>
      <c r="G36" s="24"/>
    </row>
    <row r="37" spans="1:7" x14ac:dyDescent="0.25">
      <c r="B37" s="118" t="s">
        <v>447</v>
      </c>
      <c r="C37" s="64" t="s">
        <v>446</v>
      </c>
      <c r="D37" s="132">
        <v>30874000</v>
      </c>
      <c r="E37" s="24"/>
      <c r="F37" s="132">
        <f>30874000-30874000</f>
        <v>0</v>
      </c>
      <c r="G37" s="24"/>
    </row>
    <row r="38" spans="1:7" x14ac:dyDescent="0.25">
      <c r="B38" s="118" t="s">
        <v>448</v>
      </c>
      <c r="C38" s="64" t="s">
        <v>446</v>
      </c>
      <c r="D38" s="24">
        <v>18482000</v>
      </c>
      <c r="E38" s="24"/>
      <c r="F38" s="24">
        <f>18482000-18482000</f>
        <v>0</v>
      </c>
      <c r="G38" s="24"/>
    </row>
    <row r="39" spans="1:7" x14ac:dyDescent="0.25">
      <c r="B39" s="118" t="s">
        <v>449</v>
      </c>
      <c r="C39" s="64" t="s">
        <v>446</v>
      </c>
      <c r="D39" s="24">
        <v>94089000</v>
      </c>
      <c r="E39" s="24"/>
      <c r="F39" s="24">
        <f>94089000-94089000</f>
        <v>0</v>
      </c>
      <c r="G39" s="24"/>
    </row>
    <row r="40" spans="1:7" s="94" customFormat="1" x14ac:dyDescent="0.25">
      <c r="A40" s="13" t="s">
        <v>450</v>
      </c>
      <c r="B40" s="120" t="s">
        <v>451</v>
      </c>
      <c r="C40" s="121" t="s">
        <v>446</v>
      </c>
      <c r="D40" s="122">
        <f>SUM(D35:D39)</f>
        <v>173445000</v>
      </c>
      <c r="E40" s="122">
        <f>SUM(E35:E39)</f>
        <v>0</v>
      </c>
      <c r="F40" s="122">
        <f>SUM(F35:F39)</f>
        <v>0</v>
      </c>
      <c r="G40" s="122">
        <f>SUM(G35:G39)</f>
        <v>0</v>
      </c>
    </row>
    <row r="41" spans="1:7" x14ac:dyDescent="0.25">
      <c r="B41" s="56"/>
      <c r="C41" s="65"/>
      <c r="D41" s="24"/>
      <c r="E41" s="24"/>
      <c r="F41" s="24"/>
      <c r="G41" s="24"/>
    </row>
    <row r="42" spans="1:7" s="110" customFormat="1" x14ac:dyDescent="0.25">
      <c r="B42" s="118" t="s">
        <v>841</v>
      </c>
      <c r="C42" s="64" t="s">
        <v>453</v>
      </c>
      <c r="D42" s="24"/>
      <c r="E42" s="24">
        <f>100000000-66410507</f>
        <v>33589493</v>
      </c>
      <c r="F42" s="24"/>
      <c r="G42" s="24">
        <f>100000000-66410507-20000000</f>
        <v>13589493</v>
      </c>
    </row>
    <row r="43" spans="1:7" s="110" customFormat="1" x14ac:dyDescent="0.25">
      <c r="A43" s="110">
        <v>10</v>
      </c>
      <c r="B43" s="118" t="s">
        <v>458</v>
      </c>
      <c r="C43" s="64" t="s">
        <v>453</v>
      </c>
      <c r="D43" s="24"/>
      <c r="E43" s="24">
        <v>157099000</v>
      </c>
      <c r="F43" s="24"/>
      <c r="G43" s="24">
        <f>157099000-157099000</f>
        <v>0</v>
      </c>
    </row>
    <row r="44" spans="1:7" s="110" customFormat="1" x14ac:dyDescent="0.25">
      <c r="B44" s="118" t="s">
        <v>886</v>
      </c>
      <c r="C44" s="64" t="s">
        <v>453</v>
      </c>
      <c r="D44" s="24">
        <v>17489930</v>
      </c>
      <c r="E44" s="24"/>
      <c r="F44" s="24">
        <v>17489930</v>
      </c>
      <c r="G44" s="24"/>
    </row>
    <row r="45" spans="1:7" s="110" customFormat="1" x14ac:dyDescent="0.25">
      <c r="B45" s="118" t="s">
        <v>460</v>
      </c>
      <c r="C45" s="64" t="s">
        <v>453</v>
      </c>
      <c r="D45" s="24">
        <f>190121000-186617131</f>
        <v>3503869</v>
      </c>
      <c r="E45" s="24"/>
      <c r="F45" s="24">
        <f>190121000-186617131</f>
        <v>3503869</v>
      </c>
      <c r="G45" s="24"/>
    </row>
    <row r="46" spans="1:7" s="110" customFormat="1" x14ac:dyDescent="0.25">
      <c r="A46" s="110">
        <v>14</v>
      </c>
      <c r="B46" s="118" t="s">
        <v>461</v>
      </c>
      <c r="C46" s="64" t="s">
        <v>453</v>
      </c>
      <c r="D46" s="24">
        <f>190125000-180374671</f>
        <v>9750329</v>
      </c>
      <c r="E46" s="24"/>
      <c r="F46" s="24">
        <f>190125000-180374671</f>
        <v>9750329</v>
      </c>
      <c r="G46" s="24"/>
    </row>
    <row r="47" spans="1:7" s="110" customFormat="1" x14ac:dyDescent="0.25">
      <c r="B47" s="118" t="s">
        <v>462</v>
      </c>
      <c r="C47" s="64" t="s">
        <v>453</v>
      </c>
      <c r="D47" s="24">
        <f>3643950+80060354+1023707+2171989</f>
        <v>86900000</v>
      </c>
      <c r="E47" s="24"/>
      <c r="F47" s="24">
        <f>3643950+80060354+1023707+2171989</f>
        <v>86900000</v>
      </c>
      <c r="G47" s="24"/>
    </row>
    <row r="48" spans="1:7" s="110" customFormat="1" x14ac:dyDescent="0.25">
      <c r="A48" s="110">
        <v>15</v>
      </c>
      <c r="B48" s="118" t="s">
        <v>463</v>
      </c>
      <c r="C48" s="64" t="s">
        <v>453</v>
      </c>
      <c r="D48" s="24">
        <f>846805000-572931453-178936406</f>
        <v>94937141</v>
      </c>
      <c r="E48" s="24"/>
      <c r="F48" s="24">
        <f>846805000-572931453-178936406</f>
        <v>94937141</v>
      </c>
      <c r="G48" s="24"/>
    </row>
    <row r="49" spans="1:253" s="94" customFormat="1" x14ac:dyDescent="0.25">
      <c r="A49" s="13" t="s">
        <v>464</v>
      </c>
      <c r="B49" s="120" t="s">
        <v>432</v>
      </c>
      <c r="C49" s="121" t="s">
        <v>453</v>
      </c>
      <c r="D49" s="122">
        <f>SUM(D41:D48)</f>
        <v>212581269</v>
      </c>
      <c r="E49" s="122">
        <f>SUM(E41:E48)</f>
        <v>190688493</v>
      </c>
      <c r="F49" s="122">
        <f>SUM(F41:F48)</f>
        <v>212581269</v>
      </c>
      <c r="G49" s="122">
        <f>SUM(G41:G48)</f>
        <v>13589493</v>
      </c>
    </row>
    <row r="50" spans="1:253" s="94" customFormat="1" x14ac:dyDescent="0.25">
      <c r="A50" s="13"/>
      <c r="B50" s="90" t="s">
        <v>465</v>
      </c>
      <c r="C50" s="91" t="s">
        <v>466</v>
      </c>
      <c r="D50" s="92">
        <f>+D49+D40</f>
        <v>386026269</v>
      </c>
      <c r="E50" s="92">
        <f>+E49+E40</f>
        <v>190688493</v>
      </c>
      <c r="F50" s="92">
        <f>+F49+F40</f>
        <v>212581269</v>
      </c>
      <c r="G50" s="92">
        <f>+G49+G40</f>
        <v>13589493</v>
      </c>
    </row>
    <row r="51" spans="1:253" s="94" customFormat="1" x14ac:dyDescent="0.25">
      <c r="A51" s="13"/>
      <c r="B51" s="127" t="s">
        <v>467</v>
      </c>
      <c r="C51" s="128" t="s">
        <v>206</v>
      </c>
      <c r="D51" s="129">
        <f>+D50+D34+D31+D28</f>
        <v>386026269</v>
      </c>
      <c r="E51" s="129">
        <f>+E50+E34+E31+E28</f>
        <v>190688493</v>
      </c>
      <c r="F51" s="129">
        <f>+F50+F34+F31+F28</f>
        <v>212748269</v>
      </c>
      <c r="G51" s="129">
        <f>+G50+G34+G31+G28</f>
        <v>13589493</v>
      </c>
      <c r="H51" s="133"/>
    </row>
    <row r="52" spans="1:253" x14ac:dyDescent="0.25">
      <c r="B52" s="130"/>
      <c r="C52" s="134"/>
      <c r="D52" s="132"/>
      <c r="E52" s="132"/>
      <c r="F52" s="132"/>
      <c r="G52" s="13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  <c r="IK52"/>
      <c r="IL52"/>
      <c r="IM52"/>
      <c r="IN52"/>
      <c r="IO52"/>
      <c r="IP52"/>
      <c r="IQ52"/>
      <c r="IR52"/>
      <c r="IS52"/>
    </row>
    <row r="53" spans="1:253" hidden="1" x14ac:dyDescent="0.25">
      <c r="B53" s="66"/>
      <c r="C53" s="53"/>
      <c r="D53" s="24"/>
      <c r="E53" s="24"/>
      <c r="F53" s="24"/>
      <c r="G53" s="24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  <c r="IK53"/>
      <c r="IL53"/>
      <c r="IM53"/>
      <c r="IN53"/>
      <c r="IO53"/>
      <c r="IP53"/>
      <c r="IQ53"/>
      <c r="IR53"/>
      <c r="IS53"/>
    </row>
    <row r="54" spans="1:253" s="94" customFormat="1" ht="19.5" hidden="1" customHeight="1" x14ac:dyDescent="0.25">
      <c r="A54" s="13"/>
      <c r="B54" s="90" t="s">
        <v>468</v>
      </c>
      <c r="C54" s="91" t="s">
        <v>469</v>
      </c>
      <c r="D54" s="92">
        <f>SUM(D52:D53)</f>
        <v>0</v>
      </c>
      <c r="E54" s="92">
        <f>SUM(E52:E53)</f>
        <v>0</v>
      </c>
      <c r="F54" s="92">
        <f>SUM(F52:F53)</f>
        <v>0</v>
      </c>
      <c r="G54" s="92">
        <f>SUM(G52:G53)</f>
        <v>0</v>
      </c>
    </row>
    <row r="55" spans="1:253" hidden="1" x14ac:dyDescent="0.25">
      <c r="B55" s="66"/>
      <c r="C55" s="53"/>
      <c r="D55" s="24"/>
      <c r="E55" s="24"/>
      <c r="F55" s="24"/>
      <c r="G55" s="24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  <c r="IK55"/>
      <c r="IL55"/>
      <c r="IM55"/>
      <c r="IN55"/>
      <c r="IO55"/>
      <c r="IP55"/>
      <c r="IQ55"/>
      <c r="IR55"/>
      <c r="IS55"/>
    </row>
    <row r="56" spans="1:253" hidden="1" x14ac:dyDescent="0.25">
      <c r="B56" s="66"/>
      <c r="C56" s="53"/>
      <c r="D56" s="24"/>
      <c r="E56" s="24"/>
      <c r="F56" s="24"/>
      <c r="G56" s="24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  <c r="IK56"/>
      <c r="IL56"/>
      <c r="IM56"/>
      <c r="IN56"/>
      <c r="IO56"/>
      <c r="IP56"/>
      <c r="IQ56"/>
      <c r="IR56"/>
      <c r="IS56"/>
    </row>
    <row r="57" spans="1:253" s="94" customFormat="1" ht="31.5" hidden="1" x14ac:dyDescent="0.25">
      <c r="A57" s="13"/>
      <c r="B57" s="90" t="s">
        <v>470</v>
      </c>
      <c r="C57" s="91" t="s">
        <v>471</v>
      </c>
      <c r="D57" s="92">
        <f>SUM(D55:D56)</f>
        <v>0</v>
      </c>
      <c r="E57" s="92">
        <f>SUM(E55:E56)</f>
        <v>0</v>
      </c>
      <c r="F57" s="92">
        <f>SUM(F55:F56)</f>
        <v>0</v>
      </c>
      <c r="G57" s="92">
        <f>SUM(G55:G56)</f>
        <v>0</v>
      </c>
    </row>
    <row r="58" spans="1:253" hidden="1" x14ac:dyDescent="0.25">
      <c r="B58" s="66"/>
      <c r="C58" s="53"/>
      <c r="D58" s="24"/>
      <c r="E58" s="24"/>
      <c r="F58" s="24"/>
      <c r="G58" s="24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  <c r="IK58"/>
      <c r="IL58"/>
      <c r="IM58"/>
      <c r="IN58"/>
      <c r="IO58"/>
      <c r="IP58"/>
      <c r="IQ58"/>
      <c r="IR58"/>
      <c r="IS58"/>
    </row>
    <row r="59" spans="1:253" hidden="1" x14ac:dyDescent="0.25">
      <c r="B59" s="66"/>
      <c r="C59" s="53"/>
      <c r="D59" s="24"/>
      <c r="E59" s="24"/>
      <c r="F59" s="24"/>
      <c r="G59" s="24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  <c r="IK59"/>
      <c r="IL59"/>
      <c r="IM59"/>
      <c r="IN59"/>
      <c r="IO59"/>
      <c r="IP59"/>
      <c r="IQ59"/>
      <c r="IR59"/>
      <c r="IS59"/>
    </row>
    <row r="60" spans="1:253" s="94" customFormat="1" ht="31.5" hidden="1" x14ac:dyDescent="0.25">
      <c r="A60" s="13"/>
      <c r="B60" s="90" t="s">
        <v>472</v>
      </c>
      <c r="C60" s="91" t="s">
        <v>262</v>
      </c>
      <c r="D60" s="92">
        <f>SUM(D58:D59)</f>
        <v>0</v>
      </c>
      <c r="E60" s="92">
        <f>SUM(E58:E59)</f>
        <v>0</v>
      </c>
      <c r="F60" s="92">
        <f>SUM(F58:F59)</f>
        <v>0</v>
      </c>
      <c r="G60" s="92">
        <f>SUM(G58:G59)</f>
        <v>0</v>
      </c>
    </row>
    <row r="61" spans="1:253" hidden="1" x14ac:dyDescent="0.25">
      <c r="B61" s="66"/>
      <c r="C61" s="53"/>
      <c r="D61" s="24"/>
      <c r="E61" s="24"/>
      <c r="F61" s="24"/>
      <c r="G61" s="24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  <c r="IK61"/>
      <c r="IL61"/>
      <c r="IM61"/>
      <c r="IN61"/>
      <c r="IO61"/>
      <c r="IP61"/>
      <c r="IQ61"/>
      <c r="IR61"/>
      <c r="IS61"/>
    </row>
    <row r="62" spans="1:253" hidden="1" x14ac:dyDescent="0.25">
      <c r="B62" s="66"/>
      <c r="C62" s="53"/>
      <c r="D62" s="24"/>
      <c r="E62" s="24"/>
      <c r="F62" s="24"/>
      <c r="G62" s="24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  <c r="IL62"/>
      <c r="IM62"/>
      <c r="IN62"/>
      <c r="IO62"/>
      <c r="IP62"/>
      <c r="IQ62"/>
      <c r="IR62"/>
      <c r="IS62"/>
    </row>
    <row r="63" spans="1:253" s="94" customFormat="1" ht="31.5" hidden="1" x14ac:dyDescent="0.25">
      <c r="A63" s="13"/>
      <c r="B63" s="372" t="s">
        <v>473</v>
      </c>
      <c r="C63" s="373" t="s">
        <v>264</v>
      </c>
      <c r="D63" s="374">
        <f>SUM(D61:D62)</f>
        <v>0</v>
      </c>
      <c r="E63" s="374">
        <f>SUM(E61:E62)</f>
        <v>0</v>
      </c>
      <c r="F63" s="92">
        <f>SUM(F61:F62)</f>
        <v>0</v>
      </c>
      <c r="G63" s="92">
        <f>SUM(G61:G62)</f>
        <v>0</v>
      </c>
    </row>
    <row r="64" spans="1:253" s="94" customFormat="1" x14ac:dyDescent="0.25">
      <c r="A64" s="13"/>
      <c r="B64" s="117" t="s">
        <v>452</v>
      </c>
      <c r="C64" s="378" t="s">
        <v>294</v>
      </c>
      <c r="D64" s="379">
        <f>172210</f>
        <v>172210</v>
      </c>
      <c r="E64" s="380"/>
      <c r="F64" s="379">
        <f>172210</f>
        <v>172210</v>
      </c>
      <c r="G64" s="380"/>
    </row>
    <row r="65" spans="1:253" s="94" customFormat="1" x14ac:dyDescent="0.25">
      <c r="A65" s="13"/>
      <c r="B65" s="118" t="s">
        <v>455</v>
      </c>
      <c r="C65" s="378" t="s">
        <v>294</v>
      </c>
      <c r="D65" s="379">
        <f>9523158</f>
        <v>9523158</v>
      </c>
      <c r="E65" s="380"/>
      <c r="F65" s="379">
        <f>9523158</f>
        <v>9523158</v>
      </c>
      <c r="G65" s="380"/>
    </row>
    <row r="66" spans="1:253" s="94" customFormat="1" x14ac:dyDescent="0.25">
      <c r="A66" s="13"/>
      <c r="B66" s="117" t="s">
        <v>456</v>
      </c>
      <c r="C66" s="378" t="s">
        <v>294</v>
      </c>
      <c r="D66" s="379">
        <f>225515</f>
        <v>225515</v>
      </c>
      <c r="E66" s="380"/>
      <c r="F66" s="379">
        <f>225515</f>
        <v>225515</v>
      </c>
      <c r="G66" s="380"/>
    </row>
    <row r="67" spans="1:253" x14ac:dyDescent="0.25">
      <c r="A67" s="13" t="s">
        <v>474</v>
      </c>
      <c r="B67" s="117"/>
      <c r="C67" s="378" t="s">
        <v>294</v>
      </c>
      <c r="D67" s="379"/>
      <c r="E67" s="380"/>
      <c r="F67" s="371">
        <v>0</v>
      </c>
      <c r="G67" s="135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  <c r="IK67"/>
      <c r="IL67"/>
      <c r="IM67"/>
      <c r="IN67"/>
      <c r="IO67"/>
      <c r="IP67"/>
      <c r="IQ67"/>
      <c r="IR67"/>
      <c r="IS67"/>
    </row>
    <row r="68" spans="1:253" s="94" customFormat="1" x14ac:dyDescent="0.25">
      <c r="A68" s="13"/>
      <c r="B68" s="381" t="s">
        <v>475</v>
      </c>
      <c r="C68" s="381" t="s">
        <v>294</v>
      </c>
      <c r="D68" s="382">
        <f>SUM(D64:D67)</f>
        <v>9920883</v>
      </c>
      <c r="E68" s="382">
        <f>SUM(E64:E67)</f>
        <v>0</v>
      </c>
      <c r="F68" s="382">
        <f>SUM(F64:F67)</f>
        <v>9920883</v>
      </c>
      <c r="G68" s="382">
        <f>SUM(G64:G67)</f>
        <v>0</v>
      </c>
    </row>
    <row r="69" spans="1:253" x14ac:dyDescent="0.25">
      <c r="B69" s="375"/>
      <c r="C69" s="376"/>
      <c r="D69" s="377"/>
      <c r="E69" s="377"/>
      <c r="F69" s="49"/>
      <c r="G69" s="4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  <c r="IK69"/>
      <c r="IL69"/>
      <c r="IM69"/>
      <c r="IN69"/>
      <c r="IO69"/>
      <c r="IP69"/>
      <c r="IQ69"/>
      <c r="IR69"/>
      <c r="IS69"/>
    </row>
    <row r="70" spans="1:253" x14ac:dyDescent="0.25">
      <c r="B70" s="26"/>
      <c r="C70" s="136" t="s">
        <v>246</v>
      </c>
      <c r="D70" s="49"/>
      <c r="E70" s="49"/>
      <c r="F70" s="49"/>
      <c r="G70" s="49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  <c r="IK70"/>
      <c r="IL70"/>
      <c r="IM70"/>
      <c r="IN70"/>
      <c r="IO70"/>
      <c r="IP70"/>
      <c r="IQ70"/>
      <c r="IR70"/>
      <c r="IS70"/>
    </row>
    <row r="71" spans="1:253" s="107" customFormat="1" x14ac:dyDescent="0.25">
      <c r="A71" s="13" t="s">
        <v>331</v>
      </c>
      <c r="B71" s="137" t="s">
        <v>476</v>
      </c>
      <c r="C71" s="91" t="s">
        <v>246</v>
      </c>
      <c r="D71" s="92">
        <f>SUM(D69:D70)</f>
        <v>0</v>
      </c>
      <c r="E71" s="92">
        <f>SUM(E69:E70)</f>
        <v>0</v>
      </c>
      <c r="F71" s="92">
        <f>SUM(F69:F70)</f>
        <v>0</v>
      </c>
      <c r="G71" s="92">
        <f>SUM(G69:G70)</f>
        <v>0</v>
      </c>
    </row>
    <row r="72" spans="1:253" x14ac:dyDescent="0.25">
      <c r="A72" s="13" t="s">
        <v>477</v>
      </c>
      <c r="B72" s="126"/>
      <c r="C72" s="64"/>
      <c r="D72" s="24"/>
      <c r="E72" s="24"/>
      <c r="F72" s="24"/>
      <c r="G72" s="24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  <c r="IK72"/>
      <c r="IL72"/>
      <c r="IM72"/>
      <c r="IN72"/>
      <c r="IO72"/>
      <c r="IP72"/>
      <c r="IQ72"/>
      <c r="IR72"/>
      <c r="IS72"/>
    </row>
    <row r="73" spans="1:253" x14ac:dyDescent="0.25">
      <c r="A73" s="13" t="s">
        <v>478</v>
      </c>
      <c r="B73" s="126" t="s">
        <v>479</v>
      </c>
      <c r="C73" s="111" t="s">
        <v>248</v>
      </c>
      <c r="D73" s="24">
        <v>20000000</v>
      </c>
      <c r="E73" s="24"/>
      <c r="F73" s="24">
        <f>20000000-9000000</f>
        <v>11000000</v>
      </c>
      <c r="G73" s="24">
        <v>0</v>
      </c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  <c r="IK73"/>
      <c r="IL73"/>
      <c r="IM73"/>
      <c r="IN73"/>
      <c r="IO73"/>
      <c r="IP73"/>
      <c r="IQ73"/>
      <c r="IR73"/>
      <c r="IS73"/>
    </row>
    <row r="74" spans="1:253" x14ac:dyDescent="0.25">
      <c r="A74" s="13" t="s">
        <v>480</v>
      </c>
      <c r="B74" s="126" t="s">
        <v>481</v>
      </c>
      <c r="C74" s="111" t="s">
        <v>248</v>
      </c>
      <c r="D74" s="24">
        <v>0</v>
      </c>
      <c r="E74" s="24"/>
      <c r="F74" s="24">
        <v>0</v>
      </c>
      <c r="G74" s="24">
        <v>0</v>
      </c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  <c r="IK74"/>
      <c r="IL74"/>
      <c r="IM74"/>
      <c r="IN74"/>
      <c r="IO74"/>
      <c r="IP74"/>
      <c r="IQ74"/>
      <c r="IR74"/>
      <c r="IS74"/>
    </row>
    <row r="75" spans="1:253" x14ac:dyDescent="0.25">
      <c r="A75" s="13" t="s">
        <v>482</v>
      </c>
      <c r="B75" s="126" t="s">
        <v>483</v>
      </c>
      <c r="C75" s="111" t="s">
        <v>248</v>
      </c>
      <c r="D75" s="138">
        <f>5*3800000</f>
        <v>19000000</v>
      </c>
      <c r="E75" s="138"/>
      <c r="F75" s="138">
        <f>5*3800000</f>
        <v>19000000</v>
      </c>
      <c r="G75" s="138">
        <v>0</v>
      </c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  <c r="IK75"/>
      <c r="IL75"/>
      <c r="IM75"/>
      <c r="IN75"/>
      <c r="IO75"/>
      <c r="IP75"/>
      <c r="IQ75"/>
      <c r="IR75"/>
      <c r="IS75"/>
    </row>
    <row r="76" spans="1:253" x14ac:dyDescent="0.25">
      <c r="A76" s="13" t="s">
        <v>484</v>
      </c>
      <c r="B76" s="126" t="s">
        <v>485</v>
      </c>
      <c r="C76" s="111" t="s">
        <v>248</v>
      </c>
      <c r="D76" s="138">
        <v>20000000</v>
      </c>
      <c r="E76" s="138"/>
      <c r="F76" s="138">
        <f>20000000-20000000</f>
        <v>0</v>
      </c>
      <c r="G76" s="138">
        <v>0</v>
      </c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  <c r="IK76"/>
      <c r="IL76"/>
      <c r="IM76"/>
      <c r="IN76"/>
      <c r="IO76"/>
      <c r="IP76"/>
      <c r="IQ76"/>
      <c r="IR76"/>
      <c r="IS76"/>
    </row>
    <row r="77" spans="1:253" s="107" customFormat="1" x14ac:dyDescent="0.25">
      <c r="A77" s="27"/>
      <c r="B77" s="137" t="s">
        <v>486</v>
      </c>
      <c r="C77" s="91" t="s">
        <v>248</v>
      </c>
      <c r="D77" s="92">
        <f>SUM(D72:D76)</f>
        <v>59000000</v>
      </c>
      <c r="E77" s="92">
        <f>SUM(E72:E76)</f>
        <v>0</v>
      </c>
      <c r="F77" s="92">
        <f>SUM(F72:F76)</f>
        <v>30000000</v>
      </c>
      <c r="G77" s="92">
        <f>SUM(G72:G76)</f>
        <v>0</v>
      </c>
    </row>
    <row r="78" spans="1:253" x14ac:dyDescent="0.25">
      <c r="B78" s="66"/>
      <c r="C78" s="64"/>
      <c r="D78" s="24"/>
      <c r="E78" s="24"/>
      <c r="F78" s="24"/>
      <c r="G78" s="24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  <c r="IK78"/>
      <c r="IL78"/>
      <c r="IM78"/>
      <c r="IN78"/>
      <c r="IO78"/>
      <c r="IP78"/>
      <c r="IQ78"/>
      <c r="IR78"/>
      <c r="IS78"/>
    </row>
    <row r="79" spans="1:253" x14ac:dyDescent="0.25">
      <c r="A79" s="13" t="s">
        <v>487</v>
      </c>
      <c r="B79" s="117"/>
      <c r="C79" s="111" t="s">
        <v>250</v>
      </c>
      <c r="D79" s="24"/>
      <c r="E79" s="24">
        <v>0</v>
      </c>
      <c r="F79" s="24"/>
      <c r="G79" s="24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  <c r="IK79"/>
      <c r="IL79"/>
      <c r="IM79"/>
      <c r="IN79"/>
      <c r="IO79"/>
      <c r="IP79"/>
      <c r="IQ79"/>
      <c r="IR79"/>
      <c r="IS79"/>
    </row>
    <row r="80" spans="1:253" s="107" customFormat="1" x14ac:dyDescent="0.25">
      <c r="A80" s="27"/>
      <c r="B80" s="137" t="s">
        <v>488</v>
      </c>
      <c r="C80" s="91" t="s">
        <v>250</v>
      </c>
      <c r="D80" s="92">
        <f>SUM(D78:D79)</f>
        <v>0</v>
      </c>
      <c r="E80" s="92">
        <f>SUM(E78:E79)</f>
        <v>0</v>
      </c>
      <c r="F80" s="92">
        <f>SUM(F78:F79)</f>
        <v>0</v>
      </c>
      <c r="G80" s="92">
        <f>SUM(G78:G79)</f>
        <v>0</v>
      </c>
    </row>
    <row r="81" spans="1:253" hidden="1" x14ac:dyDescent="0.25">
      <c r="B81" s="66"/>
      <c r="C81" s="64"/>
      <c r="D81" s="24"/>
      <c r="E81" s="24"/>
      <c r="F81" s="24"/>
      <c r="G81" s="24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  <c r="IK81"/>
      <c r="IL81"/>
      <c r="IM81"/>
      <c r="IN81"/>
      <c r="IO81"/>
      <c r="IP81"/>
      <c r="IQ81"/>
      <c r="IR81"/>
      <c r="IS81"/>
    </row>
    <row r="82" spans="1:253" hidden="1" x14ac:dyDescent="0.25">
      <c r="B82" s="66"/>
      <c r="C82" s="64"/>
      <c r="D82" s="24"/>
      <c r="E82" s="24"/>
      <c r="F82" s="24"/>
      <c r="G82" s="24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  <c r="IK82"/>
      <c r="IL82"/>
      <c r="IM82"/>
      <c r="IN82"/>
      <c r="IO82"/>
      <c r="IP82"/>
      <c r="IQ82"/>
      <c r="IR82"/>
      <c r="IS82"/>
    </row>
    <row r="83" spans="1:253" s="107" customFormat="1" hidden="1" x14ac:dyDescent="0.25">
      <c r="A83" s="27"/>
      <c r="B83" s="137" t="s">
        <v>489</v>
      </c>
      <c r="C83" s="91" t="s">
        <v>252</v>
      </c>
      <c r="D83" s="92">
        <f>SUM(D81:D82)</f>
        <v>0</v>
      </c>
      <c r="E83" s="92">
        <f>SUM(E81:E82)</f>
        <v>0</v>
      </c>
      <c r="F83" s="92">
        <f>SUM(F81:F82)</f>
        <v>0</v>
      </c>
      <c r="G83" s="92">
        <f>SUM(G81:G82)</f>
        <v>0</v>
      </c>
    </row>
    <row r="84" spans="1:253" hidden="1" x14ac:dyDescent="0.25">
      <c r="B84" s="66"/>
      <c r="C84" s="64"/>
      <c r="D84" s="24"/>
      <c r="E84" s="24"/>
      <c r="F84" s="24"/>
      <c r="G84" s="2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  <c r="IK84"/>
      <c r="IL84"/>
      <c r="IM84"/>
      <c r="IN84"/>
      <c r="IO84"/>
      <c r="IP84"/>
      <c r="IQ84"/>
      <c r="IR84"/>
      <c r="IS84"/>
    </row>
    <row r="85" spans="1:253" hidden="1" x14ac:dyDescent="0.25">
      <c r="B85" s="66"/>
      <c r="C85" s="64"/>
      <c r="D85" s="24"/>
      <c r="E85" s="24"/>
      <c r="F85" s="24"/>
      <c r="G85" s="24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  <c r="IK85"/>
      <c r="IL85"/>
      <c r="IM85"/>
      <c r="IN85"/>
      <c r="IO85"/>
      <c r="IP85"/>
      <c r="IQ85"/>
      <c r="IR85"/>
      <c r="IS85"/>
    </row>
    <row r="86" spans="1:253" s="107" customFormat="1" hidden="1" x14ac:dyDescent="0.25">
      <c r="A86" s="27"/>
      <c r="B86" s="137" t="s">
        <v>490</v>
      </c>
      <c r="C86" s="91" t="s">
        <v>254</v>
      </c>
      <c r="D86" s="92">
        <f>SUM(D84:D85)</f>
        <v>0</v>
      </c>
      <c r="E86" s="92">
        <f>SUM(E84:E85)</f>
        <v>0</v>
      </c>
      <c r="F86" s="92">
        <f>SUM(F84:F85)</f>
        <v>0</v>
      </c>
      <c r="G86" s="92">
        <f>SUM(G84:G85)</f>
        <v>0</v>
      </c>
    </row>
    <row r="87" spans="1:253" s="94" customFormat="1" x14ac:dyDescent="0.25">
      <c r="A87" s="13"/>
      <c r="B87" s="90" t="s">
        <v>491</v>
      </c>
      <c r="C87" s="91" t="s">
        <v>256</v>
      </c>
      <c r="D87" s="92">
        <f>+D86+D83+D80+D77+D71</f>
        <v>59000000</v>
      </c>
      <c r="E87" s="92">
        <f>+E86+E83+E80+E77+E71</f>
        <v>0</v>
      </c>
      <c r="F87" s="92">
        <f>+F86+F83+F80+F77+F71</f>
        <v>30000000</v>
      </c>
      <c r="G87" s="92">
        <f>+G86+G83+G80+G77+G71</f>
        <v>0</v>
      </c>
    </row>
    <row r="90" spans="1:253" x14ac:dyDescent="0.25">
      <c r="A90"/>
      <c r="D90" s="14">
        <f>+D51+E51+D25+E25-D22-D23-D36</f>
        <v>955361742</v>
      </c>
      <c r="F90" s="14">
        <f>+F51+G51+F25+G25-F22-F23-F36</f>
        <v>330834742</v>
      </c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  <c r="IK90"/>
      <c r="IL90"/>
      <c r="IM90"/>
      <c r="IN90"/>
      <c r="IO90"/>
      <c r="IP90"/>
      <c r="IQ90"/>
      <c r="IR90"/>
      <c r="IS90"/>
    </row>
    <row r="91" spans="1:253" x14ac:dyDescent="0.25">
      <c r="A91"/>
      <c r="D91" s="14">
        <f>+'19 EU projektek'!F73+'19 EU projektek'!F75</f>
        <v>955361742</v>
      </c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  <c r="IK91"/>
      <c r="IL91"/>
      <c r="IM91"/>
      <c r="IN91"/>
      <c r="IO91"/>
      <c r="IP91"/>
      <c r="IQ91"/>
      <c r="IR91"/>
      <c r="IS91"/>
    </row>
    <row r="92" spans="1:253" x14ac:dyDescent="0.25">
      <c r="A92"/>
      <c r="D92" s="14">
        <f>+D91-D90</f>
        <v>0</v>
      </c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  <c r="IK92"/>
      <c r="IL92"/>
      <c r="IM92"/>
      <c r="IN92"/>
      <c r="IO92"/>
      <c r="IP92"/>
      <c r="IQ92"/>
      <c r="IR92"/>
      <c r="IS92"/>
    </row>
    <row r="93" spans="1:253" x14ac:dyDescent="0.25">
      <c r="A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  <c r="IK93"/>
      <c r="IL93"/>
      <c r="IM93"/>
      <c r="IN93"/>
      <c r="IO93"/>
      <c r="IP93"/>
      <c r="IQ93"/>
      <c r="IR93"/>
      <c r="IS93"/>
    </row>
    <row r="94" spans="1:253" x14ac:dyDescent="0.25">
      <c r="A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  <c r="IK94"/>
      <c r="IL94"/>
      <c r="IM94"/>
      <c r="IN94"/>
      <c r="IO94"/>
      <c r="IP94"/>
      <c r="IQ94"/>
      <c r="IR94"/>
      <c r="IS94"/>
    </row>
  </sheetData>
  <sheetProtection selectLockedCells="1" selectUnlockedCells="1"/>
  <mergeCells count="3">
    <mergeCell ref="B6:C6"/>
    <mergeCell ref="D8:E8"/>
    <mergeCell ref="F8:G8"/>
  </mergeCells>
  <printOptions horizontalCentered="1"/>
  <pageMargins left="0.70833333333333337" right="0.70833333333333337" top="0.59027777777777779" bottom="0.55138888888888893" header="0.51180555555555551" footer="0.31527777777777777"/>
  <pageSetup paperSize="9" scale="54" firstPageNumber="0" orientation="portrait" horizontalDpi="300" verticalDpi="300" r:id="rId1"/>
  <headerFooter alignWithMargins="0"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S106"/>
  <sheetViews>
    <sheetView view="pageBreakPreview" zoomScale="80" zoomScaleSheetLayoutView="80" workbookViewId="0">
      <selection activeCell="G2" sqref="G2"/>
    </sheetView>
  </sheetViews>
  <sheetFormatPr defaultColWidth="11.5703125" defaultRowHeight="15.75" x14ac:dyDescent="0.25"/>
  <cols>
    <col min="1" max="1" width="12.28515625" style="13" customWidth="1"/>
    <col min="2" max="2" width="75.42578125" style="13" customWidth="1"/>
    <col min="3" max="3" width="8.28515625" style="13" customWidth="1"/>
    <col min="4" max="4" width="16.140625" style="14" customWidth="1"/>
    <col min="5" max="5" width="15.85546875" style="14" customWidth="1"/>
    <col min="6" max="6" width="15.5703125" style="14" customWidth="1"/>
    <col min="7" max="7" width="14.5703125" style="14" customWidth="1"/>
    <col min="8" max="8" width="13" style="14" customWidth="1"/>
    <col min="9" max="9" width="10.85546875" style="14" customWidth="1"/>
    <col min="10" max="10" width="10.85546875" style="13" customWidth="1"/>
    <col min="11" max="253" width="9.140625" style="13" customWidth="1"/>
  </cols>
  <sheetData>
    <row r="1" spans="1:10" x14ac:dyDescent="0.25">
      <c r="G1" s="15" t="s">
        <v>492</v>
      </c>
    </row>
    <row r="2" spans="1:10" x14ac:dyDescent="0.25">
      <c r="G2" s="16" t="s">
        <v>919</v>
      </c>
    </row>
    <row r="3" spans="1:10" x14ac:dyDescent="0.25">
      <c r="E3" s="16"/>
      <c r="G3" s="16"/>
    </row>
    <row r="4" spans="1:10" ht="21.75" customHeight="1" x14ac:dyDescent="0.3">
      <c r="B4" s="4" t="s">
        <v>857</v>
      </c>
      <c r="C4" s="36"/>
      <c r="D4" s="36"/>
      <c r="E4" s="36"/>
      <c r="F4" s="39"/>
      <c r="G4" s="39"/>
    </row>
    <row r="5" spans="1:10" ht="18.75" x14ac:dyDescent="0.3">
      <c r="B5" s="4"/>
      <c r="C5" s="36"/>
      <c r="D5" s="36"/>
      <c r="E5" s="36"/>
      <c r="F5" s="39"/>
      <c r="G5" s="39"/>
    </row>
    <row r="6" spans="1:10" x14ac:dyDescent="0.25">
      <c r="B6" s="41" t="s">
        <v>825</v>
      </c>
      <c r="C6" s="36"/>
      <c r="D6" s="36"/>
      <c r="E6" s="36"/>
      <c r="F6" s="39"/>
      <c r="G6" s="39"/>
    </row>
    <row r="7" spans="1:10" ht="15.75" customHeight="1" x14ac:dyDescent="0.25">
      <c r="D7" s="494" t="s">
        <v>10</v>
      </c>
      <c r="E7" s="494"/>
      <c r="F7" s="495" t="s">
        <v>11</v>
      </c>
      <c r="G7" s="495"/>
    </row>
    <row r="8" spans="1:10" ht="31.5" x14ac:dyDescent="0.25">
      <c r="A8" s="13" t="s">
        <v>331</v>
      </c>
      <c r="B8" s="19" t="s">
        <v>12</v>
      </c>
      <c r="C8" s="47" t="s">
        <v>38</v>
      </c>
      <c r="D8" s="49" t="s">
        <v>422</v>
      </c>
      <c r="E8" s="49" t="s">
        <v>423</v>
      </c>
      <c r="F8" s="49" t="s">
        <v>422</v>
      </c>
      <c r="G8" s="49" t="s">
        <v>423</v>
      </c>
    </row>
    <row r="9" spans="1:10" x14ac:dyDescent="0.25">
      <c r="A9" s="13" t="s">
        <v>425</v>
      </c>
      <c r="B9" s="117"/>
      <c r="C9" s="23" t="s">
        <v>93</v>
      </c>
      <c r="D9" s="24"/>
      <c r="E9" s="24">
        <v>0</v>
      </c>
      <c r="F9" s="24"/>
      <c r="G9" s="24"/>
    </row>
    <row r="10" spans="1:10" x14ac:dyDescent="0.25">
      <c r="A10" s="13" t="s">
        <v>493</v>
      </c>
      <c r="B10" s="117"/>
      <c r="C10" s="23" t="s">
        <v>93</v>
      </c>
      <c r="D10" s="24"/>
      <c r="E10" s="24"/>
      <c r="F10" s="24"/>
      <c r="G10" s="24"/>
    </row>
    <row r="11" spans="1:10" s="107" customFormat="1" x14ac:dyDescent="0.25">
      <c r="A11" s="13" t="s">
        <v>331</v>
      </c>
      <c r="B11" s="137" t="s">
        <v>494</v>
      </c>
      <c r="C11" s="91" t="s">
        <v>93</v>
      </c>
      <c r="D11" s="92">
        <f>SUM(D9:D10)</f>
        <v>0</v>
      </c>
      <c r="E11" s="92">
        <f>SUM(E9:E10)</f>
        <v>0</v>
      </c>
      <c r="F11" s="92">
        <f>SUM(F9:F10)</f>
        <v>0</v>
      </c>
      <c r="G11" s="92">
        <f>SUM(G9:G10)</f>
        <v>0</v>
      </c>
      <c r="H11" s="106"/>
      <c r="I11" s="139"/>
      <c r="J11" s="139"/>
    </row>
    <row r="12" spans="1:10" x14ac:dyDescent="0.25">
      <c r="A12" s="13" t="s">
        <v>477</v>
      </c>
      <c r="B12" s="66"/>
      <c r="C12" s="64"/>
      <c r="D12" s="24"/>
      <c r="E12" s="24"/>
      <c r="F12" s="24"/>
      <c r="G12" s="24"/>
    </row>
    <row r="13" spans="1:10" x14ac:dyDescent="0.25">
      <c r="B13" s="118" t="s">
        <v>457</v>
      </c>
      <c r="C13" s="64" t="s">
        <v>95</v>
      </c>
      <c r="D13" s="24"/>
      <c r="E13" s="24"/>
      <c r="F13" s="24"/>
      <c r="G13" s="24">
        <f>221491000+ROUND(10064783/1.27,0)-7524287</f>
        <v>221891739</v>
      </c>
    </row>
    <row r="14" spans="1:10" x14ac:dyDescent="0.25">
      <c r="B14" s="117" t="s">
        <v>459</v>
      </c>
      <c r="C14" s="64" t="s">
        <v>95</v>
      </c>
      <c r="D14" s="24"/>
      <c r="E14" s="24"/>
      <c r="F14" s="24">
        <f>ROUNDUP(168733611/1.27,0)-3141000</f>
        <v>129720112</v>
      </c>
      <c r="G14" s="24"/>
    </row>
    <row r="15" spans="1:10" x14ac:dyDescent="0.25">
      <c r="A15" s="13" t="s">
        <v>495</v>
      </c>
      <c r="B15" s="140" t="s">
        <v>820</v>
      </c>
      <c r="C15" s="64" t="s">
        <v>95</v>
      </c>
      <c r="D15" s="24">
        <f>ROUNDUP(21500000/1.27,0)</f>
        <v>16929134</v>
      </c>
      <c r="E15" s="24"/>
      <c r="F15" s="24">
        <f>ROUNDUP(21500000/1,0)</f>
        <v>21500000</v>
      </c>
      <c r="G15" s="24"/>
      <c r="H15" s="14" t="s">
        <v>669</v>
      </c>
    </row>
    <row r="16" spans="1:10" s="107" customFormat="1" x14ac:dyDescent="0.25">
      <c r="A16" s="27"/>
      <c r="B16" s="137" t="s">
        <v>496</v>
      </c>
      <c r="C16" s="91" t="s">
        <v>95</v>
      </c>
      <c r="D16" s="92">
        <f>SUM(D12:D15)</f>
        <v>16929134</v>
      </c>
      <c r="E16" s="92">
        <f>SUM(E12:E15)</f>
        <v>0</v>
      </c>
      <c r="F16" s="92">
        <f>SUM(F12:F15)</f>
        <v>151220112</v>
      </c>
      <c r="G16" s="92">
        <f>SUM(G12:G15)</f>
        <v>221891739</v>
      </c>
      <c r="H16" s="106"/>
      <c r="I16" s="106"/>
    </row>
    <row r="17" spans="1:9" x14ac:dyDescent="0.25">
      <c r="B17" s="66"/>
      <c r="C17" s="64"/>
      <c r="D17" s="24"/>
      <c r="E17" s="24"/>
      <c r="F17" s="24"/>
      <c r="G17" s="24"/>
    </row>
    <row r="18" spans="1:9" x14ac:dyDescent="0.25">
      <c r="B18" s="117"/>
      <c r="C18" s="64" t="s">
        <v>97</v>
      </c>
      <c r="D18" s="24"/>
      <c r="E18" s="24"/>
      <c r="F18" s="24"/>
      <c r="G18" s="24"/>
    </row>
    <row r="19" spans="1:9" s="107" customFormat="1" x14ac:dyDescent="0.25">
      <c r="A19" s="13" t="s">
        <v>331</v>
      </c>
      <c r="B19" s="90" t="s">
        <v>497</v>
      </c>
      <c r="C19" s="91" t="s">
        <v>97</v>
      </c>
      <c r="D19" s="92">
        <f>SUM(D17:D18)</f>
        <v>0</v>
      </c>
      <c r="E19" s="92">
        <f>SUM(E17:E18)</f>
        <v>0</v>
      </c>
      <c r="F19" s="92">
        <f>SUM(F17:F18)</f>
        <v>0</v>
      </c>
      <c r="G19" s="92">
        <f>SUM(G17:G18)</f>
        <v>0</v>
      </c>
      <c r="H19" s="106"/>
      <c r="I19" s="106"/>
    </row>
    <row r="20" spans="1:9" x14ac:dyDescent="0.25">
      <c r="A20" s="13" t="s">
        <v>425</v>
      </c>
      <c r="B20" s="53"/>
      <c r="C20" s="64"/>
      <c r="D20" s="24"/>
      <c r="E20" s="24"/>
      <c r="F20" s="24"/>
      <c r="G20" s="24"/>
    </row>
    <row r="21" spans="1:9" x14ac:dyDescent="0.25">
      <c r="B21" s="117" t="s">
        <v>459</v>
      </c>
      <c r="C21" s="64" t="s">
        <v>99</v>
      </c>
      <c r="D21" s="24"/>
      <c r="E21" s="24"/>
      <c r="F21" s="24">
        <v>0</v>
      </c>
      <c r="G21" s="24"/>
    </row>
    <row r="22" spans="1:9" x14ac:dyDescent="0.25">
      <c r="A22" s="13" t="s">
        <v>498</v>
      </c>
      <c r="B22" s="118" t="s">
        <v>499</v>
      </c>
      <c r="C22" s="64" t="s">
        <v>99</v>
      </c>
      <c r="D22" s="24"/>
      <c r="E22" s="24">
        <f>108540948-1500000</f>
        <v>107040948</v>
      </c>
      <c r="F22" s="24"/>
      <c r="G22" s="24">
        <f>108540948-1500000+380000</f>
        <v>107420948</v>
      </c>
      <c r="H22" s="14" t="s">
        <v>669</v>
      </c>
    </row>
    <row r="23" spans="1:9" ht="16.5" customHeight="1" x14ac:dyDescent="0.25">
      <c r="B23" s="118" t="s">
        <v>500</v>
      </c>
      <c r="C23" s="64" t="s">
        <v>99</v>
      </c>
      <c r="D23" s="24">
        <v>8689000</v>
      </c>
      <c r="E23" s="24"/>
      <c r="F23" s="24">
        <v>8689000</v>
      </c>
      <c r="G23" s="24"/>
      <c r="H23" s="14" t="s">
        <v>669</v>
      </c>
    </row>
    <row r="24" spans="1:9" ht="16.5" customHeight="1" x14ac:dyDescent="0.25">
      <c r="B24" s="118" t="s">
        <v>848</v>
      </c>
      <c r="C24" s="64" t="s">
        <v>99</v>
      </c>
      <c r="D24" s="24"/>
      <c r="E24" s="24">
        <f>7134000-3351294</f>
        <v>3782706</v>
      </c>
      <c r="F24" s="24"/>
      <c r="G24" s="24">
        <f>7134000-3351294</f>
        <v>3782706</v>
      </c>
    </row>
    <row r="25" spans="1:9" ht="16.5" customHeight="1" x14ac:dyDescent="0.25">
      <c r="B25" s="117" t="s">
        <v>501</v>
      </c>
      <c r="C25" s="64" t="s">
        <v>99</v>
      </c>
      <c r="D25" s="24"/>
      <c r="E25" s="24">
        <f>3896945-2559055</f>
        <v>1337890</v>
      </c>
      <c r="F25" s="24"/>
      <c r="G25" s="24">
        <f>3896945-2559055</f>
        <v>1337890</v>
      </c>
      <c r="H25" s="14" t="s">
        <v>669</v>
      </c>
    </row>
    <row r="26" spans="1:9" ht="16.5" customHeight="1" x14ac:dyDescent="0.25">
      <c r="B26" s="118" t="s">
        <v>913</v>
      </c>
      <c r="C26" s="64" t="s">
        <v>99</v>
      </c>
      <c r="D26" s="24"/>
      <c r="E26" s="24"/>
      <c r="F26" s="24"/>
      <c r="G26" s="24">
        <v>8226749</v>
      </c>
    </row>
    <row r="27" spans="1:9" ht="16.5" customHeight="1" x14ac:dyDescent="0.25">
      <c r="B27" s="118" t="s">
        <v>502</v>
      </c>
      <c r="C27" s="64" t="s">
        <v>99</v>
      </c>
      <c r="D27" s="24"/>
      <c r="E27" s="24">
        <v>682000</v>
      </c>
      <c r="F27" s="24"/>
      <c r="G27" s="24">
        <v>682000</v>
      </c>
      <c r="H27" s="14" t="s">
        <v>669</v>
      </c>
    </row>
    <row r="28" spans="1:9" x14ac:dyDescent="0.25">
      <c r="B28" s="118" t="s">
        <v>853</v>
      </c>
      <c r="C28" s="64" t="s">
        <v>99</v>
      </c>
      <c r="D28" s="24">
        <v>13620806</v>
      </c>
      <c r="E28" s="24"/>
      <c r="F28" s="24">
        <v>13620806</v>
      </c>
      <c r="G28" s="24"/>
    </row>
    <row r="29" spans="1:9" s="107" customFormat="1" x14ac:dyDescent="0.25">
      <c r="A29" s="27"/>
      <c r="B29" s="137" t="s">
        <v>503</v>
      </c>
      <c r="C29" s="91" t="s">
        <v>99</v>
      </c>
      <c r="D29" s="92">
        <f>SUM(D20:D28)</f>
        <v>22309806</v>
      </c>
      <c r="E29" s="92">
        <f>SUM(E20:E28)</f>
        <v>112843544</v>
      </c>
      <c r="F29" s="92">
        <f>SUM(F20:F28)</f>
        <v>22309806</v>
      </c>
      <c r="G29" s="92">
        <f>SUM(G20:G28)</f>
        <v>121450293</v>
      </c>
      <c r="H29" s="106"/>
      <c r="I29" s="106"/>
    </row>
    <row r="30" spans="1:9" x14ac:dyDescent="0.25">
      <c r="B30" s="66"/>
      <c r="C30" s="64"/>
      <c r="D30" s="24"/>
      <c r="E30" s="24"/>
      <c r="F30" s="24"/>
      <c r="G30" s="24"/>
    </row>
    <row r="31" spans="1:9" s="107" customFormat="1" x14ac:dyDescent="0.25">
      <c r="A31" s="27"/>
      <c r="B31" s="137" t="s">
        <v>504</v>
      </c>
      <c r="C31" s="91" t="s">
        <v>101</v>
      </c>
      <c r="D31" s="92">
        <f>SUM(D30:D30)</f>
        <v>0</v>
      </c>
      <c r="E31" s="92">
        <f>SUM(E30:E30)</f>
        <v>0</v>
      </c>
      <c r="F31" s="92">
        <f>SUM(F30:F30)</f>
        <v>0</v>
      </c>
      <c r="G31" s="92">
        <f>SUM(G30:G30)</f>
        <v>0</v>
      </c>
      <c r="H31" s="106"/>
      <c r="I31" s="106"/>
    </row>
    <row r="32" spans="1:9" x14ac:dyDescent="0.25">
      <c r="B32" s="66"/>
      <c r="C32" s="64"/>
      <c r="D32" s="24"/>
      <c r="E32" s="24"/>
      <c r="F32" s="24"/>
      <c r="G32" s="24"/>
    </row>
    <row r="33" spans="1:9" s="107" customFormat="1" x14ac:dyDescent="0.25">
      <c r="A33" s="27"/>
      <c r="B33" s="90" t="s">
        <v>505</v>
      </c>
      <c r="C33" s="91" t="s">
        <v>103</v>
      </c>
      <c r="D33" s="92">
        <f>SUM(D32:D32)</f>
        <v>0</v>
      </c>
      <c r="E33" s="92">
        <f>SUM(E32:E32)</f>
        <v>0</v>
      </c>
      <c r="F33" s="92">
        <f>SUM(F32:F32)</f>
        <v>0</v>
      </c>
      <c r="G33" s="92">
        <f>SUM(G32:G32)</f>
        <v>0</v>
      </c>
      <c r="H33" s="106"/>
      <c r="I33" s="106"/>
    </row>
    <row r="34" spans="1:9" x14ac:dyDescent="0.25">
      <c r="B34" s="53"/>
      <c r="C34" s="64"/>
      <c r="D34" s="24"/>
      <c r="E34" s="24"/>
      <c r="F34" s="24"/>
      <c r="G34" s="24"/>
    </row>
    <row r="35" spans="1:9" x14ac:dyDescent="0.25">
      <c r="B35" s="117" t="s">
        <v>522</v>
      </c>
      <c r="C35" s="64" t="s">
        <v>105</v>
      </c>
      <c r="D35" s="24"/>
      <c r="E35" s="24"/>
      <c r="F35" s="24">
        <f>ROUNDDOWN(+F14*0.27,0)-1-848070-9152000</f>
        <v>25024359</v>
      </c>
      <c r="G35" s="24"/>
    </row>
    <row r="36" spans="1:9" x14ac:dyDescent="0.25">
      <c r="B36" s="118" t="s">
        <v>533</v>
      </c>
      <c r="C36" s="64" t="s">
        <v>105</v>
      </c>
      <c r="D36" s="24"/>
      <c r="E36" s="24"/>
      <c r="F36" s="24"/>
      <c r="G36" s="24"/>
    </row>
    <row r="37" spans="1:9" x14ac:dyDescent="0.25">
      <c r="B37" s="140" t="s">
        <v>821</v>
      </c>
      <c r="C37" s="64" t="s">
        <v>105</v>
      </c>
      <c r="D37" s="24">
        <f>ROUNDDOWN(+D15*0.27,0)</f>
        <v>4570866</v>
      </c>
      <c r="E37" s="24"/>
      <c r="F37" s="24">
        <v>0</v>
      </c>
      <c r="G37" s="24"/>
      <c r="H37" s="14" t="s">
        <v>428</v>
      </c>
    </row>
    <row r="38" spans="1:9" x14ac:dyDescent="0.25">
      <c r="A38" s="13">
        <v>10</v>
      </c>
      <c r="B38" s="118" t="s">
        <v>835</v>
      </c>
      <c r="C38" s="64" t="s">
        <v>105</v>
      </c>
      <c r="D38" s="24"/>
      <c r="E38" s="24">
        <f>ROUNDUP(+E22*0.27,0)</f>
        <v>28901056</v>
      </c>
      <c r="F38" s="24"/>
      <c r="G38" s="24">
        <f>ROUNDUP(+G22*0.27,0)</f>
        <v>29003656</v>
      </c>
      <c r="H38" s="14" t="s">
        <v>669</v>
      </c>
    </row>
    <row r="39" spans="1:9" x14ac:dyDescent="0.25">
      <c r="B39" s="118" t="s">
        <v>506</v>
      </c>
      <c r="C39" s="64" t="s">
        <v>105</v>
      </c>
      <c r="D39" s="24">
        <v>2347000</v>
      </c>
      <c r="E39" s="24"/>
      <c r="F39" s="24">
        <v>2347000</v>
      </c>
      <c r="G39" s="24"/>
      <c r="H39" s="14" t="s">
        <v>669</v>
      </c>
    </row>
    <row r="40" spans="1:9" x14ac:dyDescent="0.25">
      <c r="B40" s="118" t="s">
        <v>914</v>
      </c>
      <c r="C40" s="64" t="s">
        <v>105</v>
      </c>
      <c r="D40" s="24"/>
      <c r="E40" s="24"/>
      <c r="F40" s="24"/>
      <c r="G40" s="24">
        <v>2221222</v>
      </c>
    </row>
    <row r="41" spans="1:9" x14ac:dyDescent="0.25">
      <c r="B41" s="368" t="s">
        <v>507</v>
      </c>
      <c r="C41" s="64" t="s">
        <v>105</v>
      </c>
      <c r="D41" s="24"/>
      <c r="E41" s="24">
        <v>184000</v>
      </c>
      <c r="F41" s="24"/>
      <c r="G41" s="24">
        <v>184000</v>
      </c>
      <c r="H41" s="14" t="s">
        <v>669</v>
      </c>
    </row>
    <row r="42" spans="1:9" x14ac:dyDescent="0.25">
      <c r="B42" s="118" t="s">
        <v>848</v>
      </c>
      <c r="C42" s="64" t="s">
        <v>105</v>
      </c>
      <c r="D42" s="24"/>
      <c r="E42" s="24">
        <f>1926000-904849</f>
        <v>1021151</v>
      </c>
      <c r="F42" s="24"/>
      <c r="G42" s="24">
        <f>1926000-904849</f>
        <v>1021151</v>
      </c>
    </row>
    <row r="43" spans="1:9" x14ac:dyDescent="0.25">
      <c r="B43" s="369" t="s">
        <v>867</v>
      </c>
      <c r="C43" s="367" t="s">
        <v>105</v>
      </c>
      <c r="D43" s="24"/>
      <c r="E43" s="24">
        <f>1052175-690945</f>
        <v>361230</v>
      </c>
      <c r="F43" s="24"/>
      <c r="G43" s="24">
        <f>1052175-690945</f>
        <v>361230</v>
      </c>
      <c r="H43" s="14" t="s">
        <v>669</v>
      </c>
    </row>
    <row r="44" spans="1:9" x14ac:dyDescent="0.25">
      <c r="B44" s="118" t="s">
        <v>869</v>
      </c>
      <c r="C44" s="64" t="s">
        <v>105</v>
      </c>
      <c r="D44" s="24">
        <v>3677618</v>
      </c>
      <c r="E44" s="24">
        <v>0</v>
      </c>
      <c r="F44" s="24">
        <v>3677618</v>
      </c>
      <c r="G44" s="24">
        <v>0</v>
      </c>
    </row>
    <row r="45" spans="1:9" s="107" customFormat="1" x14ac:dyDescent="0.25">
      <c r="A45" s="27" t="s">
        <v>508</v>
      </c>
      <c r="B45" s="90" t="s">
        <v>509</v>
      </c>
      <c r="C45" s="91" t="s">
        <v>105</v>
      </c>
      <c r="D45" s="92">
        <f>SUM(D34:D44)</f>
        <v>10595484</v>
      </c>
      <c r="E45" s="92">
        <f>SUM(E34:E44)</f>
        <v>30467437</v>
      </c>
      <c r="F45" s="92">
        <f>SUM(F34:F44)</f>
        <v>31048977</v>
      </c>
      <c r="G45" s="92">
        <f>SUM(G34:G44)</f>
        <v>32791259</v>
      </c>
      <c r="H45" s="106"/>
      <c r="I45" s="106"/>
    </row>
    <row r="46" spans="1:9" s="94" customFormat="1" x14ac:dyDescent="0.25">
      <c r="A46" s="13" t="s">
        <v>331</v>
      </c>
      <c r="B46" s="137" t="s">
        <v>510</v>
      </c>
      <c r="C46" s="91" t="s">
        <v>107</v>
      </c>
      <c r="D46" s="92">
        <f>+D45+D33+D31+D29+D19+D16+D11</f>
        <v>49834424</v>
      </c>
      <c r="E46" s="92">
        <f>+E45+E33+E31+E29+E19+E16+E11</f>
        <v>143310981</v>
      </c>
      <c r="F46" s="92">
        <f>+F45+F33+F31+F29+F19+F16+F11</f>
        <v>204578895</v>
      </c>
      <c r="G46" s="92">
        <f>+G45+G33+G31+G29+G19+G16+G11</f>
        <v>376133291</v>
      </c>
      <c r="H46" s="114"/>
      <c r="I46" s="114"/>
    </row>
    <row r="47" spans="1:9" s="13" customFormat="1" x14ac:dyDescent="0.25">
      <c r="A47" s="13" t="s">
        <v>477</v>
      </c>
      <c r="B47" s="117"/>
      <c r="C47" s="65"/>
      <c r="D47" s="24"/>
      <c r="E47" s="24"/>
      <c r="F47" s="24"/>
      <c r="G47" s="24"/>
      <c r="H47" s="14"/>
      <c r="I47" s="14"/>
    </row>
    <row r="48" spans="1:9" s="13" customFormat="1" x14ac:dyDescent="0.25">
      <c r="A48" s="13" t="s">
        <v>511</v>
      </c>
      <c r="B48" s="117" t="s">
        <v>459</v>
      </c>
      <c r="C48" s="64" t="s">
        <v>109</v>
      </c>
      <c r="D48" s="24">
        <f>ROUNDUP(168733611/1.27,0)-3141000</f>
        <v>129720112</v>
      </c>
      <c r="E48" s="24"/>
      <c r="F48" s="24">
        <v>0</v>
      </c>
      <c r="G48" s="24"/>
      <c r="H48" s="14"/>
      <c r="I48" s="14"/>
    </row>
    <row r="49" spans="1:9" s="13" customFormat="1" ht="31.5" x14ac:dyDescent="0.25">
      <c r="B49" s="117" t="s">
        <v>456</v>
      </c>
      <c r="C49" s="64" t="s">
        <v>109</v>
      </c>
      <c r="D49" s="24">
        <f>ROUNDUP(+'4 Átvett és Felh bev'!D66/1.27,0)</f>
        <v>177571</v>
      </c>
      <c r="E49" s="24"/>
      <c r="F49" s="24">
        <f>ROUNDUP(+'4 Átvett és Felh bev'!F66/1.27,0)</f>
        <v>177571</v>
      </c>
      <c r="G49" s="24"/>
      <c r="H49" s="14" t="s">
        <v>669</v>
      </c>
      <c r="I49" s="14"/>
    </row>
    <row r="50" spans="1:9" s="13" customFormat="1" x14ac:dyDescent="0.25">
      <c r="A50" s="13" t="s">
        <v>512</v>
      </c>
      <c r="B50" s="117" t="s">
        <v>452</v>
      </c>
      <c r="C50" s="64" t="s">
        <v>109</v>
      </c>
      <c r="D50" s="24">
        <f>ROUNDUP(+'4 Átvett és Felh bev'!D64/1.27,0)</f>
        <v>135599</v>
      </c>
      <c r="E50" s="24"/>
      <c r="F50" s="24">
        <f>ROUNDUP(+'4 Átvett és Felh bev'!F64/1.27,0)</f>
        <v>135599</v>
      </c>
      <c r="G50" s="24"/>
      <c r="H50" s="14" t="s">
        <v>669</v>
      </c>
      <c r="I50" s="14"/>
    </row>
    <row r="51" spans="1:9" ht="18" customHeight="1" x14ac:dyDescent="0.25">
      <c r="A51" s="13" t="s">
        <v>513</v>
      </c>
      <c r="B51" s="118" t="s">
        <v>454</v>
      </c>
      <c r="C51" s="64" t="s">
        <v>109</v>
      </c>
      <c r="D51" s="24">
        <v>353700000</v>
      </c>
      <c r="E51" s="24"/>
      <c r="F51" s="24">
        <f>353700000-144010769</f>
        <v>209689231</v>
      </c>
      <c r="G51" s="24"/>
      <c r="H51" s="14" t="s">
        <v>669</v>
      </c>
    </row>
    <row r="52" spans="1:9" x14ac:dyDescent="0.25">
      <c r="A52" s="13" t="s">
        <v>514</v>
      </c>
      <c r="B52" s="118" t="s">
        <v>460</v>
      </c>
      <c r="C52" s="64" t="s">
        <v>109</v>
      </c>
      <c r="D52" s="24">
        <f>145863000-3050800-1585720</f>
        <v>141226480</v>
      </c>
      <c r="E52" s="24"/>
      <c r="F52" s="24">
        <f>145863000-3050800-1585720</f>
        <v>141226480</v>
      </c>
      <c r="G52" s="24"/>
    </row>
    <row r="53" spans="1:9" x14ac:dyDescent="0.25">
      <c r="B53" s="118" t="s">
        <v>461</v>
      </c>
      <c r="C53" s="64" t="s">
        <v>109</v>
      </c>
      <c r="D53" s="24">
        <f>145866000-2814378</f>
        <v>143051622</v>
      </c>
      <c r="E53" s="24"/>
      <c r="F53" s="24">
        <f>145866000-2814378</f>
        <v>143051622</v>
      </c>
      <c r="G53" s="24"/>
    </row>
    <row r="54" spans="1:9" x14ac:dyDescent="0.25">
      <c r="A54" s="13" t="s">
        <v>515</v>
      </c>
      <c r="B54" s="118" t="s">
        <v>457</v>
      </c>
      <c r="C54" s="64" t="s">
        <v>109</v>
      </c>
      <c r="D54" s="24"/>
      <c r="E54" s="24">
        <f>221491000+ROUND(10064783/1.27,0)</f>
        <v>229416026</v>
      </c>
      <c r="F54" s="24"/>
      <c r="G54" s="24">
        <v>0</v>
      </c>
    </row>
    <row r="55" spans="1:9" x14ac:dyDescent="0.25">
      <c r="B55" s="118" t="s">
        <v>458</v>
      </c>
      <c r="C55" s="64" t="s">
        <v>109</v>
      </c>
      <c r="D55" s="24"/>
      <c r="E55" s="24">
        <v>120509000</v>
      </c>
      <c r="F55" s="24"/>
      <c r="G55" s="24">
        <f>120509000-120509000</f>
        <v>0</v>
      </c>
    </row>
    <row r="56" spans="1:9" x14ac:dyDescent="0.25">
      <c r="A56" s="13" t="s">
        <v>516</v>
      </c>
      <c r="B56" s="118" t="s">
        <v>455</v>
      </c>
      <c r="C56" s="64" t="s">
        <v>109</v>
      </c>
      <c r="D56" s="24">
        <f>ROUNDUP(+'4 Átvett és Felh bev'!D64/1.27,0)</f>
        <v>135599</v>
      </c>
      <c r="E56" s="24"/>
      <c r="F56" s="24">
        <f>ROUNDUP(+'4 Átvett és Felh bev'!F64/1.27,0)</f>
        <v>135599</v>
      </c>
      <c r="G56" s="24"/>
      <c r="H56" s="14" t="s">
        <v>669</v>
      </c>
    </row>
    <row r="57" spans="1:9" x14ac:dyDescent="0.25">
      <c r="B57" s="118" t="s">
        <v>463</v>
      </c>
      <c r="C57" s="64" t="s">
        <v>109</v>
      </c>
      <c r="D57" s="24">
        <f>736722000-144674897-292708483-12000000</f>
        <v>287338620</v>
      </c>
      <c r="E57" s="24"/>
      <c r="F57" s="24">
        <f>736722000-144674897-292708483-12000000</f>
        <v>287338620</v>
      </c>
      <c r="G57" s="24"/>
    </row>
    <row r="58" spans="1:9" x14ac:dyDescent="0.25">
      <c r="B58" s="118" t="s">
        <v>853</v>
      </c>
      <c r="C58" s="64" t="s">
        <v>109</v>
      </c>
      <c r="D58" s="24">
        <v>49418843</v>
      </c>
      <c r="E58" s="24"/>
      <c r="F58" s="24">
        <v>49418843</v>
      </c>
      <c r="G58" s="24"/>
      <c r="H58" s="14" t="s">
        <v>669</v>
      </c>
    </row>
    <row r="59" spans="1:9" x14ac:dyDescent="0.25">
      <c r="B59" s="118" t="s">
        <v>844</v>
      </c>
      <c r="C59" s="64" t="s">
        <v>109</v>
      </c>
      <c r="D59" s="24"/>
      <c r="E59" s="24">
        <f>7087000-3351294</f>
        <v>3735706</v>
      </c>
      <c r="F59" s="24"/>
      <c r="G59" s="24">
        <f>7087000-3351294</f>
        <v>3735706</v>
      </c>
      <c r="H59" s="14" t="s">
        <v>669</v>
      </c>
    </row>
    <row r="60" spans="1:9" x14ac:dyDescent="0.25">
      <c r="B60" s="118" t="s">
        <v>841</v>
      </c>
      <c r="C60" s="64" t="s">
        <v>109</v>
      </c>
      <c r="D60" s="24"/>
      <c r="E60" s="24">
        <v>71785000</v>
      </c>
      <c r="F60" s="24"/>
      <c r="G60" s="24">
        <f>71785000-G26</f>
        <v>63558251</v>
      </c>
      <c r="H60" s="14" t="s">
        <v>669</v>
      </c>
    </row>
    <row r="61" spans="1:9" x14ac:dyDescent="0.25">
      <c r="B61" s="118" t="s">
        <v>839</v>
      </c>
      <c r="C61" s="64" t="s">
        <v>109</v>
      </c>
      <c r="D61" s="24">
        <v>15000000</v>
      </c>
      <c r="E61" s="24"/>
      <c r="F61" s="24">
        <v>15000000</v>
      </c>
      <c r="G61" s="24"/>
      <c r="H61" s="14" t="s">
        <v>669</v>
      </c>
    </row>
    <row r="62" spans="1:9" x14ac:dyDescent="0.25">
      <c r="B62" s="118" t="s">
        <v>840</v>
      </c>
      <c r="C62" s="64" t="s">
        <v>109</v>
      </c>
      <c r="D62" s="24">
        <v>424126000</v>
      </c>
      <c r="E62" s="24"/>
      <c r="F62" s="24">
        <v>424126000</v>
      </c>
      <c r="G62" s="24"/>
    </row>
    <row r="63" spans="1:9" x14ac:dyDescent="0.25">
      <c r="B63" s="118" t="s">
        <v>865</v>
      </c>
      <c r="C63" s="64" t="s">
        <v>109</v>
      </c>
      <c r="D63" s="24">
        <v>31496063</v>
      </c>
      <c r="E63" s="24"/>
      <c r="F63" s="24">
        <f>31496063-31496063</f>
        <v>0</v>
      </c>
      <c r="G63" s="24"/>
      <c r="H63" s="14" t="s">
        <v>669</v>
      </c>
    </row>
    <row r="64" spans="1:9" x14ac:dyDescent="0.25">
      <c r="B64" s="118" t="s">
        <v>873</v>
      </c>
      <c r="C64" s="64" t="s">
        <v>109</v>
      </c>
      <c r="D64" s="24">
        <f>ROUNDDOWN(10000000/1.27,0)</f>
        <v>7874015</v>
      </c>
      <c r="E64" s="24"/>
      <c r="F64" s="24">
        <f>ROUNDDOWN(10000000/1.27,0)</f>
        <v>7874015</v>
      </c>
      <c r="G64" s="24"/>
    </row>
    <row r="65" spans="1:9" ht="18" customHeight="1" x14ac:dyDescent="0.25">
      <c r="B65" s="117"/>
      <c r="C65" s="64" t="s">
        <v>109</v>
      </c>
      <c r="D65" s="24">
        <v>0</v>
      </c>
      <c r="E65" s="24"/>
      <c r="F65" s="24">
        <v>0</v>
      </c>
      <c r="G65" s="24"/>
      <c r="H65" s="14" t="s">
        <v>669</v>
      </c>
    </row>
    <row r="66" spans="1:9" s="107" customFormat="1" x14ac:dyDescent="0.25">
      <c r="A66" s="27"/>
      <c r="B66" s="137" t="s">
        <v>517</v>
      </c>
      <c r="C66" s="91" t="s">
        <v>109</v>
      </c>
      <c r="D66" s="92">
        <f>SUM(D47:D65)</f>
        <v>1583400524</v>
      </c>
      <c r="E66" s="92">
        <f>SUM(E47:E65)</f>
        <v>425445732</v>
      </c>
      <c r="F66" s="92">
        <f>SUM(F47:F65)</f>
        <v>1278173580</v>
      </c>
      <c r="G66" s="92">
        <f>SUM(G51:G65)</f>
        <v>67293957</v>
      </c>
      <c r="H66" s="106"/>
      <c r="I66" s="106"/>
    </row>
    <row r="67" spans="1:9" x14ac:dyDescent="0.25">
      <c r="B67" s="66"/>
      <c r="C67" s="64"/>
      <c r="D67" s="24"/>
      <c r="E67" s="24"/>
      <c r="F67" s="24"/>
      <c r="G67" s="24"/>
    </row>
    <row r="68" spans="1:9" s="107" customFormat="1" x14ac:dyDescent="0.25">
      <c r="A68" s="27"/>
      <c r="B68" s="137" t="s">
        <v>518</v>
      </c>
      <c r="C68" s="91" t="s">
        <v>111</v>
      </c>
      <c r="D68" s="92">
        <f>SUM(D67:D67)</f>
        <v>0</v>
      </c>
      <c r="E68" s="92">
        <f>SUM(E67:E67)</f>
        <v>0</v>
      </c>
      <c r="F68" s="92">
        <f>SUM(F67:F67)</f>
        <v>0</v>
      </c>
      <c r="G68" s="92">
        <f>SUM(G67:G67)</f>
        <v>0</v>
      </c>
      <c r="H68" s="106"/>
      <c r="I68" s="106"/>
    </row>
    <row r="69" spans="1:9" x14ac:dyDescent="0.25">
      <c r="B69" s="66"/>
      <c r="C69" s="64"/>
      <c r="D69" s="24"/>
      <c r="E69" s="24"/>
      <c r="F69" s="24"/>
      <c r="G69" s="24"/>
    </row>
    <row r="70" spans="1:9" x14ac:dyDescent="0.25">
      <c r="A70" s="13" t="s">
        <v>519</v>
      </c>
      <c r="B70" s="118"/>
      <c r="C70" s="64" t="s">
        <v>113</v>
      </c>
      <c r="D70" s="24"/>
      <c r="E70" s="97"/>
      <c r="F70" s="24"/>
      <c r="G70" s="97"/>
    </row>
    <row r="71" spans="1:9" s="107" customFormat="1" x14ac:dyDescent="0.25">
      <c r="A71" s="27"/>
      <c r="B71" s="137" t="s">
        <v>520</v>
      </c>
      <c r="C71" s="91" t="s">
        <v>113</v>
      </c>
      <c r="D71" s="92">
        <f>SUM(D69:D70)</f>
        <v>0</v>
      </c>
      <c r="E71" s="92">
        <f>SUM(E69:E70)</f>
        <v>0</v>
      </c>
      <c r="F71" s="92">
        <f>SUM(F69:F70)</f>
        <v>0</v>
      </c>
      <c r="G71" s="92">
        <f>SUM(G69:G70)</f>
        <v>0</v>
      </c>
      <c r="H71" s="106"/>
      <c r="I71" s="106"/>
    </row>
    <row r="72" spans="1:9" x14ac:dyDescent="0.25">
      <c r="B72" s="66"/>
      <c r="C72" s="64"/>
      <c r="D72" s="24"/>
      <c r="E72" s="24"/>
      <c r="F72" s="24"/>
      <c r="G72" s="24"/>
    </row>
    <row r="73" spans="1:9" x14ac:dyDescent="0.25">
      <c r="A73" s="13" t="s">
        <v>521</v>
      </c>
      <c r="B73" s="117" t="s">
        <v>522</v>
      </c>
      <c r="C73" s="64" t="s">
        <v>115</v>
      </c>
      <c r="D73" s="24">
        <f>ROUNDDOWN(+D48*0.27,0)-1-848070</f>
        <v>34176359</v>
      </c>
      <c r="E73" s="24"/>
      <c r="F73" s="24">
        <v>0</v>
      </c>
      <c r="G73" s="24"/>
    </row>
    <row r="74" spans="1:9" x14ac:dyDescent="0.25">
      <c r="B74" s="117" t="s">
        <v>847</v>
      </c>
      <c r="C74" s="64" t="s">
        <v>115</v>
      </c>
      <c r="D74" s="24">
        <f>ROUNDDOWN(+D49*0.27,0)</f>
        <v>47944</v>
      </c>
      <c r="E74" s="24"/>
      <c r="F74" s="24">
        <f>ROUNDDOWN(+F49*0.27,0)</f>
        <v>47944</v>
      </c>
      <c r="G74" s="24"/>
      <c r="H74" s="14" t="s">
        <v>669</v>
      </c>
    </row>
    <row r="75" spans="1:9" x14ac:dyDescent="0.25">
      <c r="A75" s="13" t="s">
        <v>523</v>
      </c>
      <c r="B75" s="117" t="s">
        <v>524</v>
      </c>
      <c r="C75" s="64" t="s">
        <v>115</v>
      </c>
      <c r="D75" s="24">
        <f>ROUNDDOWN(+D50*0.27,0)</f>
        <v>36611</v>
      </c>
      <c r="E75" s="97"/>
      <c r="F75" s="24">
        <f>ROUNDDOWN(+F50*0.27,0)</f>
        <v>36611</v>
      </c>
      <c r="G75" s="97"/>
      <c r="H75" s="14" t="s">
        <v>669</v>
      </c>
    </row>
    <row r="76" spans="1:9" x14ac:dyDescent="0.25">
      <c r="A76" s="13" t="s">
        <v>525</v>
      </c>
      <c r="B76" s="118" t="s">
        <v>526</v>
      </c>
      <c r="C76" s="64" t="s">
        <v>115</v>
      </c>
      <c r="D76" s="24">
        <f>ROUNDDOWN(+D56*0.27,0)</f>
        <v>36611</v>
      </c>
      <c r="E76" s="97"/>
      <c r="F76" s="24">
        <f>ROUNDDOWN(+F56*0.27,0)</f>
        <v>36611</v>
      </c>
      <c r="G76" s="97"/>
      <c r="H76" s="14" t="s">
        <v>669</v>
      </c>
    </row>
    <row r="77" spans="1:9" x14ac:dyDescent="0.25">
      <c r="A77" s="13" t="s">
        <v>527</v>
      </c>
      <c r="B77" s="118" t="s">
        <v>528</v>
      </c>
      <c r="C77" s="64" t="s">
        <v>115</v>
      </c>
      <c r="D77" s="24">
        <v>95499000</v>
      </c>
      <c r="E77" s="24"/>
      <c r="F77" s="24">
        <f>95499000-38882907</f>
        <v>56616093</v>
      </c>
      <c r="G77" s="24"/>
      <c r="H77" s="14" t="s">
        <v>669</v>
      </c>
    </row>
    <row r="78" spans="1:9" x14ac:dyDescent="0.25">
      <c r="A78" s="13" t="s">
        <v>529</v>
      </c>
      <c r="B78" s="118" t="s">
        <v>530</v>
      </c>
      <c r="C78" s="64" t="s">
        <v>115</v>
      </c>
      <c r="D78" s="24">
        <f>39383000-823716-428144</f>
        <v>38131140</v>
      </c>
      <c r="E78" s="97" t="s">
        <v>418</v>
      </c>
      <c r="F78" s="24">
        <f>39383000-823716-428144-10418000</f>
        <v>27713140</v>
      </c>
      <c r="G78" s="97" t="s">
        <v>418</v>
      </c>
    </row>
    <row r="79" spans="1:9" x14ac:dyDescent="0.25">
      <c r="B79" s="118" t="s">
        <v>531</v>
      </c>
      <c r="C79" s="64" t="s">
        <v>115</v>
      </c>
      <c r="D79" s="24">
        <f>39384000-759882</f>
        <v>38624118</v>
      </c>
      <c r="E79" s="97"/>
      <c r="F79" s="24">
        <f>39384000-759882</f>
        <v>38624118</v>
      </c>
      <c r="G79" s="97"/>
    </row>
    <row r="80" spans="1:9" x14ac:dyDescent="0.25">
      <c r="A80" s="13" t="s">
        <v>532</v>
      </c>
      <c r="B80" s="118" t="s">
        <v>533</v>
      </c>
      <c r="C80" s="64" t="s">
        <v>115</v>
      </c>
      <c r="D80" s="24"/>
      <c r="E80" s="24">
        <f>59803000+ROUND(10064783/1.27*0.27,0)</f>
        <v>61942757</v>
      </c>
      <c r="F80" s="24"/>
      <c r="G80" s="24">
        <v>0</v>
      </c>
    </row>
    <row r="81" spans="1:9" x14ac:dyDescent="0.25">
      <c r="B81" s="118" t="s">
        <v>534</v>
      </c>
      <c r="C81" s="64" t="s">
        <v>115</v>
      </c>
      <c r="D81" s="24"/>
      <c r="E81" s="24">
        <v>32538000</v>
      </c>
      <c r="F81" s="24"/>
      <c r="G81" s="24">
        <f>32538000-32538000</f>
        <v>0</v>
      </c>
    </row>
    <row r="82" spans="1:9" x14ac:dyDescent="0.25">
      <c r="B82" s="118" t="s">
        <v>535</v>
      </c>
      <c r="C82" s="64" t="s">
        <v>115</v>
      </c>
      <c r="D82" s="24">
        <f>ROUNDDOWN(+D57*0.27,0)</f>
        <v>77581427</v>
      </c>
      <c r="E82" s="24"/>
      <c r="F82" s="24">
        <f>ROUNDDOWN(+F57*0.27,0)</f>
        <v>77581427</v>
      </c>
      <c r="G82" s="24"/>
    </row>
    <row r="83" spans="1:9" x14ac:dyDescent="0.25">
      <c r="B83" s="118" t="s">
        <v>842</v>
      </c>
      <c r="C83" s="64" t="s">
        <v>115</v>
      </c>
      <c r="D83" s="24"/>
      <c r="E83" s="24">
        <v>19382000</v>
      </c>
      <c r="F83" s="24"/>
      <c r="G83" s="24">
        <f>19382000-G40</f>
        <v>17160778</v>
      </c>
      <c r="H83" s="14" t="s">
        <v>669</v>
      </c>
    </row>
    <row r="84" spans="1:9" x14ac:dyDescent="0.25">
      <c r="B84" s="118" t="s">
        <v>843</v>
      </c>
      <c r="C84" s="64" t="s">
        <v>115</v>
      </c>
      <c r="D84" s="24">
        <f>ROUNDUP(+D61*0.27,0)</f>
        <v>4050000</v>
      </c>
      <c r="E84" s="24"/>
      <c r="F84" s="24">
        <f>ROUNDUP(+F61*0.27,0)</f>
        <v>4050000</v>
      </c>
      <c r="G84" s="24"/>
      <c r="H84" s="14" t="s">
        <v>669</v>
      </c>
    </row>
    <row r="85" spans="1:9" x14ac:dyDescent="0.25">
      <c r="B85" s="118" t="s">
        <v>854</v>
      </c>
      <c r="C85" s="64" t="s">
        <v>115</v>
      </c>
      <c r="D85" s="24">
        <v>13343087</v>
      </c>
      <c r="E85" s="24"/>
      <c r="F85" s="24">
        <v>13343087</v>
      </c>
      <c r="G85" s="24"/>
      <c r="H85" s="14" t="s">
        <v>669</v>
      </c>
    </row>
    <row r="86" spans="1:9" x14ac:dyDescent="0.25">
      <c r="B86" s="118" t="s">
        <v>845</v>
      </c>
      <c r="C86" s="64" t="s">
        <v>115</v>
      </c>
      <c r="D86" s="24"/>
      <c r="E86" s="24">
        <f>1913000-904849</f>
        <v>1008151</v>
      </c>
      <c r="F86" s="24"/>
      <c r="G86" s="24">
        <f>1913000-904849</f>
        <v>1008151</v>
      </c>
      <c r="H86" s="14" t="s">
        <v>669</v>
      </c>
    </row>
    <row r="87" spans="1:9" x14ac:dyDescent="0.25">
      <c r="B87" s="118" t="s">
        <v>846</v>
      </c>
      <c r="C87" s="64" t="s">
        <v>115</v>
      </c>
      <c r="D87" s="24">
        <v>114514000</v>
      </c>
      <c r="E87" s="24"/>
      <c r="F87" s="24">
        <v>114514000</v>
      </c>
      <c r="G87" s="24"/>
    </row>
    <row r="88" spans="1:9" x14ac:dyDescent="0.25">
      <c r="B88" s="118" t="s">
        <v>866</v>
      </c>
      <c r="C88" s="64" t="s">
        <v>115</v>
      </c>
      <c r="D88" s="24">
        <v>8503937</v>
      </c>
      <c r="E88" s="24"/>
      <c r="F88" s="24">
        <f>8503937-8503937</f>
        <v>0</v>
      </c>
      <c r="G88" s="24"/>
      <c r="H88" s="14" t="s">
        <v>669</v>
      </c>
    </row>
    <row r="89" spans="1:9" x14ac:dyDescent="0.25">
      <c r="B89" s="118" t="s">
        <v>873</v>
      </c>
      <c r="C89" s="64" t="s">
        <v>115</v>
      </c>
      <c r="D89" s="24">
        <f>ROUNDUP(+D64*0.27,0)</f>
        <v>2125985</v>
      </c>
      <c r="E89" s="24"/>
      <c r="F89" s="24">
        <f>ROUNDUP(+F64*0.27,0)</f>
        <v>2125985</v>
      </c>
      <c r="G89" s="24"/>
    </row>
    <row r="90" spans="1:9" x14ac:dyDescent="0.25">
      <c r="B90" s="117"/>
      <c r="C90" s="64" t="s">
        <v>115</v>
      </c>
      <c r="D90" s="24">
        <v>0</v>
      </c>
      <c r="E90" s="97"/>
      <c r="F90" s="24">
        <v>0</v>
      </c>
      <c r="G90" s="97"/>
      <c r="H90" s="14" t="s">
        <v>669</v>
      </c>
    </row>
    <row r="91" spans="1:9" s="107" customFormat="1" x14ac:dyDescent="0.25">
      <c r="A91" s="13" t="s">
        <v>536</v>
      </c>
      <c r="B91" s="137" t="s">
        <v>537</v>
      </c>
      <c r="C91" s="91" t="s">
        <v>115</v>
      </c>
      <c r="D91" s="122">
        <f>SUM(D72:D90)</f>
        <v>426670219</v>
      </c>
      <c r="E91" s="122">
        <f>SUM(E72:E90)</f>
        <v>114870908</v>
      </c>
      <c r="F91" s="122">
        <f>SUM(F72:F90)</f>
        <v>334689016</v>
      </c>
      <c r="G91" s="122">
        <f>SUM(G72:G90)</f>
        <v>18168929</v>
      </c>
      <c r="H91" s="106"/>
      <c r="I91" s="106"/>
    </row>
    <row r="92" spans="1:9" s="94" customFormat="1" x14ac:dyDescent="0.25">
      <c r="A92" s="13"/>
      <c r="B92" s="137" t="s">
        <v>538</v>
      </c>
      <c r="C92" s="91" t="s">
        <v>117</v>
      </c>
      <c r="D92" s="92">
        <f>+D91+D71+D68+D66</f>
        <v>2010070743</v>
      </c>
      <c r="E92" s="92">
        <f>+E91+E71+E68+E66</f>
        <v>540316640</v>
      </c>
      <c r="F92" s="92">
        <f>+F91+F71+F68+F66</f>
        <v>1612862596</v>
      </c>
      <c r="G92" s="92">
        <f>+G91+G71+G68+G66</f>
        <v>85462886</v>
      </c>
      <c r="H92" s="114"/>
      <c r="I92" s="114"/>
    </row>
    <row r="93" spans="1:9" s="94" customFormat="1" x14ac:dyDescent="0.25">
      <c r="A93" s="13"/>
      <c r="B93" s="141" t="s">
        <v>539</v>
      </c>
      <c r="C93" s="141" t="s">
        <v>540</v>
      </c>
      <c r="D93" s="122">
        <f>+D92+D46</f>
        <v>2059905167</v>
      </c>
      <c r="E93" s="122">
        <f>+E92+E46</f>
        <v>683627621</v>
      </c>
      <c r="F93" s="122">
        <f>+F92+F46</f>
        <v>1817441491</v>
      </c>
      <c r="G93" s="122">
        <f>+G92+G46</f>
        <v>461596177</v>
      </c>
      <c r="H93" s="114"/>
      <c r="I93" s="114"/>
    </row>
    <row r="94" spans="1:9" x14ac:dyDescent="0.25">
      <c r="B94" s="142"/>
      <c r="C94" s="142"/>
      <c r="D94" s="125"/>
      <c r="E94" s="125"/>
      <c r="F94" s="125"/>
      <c r="G94" s="125"/>
    </row>
    <row r="95" spans="1:9" x14ac:dyDescent="0.25">
      <c r="A95" s="415" t="s">
        <v>889</v>
      </c>
      <c r="B95" s="421" t="s">
        <v>891</v>
      </c>
      <c r="C95" s="419" t="s">
        <v>890</v>
      </c>
      <c r="D95" s="420"/>
      <c r="E95" s="420">
        <v>2000000</v>
      </c>
      <c r="F95" s="416"/>
      <c r="G95" s="420">
        <v>2000000</v>
      </c>
    </row>
    <row r="96" spans="1:9" x14ac:dyDescent="0.25">
      <c r="B96" s="422" t="s">
        <v>893</v>
      </c>
      <c r="C96" s="423" t="s">
        <v>892</v>
      </c>
      <c r="D96" s="424">
        <f>+D95</f>
        <v>0</v>
      </c>
      <c r="E96" s="424">
        <f>+E95</f>
        <v>2000000</v>
      </c>
      <c r="F96" s="424">
        <f>+F95</f>
        <v>0</v>
      </c>
      <c r="G96" s="424">
        <f>+G95</f>
        <v>2000000</v>
      </c>
    </row>
    <row r="97" spans="2:7" hidden="1" x14ac:dyDescent="0.25">
      <c r="B97" s="419"/>
      <c r="C97" s="419"/>
      <c r="D97" s="420"/>
      <c r="E97" s="420"/>
      <c r="F97" s="416"/>
      <c r="G97" s="125"/>
    </row>
    <row r="98" spans="2:7" hidden="1" x14ac:dyDescent="0.25">
      <c r="B98" s="417"/>
      <c r="C98" s="417"/>
      <c r="D98" s="418"/>
      <c r="E98" s="418"/>
      <c r="F98" s="125"/>
      <c r="G98" s="125"/>
    </row>
    <row r="99" spans="2:7" hidden="1" x14ac:dyDescent="0.25">
      <c r="B99" s="142"/>
      <c r="C99" s="142"/>
      <c r="D99" s="125"/>
      <c r="E99" s="125"/>
      <c r="F99" s="125"/>
      <c r="G99" s="125"/>
    </row>
    <row r="100" spans="2:7" x14ac:dyDescent="0.25">
      <c r="B100" s="142"/>
      <c r="C100" s="142"/>
      <c r="D100" s="125"/>
      <c r="E100" s="125"/>
      <c r="F100" s="125"/>
      <c r="G100" s="125"/>
    </row>
    <row r="101" spans="2:7" x14ac:dyDescent="0.25">
      <c r="B101" s="142"/>
      <c r="C101" s="142"/>
      <c r="D101" s="125"/>
      <c r="E101" s="125"/>
      <c r="F101" s="125"/>
      <c r="G101" s="125"/>
    </row>
    <row r="102" spans="2:7" x14ac:dyDescent="0.25">
      <c r="B102" s="142"/>
      <c r="C102" s="142"/>
      <c r="D102" s="125"/>
      <c r="E102" s="125"/>
      <c r="F102" s="125"/>
      <c r="G102" s="125"/>
    </row>
    <row r="104" spans="2:7" x14ac:dyDescent="0.25">
      <c r="D104" s="14">
        <f>+D87+E86+D85+E83+D82+E81+E80+D79+D78+D77+D73+D62+E60+E59+D58+D57+E55+E54+D53+D52+D51+D48+D44+E43+E42+E38+D28+E25+E24+E22</f>
        <v>2640510853</v>
      </c>
      <c r="F104" s="14">
        <f>+F87+G86+F85+G83+F82+G81+G80+F79+F78+F77+F73+F62+G60+G59+F58+F57+G55+G54+F53+F52+F51+F48+F44+G43+G42+G38+F28+G25+G24+G22</f>
        <v>1828931552</v>
      </c>
    </row>
    <row r="105" spans="2:7" x14ac:dyDescent="0.25">
      <c r="D105" s="14">
        <f>+'19 EU projektek'!F37+'19 EU projektek'!F40+'19 EU projektek'!F42+'19 EU projektek'!F45</f>
        <v>2640510853</v>
      </c>
      <c r="F105" s="14">
        <f>+'19 EU projektek'!H37+'19 EU projektek'!H40+'19 EU projektek'!H42+'19 EU projektek'!H45</f>
        <v>238838438</v>
      </c>
    </row>
    <row r="106" spans="2:7" x14ac:dyDescent="0.25">
      <c r="D106" s="14">
        <f>+D104-D105</f>
        <v>0</v>
      </c>
      <c r="F106" s="14">
        <f>+F104-F105</f>
        <v>1590093114</v>
      </c>
    </row>
  </sheetData>
  <sheetProtection selectLockedCells="1" selectUnlockedCells="1"/>
  <mergeCells count="2">
    <mergeCell ref="D7:E7"/>
    <mergeCell ref="F7:G7"/>
  </mergeCells>
  <phoneticPr fontId="80" type="noConversion"/>
  <printOptions horizontalCentered="1"/>
  <pageMargins left="0.70833333333333337" right="0.49027777777777776" top="0.5" bottom="0.61041666666666661" header="0.51180555555555551" footer="0.31527777777777777"/>
  <pageSetup paperSize="9" scale="61" firstPageNumber="0" orientation="portrait" horizontalDpi="300" verticalDpi="300" r:id="rId1"/>
  <headerFooter alignWithMargins="0">
    <oddFooter>&amp;R&amp;P</oddFooter>
  </headerFooter>
  <rowBreaks count="1" manualBreakCount="1">
    <brk id="66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view="pageBreakPreview" zoomScale="80" zoomScaleSheetLayoutView="80" workbookViewId="0">
      <selection activeCell="I2" sqref="I2"/>
    </sheetView>
  </sheetViews>
  <sheetFormatPr defaultRowHeight="15" x14ac:dyDescent="0.25"/>
  <cols>
    <col min="1" max="1" width="10.5703125" style="143" customWidth="1"/>
    <col min="2" max="2" width="61.140625" style="143" customWidth="1"/>
    <col min="3" max="3" width="7.42578125" style="143" customWidth="1"/>
    <col min="4" max="4" width="13.140625" style="143" customWidth="1"/>
    <col min="5" max="5" width="14" style="143" customWidth="1"/>
    <col min="6" max="6" width="12.42578125" style="143" customWidth="1"/>
    <col min="7" max="7" width="12" style="143" customWidth="1"/>
    <col min="8" max="8" width="12.28515625" style="143" customWidth="1"/>
    <col min="9" max="9" width="14.85546875" style="143" customWidth="1"/>
    <col min="10" max="10" width="11.7109375" style="143" customWidth="1"/>
    <col min="11" max="16384" width="9.140625" style="143"/>
  </cols>
  <sheetData>
    <row r="1" spans="1:10" ht="15.75" x14ac:dyDescent="0.25">
      <c r="I1" s="15" t="s">
        <v>541</v>
      </c>
    </row>
    <row r="2" spans="1:10" ht="15.75" x14ac:dyDescent="0.25">
      <c r="I2" s="16" t="s">
        <v>919</v>
      </c>
    </row>
    <row r="3" spans="1:10" x14ac:dyDescent="0.25">
      <c r="F3" s="144"/>
      <c r="I3" s="144"/>
    </row>
    <row r="4" spans="1:10" x14ac:dyDescent="0.25">
      <c r="F4" s="144"/>
      <c r="I4" s="144"/>
    </row>
    <row r="5" spans="1:10" ht="24" customHeight="1" x14ac:dyDescent="0.3">
      <c r="B5" s="489" t="s">
        <v>857</v>
      </c>
      <c r="C5" s="489"/>
    </row>
    <row r="6" spans="1:10" ht="18.75" x14ac:dyDescent="0.3">
      <c r="B6" s="4"/>
      <c r="C6" s="145"/>
      <c r="D6" s="145"/>
      <c r="E6" s="145"/>
      <c r="F6" s="145"/>
      <c r="G6" s="145"/>
      <c r="H6" s="145"/>
      <c r="I6" s="145"/>
    </row>
    <row r="7" spans="1:10" ht="16.5" customHeight="1" x14ac:dyDescent="0.35">
      <c r="B7" s="18" t="s">
        <v>826</v>
      </c>
      <c r="C7" s="146"/>
      <c r="D7" s="146"/>
      <c r="E7" s="146"/>
      <c r="F7" s="146"/>
      <c r="G7" s="146"/>
      <c r="H7" s="146"/>
      <c r="I7" s="146"/>
    </row>
    <row r="8" spans="1:10" ht="19.5" x14ac:dyDescent="0.35">
      <c r="B8" s="147"/>
    </row>
    <row r="9" spans="1:10" ht="15.75" customHeight="1" x14ac:dyDescent="0.25">
      <c r="D9" s="494" t="s">
        <v>10</v>
      </c>
      <c r="E9" s="494"/>
      <c r="F9" s="494"/>
      <c r="G9" s="494" t="s">
        <v>11</v>
      </c>
      <c r="H9" s="494"/>
      <c r="I9" s="494"/>
    </row>
    <row r="10" spans="1:10" s="22" customFormat="1" ht="52.5" customHeight="1" x14ac:dyDescent="0.25">
      <c r="A10" s="13" t="s">
        <v>331</v>
      </c>
      <c r="B10" s="19" t="s">
        <v>542</v>
      </c>
      <c r="C10" s="47" t="s">
        <v>38</v>
      </c>
      <c r="D10" s="148" t="s">
        <v>13</v>
      </c>
      <c r="E10" s="148" t="s">
        <v>14</v>
      </c>
      <c r="F10" s="47" t="s">
        <v>543</v>
      </c>
      <c r="G10" s="148" t="s">
        <v>13</v>
      </c>
      <c r="H10" s="148" t="s">
        <v>14</v>
      </c>
      <c r="I10" s="47" t="s">
        <v>543</v>
      </c>
    </row>
    <row r="11" spans="1:10" ht="15.75" x14ac:dyDescent="0.25">
      <c r="A11" s="13" t="s">
        <v>425</v>
      </c>
      <c r="B11" s="149"/>
      <c r="C11" s="150"/>
      <c r="D11" s="151"/>
      <c r="E11" s="151"/>
      <c r="F11" s="152"/>
      <c r="G11" s="151"/>
      <c r="H11" s="151"/>
      <c r="I11" s="152"/>
    </row>
    <row r="12" spans="1:10" ht="15.75" x14ac:dyDescent="0.25">
      <c r="A12" s="143" t="s">
        <v>544</v>
      </c>
      <c r="B12" s="108" t="s">
        <v>545</v>
      </c>
      <c r="C12" s="65"/>
      <c r="D12" s="24">
        <f>15000000</f>
        <v>15000000</v>
      </c>
      <c r="E12" s="24">
        <v>0</v>
      </c>
      <c r="F12" s="25">
        <f>SUM(D12:E12)</f>
        <v>15000000</v>
      </c>
      <c r="G12" s="24">
        <f>15000000-750692-312892-382620-3500000-2650000-482600-450000</f>
        <v>6471196</v>
      </c>
      <c r="H12" s="24">
        <v>0</v>
      </c>
      <c r="I12" s="25">
        <f>SUM(G12:H12)</f>
        <v>6471196</v>
      </c>
      <c r="J12" s="352">
        <f>+F12-I12</f>
        <v>8528804</v>
      </c>
    </row>
    <row r="13" spans="1:10" ht="15.75" x14ac:dyDescent="0.25">
      <c r="B13" s="108" t="s">
        <v>546</v>
      </c>
      <c r="C13" s="23"/>
      <c r="D13" s="24">
        <v>0</v>
      </c>
      <c r="E13" s="24">
        <v>0</v>
      </c>
      <c r="F13" s="25">
        <f>SUM(D13:E13)</f>
        <v>0</v>
      </c>
      <c r="G13" s="24">
        <v>0</v>
      </c>
      <c r="H13" s="24">
        <v>0</v>
      </c>
      <c r="I13" s="25">
        <f>SUM(G13:H13)</f>
        <v>0</v>
      </c>
    </row>
    <row r="14" spans="1:10" s="153" customFormat="1" ht="15.75" x14ac:dyDescent="0.25">
      <c r="A14" s="143"/>
      <c r="B14" s="137" t="s">
        <v>547</v>
      </c>
      <c r="C14" s="91" t="s">
        <v>86</v>
      </c>
      <c r="D14" s="92">
        <f>+D12+D13</f>
        <v>15000000</v>
      </c>
      <c r="E14" s="92">
        <f>+E12+E13</f>
        <v>0</v>
      </c>
      <c r="F14" s="92">
        <f>SUM(D14:E14)</f>
        <v>15000000</v>
      </c>
      <c r="G14" s="92">
        <f>+G12+G13</f>
        <v>6471196</v>
      </c>
      <c r="H14" s="92">
        <f>+H12+H13</f>
        <v>0</v>
      </c>
      <c r="I14" s="92">
        <f>SUM(G14:H14)</f>
        <v>6471196</v>
      </c>
    </row>
    <row r="15" spans="1:10" ht="15.75" x14ac:dyDescent="0.25">
      <c r="B15" s="23"/>
      <c r="C15" s="23"/>
      <c r="D15" s="24"/>
      <c r="E15" s="24"/>
      <c r="F15" s="25"/>
      <c r="G15" s="24"/>
      <c r="H15" s="24"/>
      <c r="I15" s="25"/>
    </row>
    <row r="16" spans="1:10" ht="15.75" x14ac:dyDescent="0.25">
      <c r="A16" s="143" t="s">
        <v>548</v>
      </c>
      <c r="B16" s="154" t="s">
        <v>549</v>
      </c>
      <c r="C16" s="65"/>
      <c r="D16" s="24">
        <v>100000</v>
      </c>
      <c r="E16" s="24"/>
      <c r="F16" s="25">
        <f>SUM(D16:E16)</f>
        <v>100000</v>
      </c>
      <c r="G16" s="24">
        <v>0</v>
      </c>
      <c r="H16" s="24"/>
      <c r="I16" s="25">
        <f>SUM(G16:H16)</f>
        <v>0</v>
      </c>
    </row>
    <row r="17" spans="1:10" ht="15.75" x14ac:dyDescent="0.25">
      <c r="A17" s="143" t="s">
        <v>550</v>
      </c>
      <c r="B17" s="154" t="s">
        <v>551</v>
      </c>
      <c r="C17" s="65"/>
      <c r="D17" s="24">
        <v>100000</v>
      </c>
      <c r="E17" s="24"/>
      <c r="F17" s="25">
        <f>SUM(D17:E17)</f>
        <v>100000</v>
      </c>
      <c r="G17" s="24">
        <v>0</v>
      </c>
      <c r="H17" s="24"/>
      <c r="I17" s="25">
        <f>SUM(G17:H17)</f>
        <v>0</v>
      </c>
    </row>
    <row r="18" spans="1:10" ht="15.75" x14ac:dyDescent="0.25">
      <c r="A18" s="143" t="s">
        <v>552</v>
      </c>
      <c r="B18" s="154" t="s">
        <v>553</v>
      </c>
      <c r="C18" s="65"/>
      <c r="D18" s="24">
        <v>100000</v>
      </c>
      <c r="E18" s="24"/>
      <c r="F18" s="25">
        <f>SUM(D18:E18)</f>
        <v>100000</v>
      </c>
      <c r="G18" s="24">
        <v>100000</v>
      </c>
      <c r="H18" s="24"/>
      <c r="I18" s="25">
        <f>SUM(G18:H18)</f>
        <v>100000</v>
      </c>
    </row>
    <row r="19" spans="1:10" ht="15.75" x14ac:dyDescent="0.25">
      <c r="A19" s="143" t="s">
        <v>554</v>
      </c>
      <c r="B19" s="154" t="s">
        <v>555</v>
      </c>
      <c r="C19" s="23"/>
      <c r="D19" s="24">
        <v>4000000</v>
      </c>
      <c r="E19" s="24"/>
      <c r="F19" s="25">
        <f>SUM(D19:E19)</f>
        <v>4000000</v>
      </c>
      <c r="G19" s="24">
        <f>4000000-150000-76445-150000-80000-50000-160335-50000-200000-60000-273510-120000-150000-26490-50000-40000-40000-48220-29850</f>
        <v>2245150</v>
      </c>
      <c r="H19" s="24"/>
      <c r="I19" s="25">
        <f>SUM(G19:H19)</f>
        <v>2245150</v>
      </c>
    </row>
    <row r="20" spans="1:10" s="153" customFormat="1" ht="15.75" x14ac:dyDescent="0.25">
      <c r="A20" s="143"/>
      <c r="B20" s="155" t="s">
        <v>556</v>
      </c>
      <c r="C20" s="121" t="s">
        <v>86</v>
      </c>
      <c r="D20" s="122">
        <f t="shared" ref="D20:I20" si="0">SUM(D16:D19)</f>
        <v>4300000</v>
      </c>
      <c r="E20" s="122">
        <f t="shared" si="0"/>
        <v>0</v>
      </c>
      <c r="F20" s="122">
        <f t="shared" si="0"/>
        <v>4300000</v>
      </c>
      <c r="G20" s="122">
        <f>SUM(G16:G19)</f>
        <v>2345150</v>
      </c>
      <c r="H20" s="122">
        <f>SUM(H16:H19)</f>
        <v>0</v>
      </c>
      <c r="I20" s="122">
        <f t="shared" si="0"/>
        <v>2345150</v>
      </c>
      <c r="J20" s="469">
        <f>+F20-666780-100000</f>
        <v>3533220</v>
      </c>
    </row>
    <row r="21" spans="1:10" ht="15.75" x14ac:dyDescent="0.25">
      <c r="B21" s="101"/>
      <c r="C21" s="23"/>
      <c r="D21" s="24"/>
      <c r="E21" s="24"/>
      <c r="F21" s="25"/>
      <c r="G21" s="24"/>
      <c r="H21" s="24"/>
      <c r="I21" s="25"/>
    </row>
    <row r="22" spans="1:10" ht="15.75" x14ac:dyDescent="0.25">
      <c r="B22" s="101" t="s">
        <v>855</v>
      </c>
      <c r="C22" s="23"/>
      <c r="D22" s="24"/>
      <c r="E22" s="24">
        <v>10000000</v>
      </c>
      <c r="F22" s="25"/>
      <c r="G22" s="24"/>
      <c r="H22" s="24">
        <v>10000000</v>
      </c>
      <c r="I22" s="25">
        <f>SUM(G22:H22)</f>
        <v>10000000</v>
      </c>
    </row>
    <row r="23" spans="1:10" s="153" customFormat="1" ht="15.75" x14ac:dyDescent="0.25">
      <c r="A23" s="143"/>
      <c r="B23" s="155" t="s">
        <v>557</v>
      </c>
      <c r="C23" s="121" t="s">
        <v>86</v>
      </c>
      <c r="D23" s="122">
        <f t="shared" ref="D23:I23" si="1">SUM(D22:D22)</f>
        <v>0</v>
      </c>
      <c r="E23" s="122">
        <f t="shared" si="1"/>
        <v>10000000</v>
      </c>
      <c r="F23" s="122">
        <f t="shared" si="1"/>
        <v>0</v>
      </c>
      <c r="G23" s="122">
        <f t="shared" si="1"/>
        <v>0</v>
      </c>
      <c r="H23" s="122">
        <f t="shared" si="1"/>
        <v>10000000</v>
      </c>
      <c r="I23" s="122">
        <f t="shared" si="1"/>
        <v>10000000</v>
      </c>
    </row>
    <row r="24" spans="1:10" s="153" customFormat="1" ht="15.75" x14ac:dyDescent="0.25">
      <c r="A24" s="143"/>
      <c r="B24" s="137" t="s">
        <v>558</v>
      </c>
      <c r="C24" s="121" t="s">
        <v>86</v>
      </c>
      <c r="D24" s="92">
        <f t="shared" ref="D24:I24" si="2">+D20+D23</f>
        <v>4300000</v>
      </c>
      <c r="E24" s="92">
        <f t="shared" si="2"/>
        <v>10000000</v>
      </c>
      <c r="F24" s="92">
        <f t="shared" si="2"/>
        <v>4300000</v>
      </c>
      <c r="G24" s="92">
        <f t="shared" si="2"/>
        <v>2345150</v>
      </c>
      <c r="H24" s="92">
        <f t="shared" si="2"/>
        <v>10000000</v>
      </c>
      <c r="I24" s="92">
        <f t="shared" si="2"/>
        <v>12345150</v>
      </c>
    </row>
    <row r="25" spans="1:10" ht="15.75" x14ac:dyDescent="0.25">
      <c r="B25" s="23"/>
      <c r="C25" s="23"/>
      <c r="D25" s="23"/>
      <c r="E25" s="23"/>
      <c r="F25" s="23"/>
      <c r="G25" s="23"/>
      <c r="H25" s="23"/>
      <c r="I25" s="23"/>
    </row>
    <row r="26" spans="1:10" s="158" customFormat="1" ht="15.75" x14ac:dyDescent="0.25">
      <c r="A26" s="143" t="s">
        <v>559</v>
      </c>
      <c r="B26" s="156" t="s">
        <v>560</v>
      </c>
      <c r="C26" s="91" t="s">
        <v>86</v>
      </c>
      <c r="D26" s="157">
        <f t="shared" ref="D26:I26" si="3">+D24+D14</f>
        <v>19300000</v>
      </c>
      <c r="E26" s="157">
        <f t="shared" si="3"/>
        <v>10000000</v>
      </c>
      <c r="F26" s="157">
        <f t="shared" si="3"/>
        <v>19300000</v>
      </c>
      <c r="G26" s="157">
        <f t="shared" si="3"/>
        <v>8816346</v>
      </c>
      <c r="H26" s="157">
        <f t="shared" si="3"/>
        <v>10000000</v>
      </c>
      <c r="I26" s="157">
        <f t="shared" si="3"/>
        <v>18816346</v>
      </c>
      <c r="J26" s="470">
        <f>+G26+H26</f>
        <v>18816346</v>
      </c>
    </row>
  </sheetData>
  <sheetProtection selectLockedCells="1" selectUnlockedCells="1"/>
  <mergeCells count="3">
    <mergeCell ref="B5:C5"/>
    <mergeCell ref="D9:F9"/>
    <mergeCell ref="G9:I9"/>
  </mergeCells>
  <pageMargins left="0.70833333333333337" right="0.70833333333333337" top="0.74791666666666667" bottom="0.74861111111111112" header="0.51180555555555551" footer="0.31527777777777777"/>
  <pageSetup paperSize="9" scale="59" firstPageNumber="0" orientation="portrait" horizontalDpi="300" verticalDpi="300" r:id="rId1"/>
  <headerFooter alignWithMargins="0">
    <oddFooter>&amp;R&amp;P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Z259"/>
  <sheetViews>
    <sheetView view="pageBreakPreview" zoomScale="80" zoomScaleSheetLayoutView="80" workbookViewId="0">
      <pane xSplit="3" ySplit="6" topLeftCell="D16" activePane="bottomRight" state="frozen"/>
      <selection activeCell="G2" sqref="G2"/>
      <selection pane="topRight" activeCell="G2" sqref="G2"/>
      <selection pane="bottomLeft" activeCell="G2" sqref="G2"/>
      <selection pane="bottomRight" activeCell="I2" sqref="I2"/>
    </sheetView>
  </sheetViews>
  <sheetFormatPr defaultColWidth="11.5703125" defaultRowHeight="15" x14ac:dyDescent="0.25"/>
  <cols>
    <col min="1" max="1" width="9.140625" style="159" customWidth="1"/>
    <col min="2" max="2" width="54" style="159" customWidth="1"/>
    <col min="3" max="3" width="8.5703125" style="159" customWidth="1"/>
    <col min="4" max="4" width="13.42578125" style="159" customWidth="1"/>
    <col min="5" max="5" width="12.5703125" style="159" customWidth="1"/>
    <col min="6" max="7" width="13.42578125" style="159" customWidth="1"/>
    <col min="8" max="8" width="12.85546875" style="159" customWidth="1"/>
    <col min="9" max="9" width="12.7109375" style="159" customWidth="1"/>
    <col min="10" max="11" width="11.7109375" style="159" customWidth="1"/>
    <col min="12" max="12" width="11.140625" style="159" customWidth="1"/>
    <col min="13" max="13" width="11.7109375" style="159" customWidth="1"/>
    <col min="14" max="14" width="10.85546875" style="159" customWidth="1"/>
    <col min="15" max="15" width="11.7109375" style="159" customWidth="1"/>
    <col min="16" max="16" width="9.5703125" style="159" customWidth="1"/>
    <col min="17" max="17" width="11.140625" style="159" customWidth="1"/>
    <col min="18" max="21" width="11.7109375" style="159" customWidth="1"/>
    <col min="22" max="22" width="10.85546875" style="159" customWidth="1"/>
    <col min="23" max="39" width="11.7109375" style="159" customWidth="1"/>
    <col min="40" max="40" width="10.28515625" style="159" customWidth="1"/>
    <col min="41" max="43" width="11.7109375" style="159" customWidth="1"/>
    <col min="44" max="44" width="9.140625" style="159" customWidth="1"/>
    <col min="45" max="45" width="10.85546875" style="159" customWidth="1"/>
    <col min="46" max="46" width="11.140625" style="159" customWidth="1"/>
    <col min="47" max="47" width="11" style="159" customWidth="1"/>
    <col min="48" max="48" width="10.5703125" style="159" customWidth="1"/>
    <col min="49" max="49" width="10.7109375" style="159" customWidth="1"/>
    <col min="50" max="50" width="9" style="159" customWidth="1"/>
    <col min="51" max="51" width="11.140625" style="159" customWidth="1"/>
    <col min="52" max="52" width="9.140625" style="159" customWidth="1"/>
    <col min="53" max="53" width="13.5703125" style="159" bestFit="1" customWidth="1"/>
    <col min="54" max="208" width="9.140625" style="159" customWidth="1"/>
  </cols>
  <sheetData>
    <row r="1" spans="2:53" s="160" customFormat="1" ht="15.75" x14ac:dyDescent="0.25">
      <c r="I1" s="161" t="s">
        <v>561</v>
      </c>
      <c r="O1" s="162" t="str">
        <f>+I1</f>
        <v>7.melléklet</v>
      </c>
      <c r="P1" s="162"/>
      <c r="U1" s="160" t="str">
        <f>+I1</f>
        <v>7.melléklet</v>
      </c>
      <c r="X1" s="162"/>
      <c r="AA1" s="162" t="str">
        <f>+U1</f>
        <v>7.melléklet</v>
      </c>
      <c r="AG1" s="162" t="str">
        <f>+U1</f>
        <v>7.melléklet</v>
      </c>
      <c r="AM1" s="160" t="str">
        <f>+AG1</f>
        <v>7.melléklet</v>
      </c>
      <c r="AQ1" s="162"/>
      <c r="AR1" s="162"/>
      <c r="AS1" s="161" t="str">
        <f>+AM1</f>
        <v>7.melléklet</v>
      </c>
      <c r="AX1" s="396"/>
      <c r="AY1" s="162" t="str">
        <f>+AM1</f>
        <v>7.melléklet</v>
      </c>
    </row>
    <row r="2" spans="2:53" ht="15.75" x14ac:dyDescent="0.25">
      <c r="I2" s="16" t="s">
        <v>919</v>
      </c>
      <c r="O2" s="162" t="str">
        <f>+I2</f>
        <v>a 4/2020.(III.19. ) önkormányzati rendelethez</v>
      </c>
      <c r="P2" s="16"/>
      <c r="U2" s="161" t="str">
        <f>+I2</f>
        <v>a 4/2020.(III.19. ) önkormányzati rendelethez</v>
      </c>
      <c r="X2" s="16"/>
      <c r="AA2" s="162" t="str">
        <f>+U2</f>
        <v>a 4/2020.(III.19. ) önkormányzati rendelethez</v>
      </c>
      <c r="AG2" s="162" t="str">
        <f>+U2</f>
        <v>a 4/2020.(III.19. ) önkormányzati rendelethez</v>
      </c>
      <c r="AH2" s="163"/>
      <c r="AI2" s="163"/>
      <c r="AJ2" s="163"/>
      <c r="AK2" s="163"/>
      <c r="AM2" s="161" t="str">
        <f>+AG2</f>
        <v>a 4/2020.(III.19. ) önkormányzati rendelethez</v>
      </c>
      <c r="AQ2" s="16"/>
      <c r="AR2" s="162"/>
      <c r="AS2" s="161" t="str">
        <f>+AM2</f>
        <v>a 4/2020.(III.19. ) önkormányzati rendelethez</v>
      </c>
      <c r="AX2" s="162"/>
      <c r="AY2" s="162" t="str">
        <f>+AM2</f>
        <v>a 4/2020.(III.19. ) önkormányzati rendelethez</v>
      </c>
    </row>
    <row r="3" spans="2:53" ht="18.75" x14ac:dyDescent="0.3">
      <c r="B3" s="4" t="s">
        <v>858</v>
      </c>
      <c r="J3" s="164"/>
      <c r="K3" s="16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Z3" s="165"/>
    </row>
    <row r="4" spans="2:53" s="165" customFormat="1" ht="19.5" x14ac:dyDescent="0.2">
      <c r="B4" s="166" t="s">
        <v>822</v>
      </c>
      <c r="J4" s="497" t="s">
        <v>562</v>
      </c>
      <c r="K4" s="497"/>
      <c r="L4" s="497"/>
      <c r="M4" s="497"/>
      <c r="N4" s="497"/>
      <c r="O4" s="497"/>
      <c r="P4" s="497" t="s">
        <v>562</v>
      </c>
      <c r="Q4" s="497"/>
      <c r="R4" s="497"/>
      <c r="S4" s="497"/>
      <c r="T4" s="497"/>
      <c r="U4" s="497"/>
      <c r="V4" s="497" t="s">
        <v>562</v>
      </c>
      <c r="W4" s="497"/>
      <c r="X4" s="497"/>
      <c r="Y4" s="497"/>
      <c r="Z4" s="497"/>
      <c r="AA4" s="497"/>
      <c r="AB4" s="497" t="s">
        <v>562</v>
      </c>
      <c r="AC4" s="497"/>
      <c r="AD4" s="497"/>
      <c r="AE4" s="497"/>
      <c r="AF4" s="497"/>
      <c r="AG4" s="497"/>
      <c r="AH4" s="498" t="s">
        <v>562</v>
      </c>
      <c r="AI4" s="498"/>
      <c r="AJ4" s="498"/>
      <c r="AK4" s="498"/>
      <c r="AL4" s="500" t="s">
        <v>563</v>
      </c>
      <c r="AM4" s="497"/>
      <c r="AN4" s="497" t="s">
        <v>564</v>
      </c>
      <c r="AO4" s="497"/>
      <c r="AP4" s="497"/>
      <c r="AQ4" s="497"/>
      <c r="AR4" s="497"/>
      <c r="AS4" s="497"/>
      <c r="AT4" s="497" t="s">
        <v>564</v>
      </c>
      <c r="AU4" s="497"/>
      <c r="AV4" s="497"/>
      <c r="AW4" s="497"/>
      <c r="AX4" s="497"/>
      <c r="AY4" s="497"/>
    </row>
    <row r="5" spans="2:53" s="168" customFormat="1" ht="26.25" customHeight="1" x14ac:dyDescent="0.25">
      <c r="D5" s="499" t="s">
        <v>10</v>
      </c>
      <c r="E5" s="499"/>
      <c r="F5" s="499"/>
      <c r="G5" s="499" t="s">
        <v>11</v>
      </c>
      <c r="H5" s="499"/>
      <c r="I5" s="499"/>
      <c r="J5" s="150" t="s">
        <v>565</v>
      </c>
      <c r="K5" s="150" t="s">
        <v>566</v>
      </c>
      <c r="L5" s="150" t="s">
        <v>565</v>
      </c>
      <c r="M5" s="150" t="s">
        <v>566</v>
      </c>
      <c r="N5" s="150" t="s">
        <v>565</v>
      </c>
      <c r="O5" s="150" t="s">
        <v>566</v>
      </c>
      <c r="P5" s="150" t="s">
        <v>565</v>
      </c>
      <c r="Q5" s="150" t="s">
        <v>566</v>
      </c>
      <c r="R5" s="150" t="s">
        <v>565</v>
      </c>
      <c r="S5" s="150" t="s">
        <v>566</v>
      </c>
      <c r="T5" s="150" t="s">
        <v>565</v>
      </c>
      <c r="U5" s="150" t="s">
        <v>566</v>
      </c>
      <c r="V5" s="150" t="s">
        <v>565</v>
      </c>
      <c r="W5" s="150" t="s">
        <v>566</v>
      </c>
      <c r="X5" s="150" t="s">
        <v>565</v>
      </c>
      <c r="Y5" s="150" t="s">
        <v>566</v>
      </c>
      <c r="Z5" s="150" t="s">
        <v>565</v>
      </c>
      <c r="AA5" s="150" t="s">
        <v>566</v>
      </c>
      <c r="AB5" s="150" t="s">
        <v>565</v>
      </c>
      <c r="AC5" s="150" t="s">
        <v>566</v>
      </c>
      <c r="AD5" s="150" t="s">
        <v>565</v>
      </c>
      <c r="AE5" s="150" t="s">
        <v>566</v>
      </c>
      <c r="AF5" s="150" t="s">
        <v>565</v>
      </c>
      <c r="AG5" s="150" t="s">
        <v>566</v>
      </c>
      <c r="AH5" s="150" t="s">
        <v>565</v>
      </c>
      <c r="AI5" s="150" t="s">
        <v>566</v>
      </c>
      <c r="AJ5" s="150" t="s">
        <v>565</v>
      </c>
      <c r="AK5" s="150" t="s">
        <v>566</v>
      </c>
      <c r="AL5" s="150" t="s">
        <v>565</v>
      </c>
      <c r="AM5" s="150" t="s">
        <v>566</v>
      </c>
      <c r="AN5" s="150" t="s">
        <v>565</v>
      </c>
      <c r="AO5" s="150" t="s">
        <v>566</v>
      </c>
      <c r="AP5" s="150" t="s">
        <v>565</v>
      </c>
      <c r="AQ5" s="150" t="s">
        <v>566</v>
      </c>
      <c r="AR5" s="150" t="s">
        <v>565</v>
      </c>
      <c r="AS5" s="150" t="s">
        <v>566</v>
      </c>
      <c r="AT5" s="150" t="s">
        <v>565</v>
      </c>
      <c r="AU5" s="150" t="s">
        <v>566</v>
      </c>
      <c r="AV5" s="150" t="s">
        <v>565</v>
      </c>
      <c r="AW5" s="150" t="s">
        <v>566</v>
      </c>
      <c r="AX5" s="150" t="s">
        <v>565</v>
      </c>
      <c r="AY5" s="150" t="s">
        <v>566</v>
      </c>
    </row>
    <row r="6" spans="2:53" s="168" customFormat="1" ht="65.25" customHeight="1" x14ac:dyDescent="0.25">
      <c r="B6" s="149" t="s">
        <v>12</v>
      </c>
      <c r="C6" s="150" t="s">
        <v>38</v>
      </c>
      <c r="D6" s="169" t="s">
        <v>567</v>
      </c>
      <c r="E6" s="169" t="s">
        <v>568</v>
      </c>
      <c r="F6" s="150" t="s">
        <v>569</v>
      </c>
      <c r="G6" s="169" t="s">
        <v>567</v>
      </c>
      <c r="H6" s="169" t="s">
        <v>568</v>
      </c>
      <c r="I6" s="150" t="s">
        <v>569</v>
      </c>
      <c r="J6" s="496" t="s">
        <v>570</v>
      </c>
      <c r="K6" s="496"/>
      <c r="L6" s="496" t="s">
        <v>571</v>
      </c>
      <c r="M6" s="496"/>
      <c r="N6" s="496" t="s">
        <v>572</v>
      </c>
      <c r="O6" s="496"/>
      <c r="P6" s="496" t="s">
        <v>573</v>
      </c>
      <c r="Q6" s="496"/>
      <c r="R6" s="496" t="s">
        <v>574</v>
      </c>
      <c r="S6" s="496"/>
      <c r="T6" s="496" t="s">
        <v>575</v>
      </c>
      <c r="U6" s="496"/>
      <c r="V6" s="496" t="s">
        <v>576</v>
      </c>
      <c r="W6" s="496"/>
      <c r="X6" s="496" t="s">
        <v>577</v>
      </c>
      <c r="Y6" s="496"/>
      <c r="Z6" s="496" t="s">
        <v>578</v>
      </c>
      <c r="AA6" s="496"/>
      <c r="AB6" s="496" t="s">
        <v>579</v>
      </c>
      <c r="AC6" s="496"/>
      <c r="AD6" s="496" t="s">
        <v>580</v>
      </c>
      <c r="AE6" s="496"/>
      <c r="AF6" s="496" t="s">
        <v>581</v>
      </c>
      <c r="AG6" s="496"/>
      <c r="AH6" s="496" t="s">
        <v>582</v>
      </c>
      <c r="AI6" s="496"/>
      <c r="AJ6" s="496" t="s">
        <v>583</v>
      </c>
      <c r="AK6" s="496"/>
      <c r="AL6" s="496" t="s">
        <v>584</v>
      </c>
      <c r="AM6" s="496"/>
      <c r="AN6" s="496" t="s">
        <v>585</v>
      </c>
      <c r="AO6" s="496"/>
      <c r="AP6" s="496" t="s">
        <v>586</v>
      </c>
      <c r="AQ6" s="496"/>
      <c r="AR6" s="496" t="s">
        <v>587</v>
      </c>
      <c r="AS6" s="496"/>
      <c r="AT6" s="496" t="s">
        <v>588</v>
      </c>
      <c r="AU6" s="496"/>
      <c r="AV6" s="496" t="s">
        <v>589</v>
      </c>
      <c r="AW6" s="496"/>
      <c r="AX6" s="496" t="s">
        <v>590</v>
      </c>
      <c r="AY6" s="496"/>
    </row>
    <row r="7" spans="2:53" x14ac:dyDescent="0.25">
      <c r="B7" s="170" t="s">
        <v>39</v>
      </c>
      <c r="C7" s="171" t="s">
        <v>40</v>
      </c>
      <c r="D7" s="172">
        <f>+J7+L7+N7+P7+R7+T7+V7+X7+Z7+AB7+AD7+AF7+AH7+AJ7</f>
        <v>0</v>
      </c>
      <c r="E7" s="173">
        <f>+AL7+AN7+AP7+AT7+AV7+AX7+AR7</f>
        <v>0</v>
      </c>
      <c r="F7" s="174">
        <f>+D7+E7</f>
        <v>0</v>
      </c>
      <c r="G7" s="172">
        <f>+K7+M7+O7+Q7+S7+U7+W7+Y7+AA7+AC7+AE7+AG7+AI7+AK7</f>
        <v>0</v>
      </c>
      <c r="H7" s="173">
        <f>+AM7+AO7+AQ7+AU7+AW7+AY7+AS7</f>
        <v>0</v>
      </c>
      <c r="I7" s="174">
        <f>+G7+H7</f>
        <v>0</v>
      </c>
      <c r="J7" s="172"/>
      <c r="K7" s="172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5"/>
      <c r="X7" s="175"/>
      <c r="Y7" s="175"/>
      <c r="Z7" s="175"/>
      <c r="AA7" s="175"/>
      <c r="AB7" s="175"/>
      <c r="AC7" s="175"/>
      <c r="AD7" s="175"/>
      <c r="AE7" s="175"/>
      <c r="AF7" s="175"/>
      <c r="AG7" s="175"/>
      <c r="AH7" s="175"/>
      <c r="AI7" s="175"/>
      <c r="AJ7" s="175"/>
      <c r="AK7" s="175"/>
      <c r="AL7" s="175"/>
      <c r="AM7" s="175"/>
      <c r="AN7" s="175"/>
      <c r="AO7" s="175"/>
      <c r="AP7" s="175"/>
      <c r="AQ7" s="175"/>
      <c r="AR7" s="175"/>
      <c r="AS7" s="175"/>
      <c r="AT7" s="175"/>
      <c r="AU7" s="175"/>
      <c r="AV7" s="175"/>
      <c r="AW7" s="175"/>
      <c r="AX7" s="175"/>
      <c r="AY7" s="175"/>
      <c r="BA7" s="384"/>
    </row>
    <row r="8" spans="2:53" x14ac:dyDescent="0.25">
      <c r="B8" s="176" t="s">
        <v>41</v>
      </c>
      <c r="C8" s="171" t="s">
        <v>42</v>
      </c>
      <c r="D8" s="172">
        <f>+J8+L8+N8+P8+R8+T8+V8+X8+Z8+AB8+AD8+AF8+AH8+AJ8</f>
        <v>26548902</v>
      </c>
      <c r="E8" s="173">
        <f>+AL8+AN8+AP8+AT8+AV8+AX8+AR8</f>
        <v>0</v>
      </c>
      <c r="F8" s="174">
        <f>+D8+E8</f>
        <v>26548902</v>
      </c>
      <c r="G8" s="172">
        <f>+K8+M8+O8+Q8+S8+U8+W8+Y8+AA8+AC8+AE8+AG8+AI8+AK8</f>
        <v>26822412</v>
      </c>
      <c r="H8" s="173">
        <f>+AM8+AO8+AQ8+AU8+AW8+AY8+AS8</f>
        <v>0</v>
      </c>
      <c r="I8" s="174">
        <f>+G8+H8</f>
        <v>26822412</v>
      </c>
      <c r="J8" s="172">
        <f>23349012+3005640+194250</f>
        <v>26548902</v>
      </c>
      <c r="K8" s="172">
        <f>23349012+3005640+194250+194750+78760</f>
        <v>26822412</v>
      </c>
      <c r="L8" s="175"/>
      <c r="M8" s="175"/>
      <c r="N8" s="175"/>
      <c r="O8" s="175"/>
      <c r="P8" s="175"/>
      <c r="Q8" s="175"/>
      <c r="R8" s="175"/>
      <c r="S8" s="175"/>
      <c r="T8" s="175"/>
      <c r="U8" s="175"/>
      <c r="V8" s="175"/>
      <c r="W8" s="175"/>
      <c r="X8" s="175"/>
      <c r="Y8" s="175"/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5"/>
      <c r="AL8" s="175"/>
      <c r="AM8" s="175"/>
      <c r="AN8" s="175"/>
      <c r="AO8" s="175"/>
      <c r="AP8" s="175"/>
      <c r="AQ8" s="175"/>
      <c r="AR8" s="175"/>
      <c r="AS8" s="175"/>
      <c r="AT8" s="175"/>
      <c r="AU8" s="175"/>
      <c r="AV8" s="175"/>
      <c r="AW8" s="175"/>
      <c r="AX8" s="175"/>
      <c r="AY8" s="175"/>
      <c r="BA8" s="384"/>
    </row>
    <row r="9" spans="2:53" s="177" customFormat="1" ht="12.75" x14ac:dyDescent="0.2">
      <c r="B9" s="178" t="s">
        <v>43</v>
      </c>
      <c r="C9" s="179" t="s">
        <v>44</v>
      </c>
      <c r="D9" s="180">
        <f t="shared" ref="D9:I9" si="0">SUM(D7:D8)</f>
        <v>26548902</v>
      </c>
      <c r="E9" s="180">
        <f t="shared" si="0"/>
        <v>0</v>
      </c>
      <c r="F9" s="180">
        <f t="shared" si="0"/>
        <v>26548902</v>
      </c>
      <c r="G9" s="180">
        <f>SUM(G7:G8)</f>
        <v>26822412</v>
      </c>
      <c r="H9" s="180">
        <f>SUM(H7:H8)</f>
        <v>0</v>
      </c>
      <c r="I9" s="180">
        <f t="shared" si="0"/>
        <v>26822412</v>
      </c>
      <c r="J9" s="180">
        <f t="shared" ref="J9:AX9" si="1">SUM(J7:J8)</f>
        <v>26548902</v>
      </c>
      <c r="K9" s="180">
        <f>SUM(K7:K8)</f>
        <v>26822412</v>
      </c>
      <c r="L9" s="180">
        <f t="shared" si="1"/>
        <v>0</v>
      </c>
      <c r="M9" s="180">
        <f t="shared" si="1"/>
        <v>0</v>
      </c>
      <c r="N9" s="180">
        <f t="shared" si="1"/>
        <v>0</v>
      </c>
      <c r="O9" s="180">
        <f t="shared" si="1"/>
        <v>0</v>
      </c>
      <c r="P9" s="180">
        <f t="shared" si="1"/>
        <v>0</v>
      </c>
      <c r="Q9" s="180">
        <f t="shared" si="1"/>
        <v>0</v>
      </c>
      <c r="R9" s="180">
        <f t="shared" si="1"/>
        <v>0</v>
      </c>
      <c r="S9" s="180">
        <f t="shared" si="1"/>
        <v>0</v>
      </c>
      <c r="T9" s="180">
        <f t="shared" si="1"/>
        <v>0</v>
      </c>
      <c r="U9" s="180">
        <f t="shared" si="1"/>
        <v>0</v>
      </c>
      <c r="V9" s="180">
        <f t="shared" si="1"/>
        <v>0</v>
      </c>
      <c r="W9" s="180">
        <f t="shared" si="1"/>
        <v>0</v>
      </c>
      <c r="X9" s="180">
        <f t="shared" si="1"/>
        <v>0</v>
      </c>
      <c r="Y9" s="180">
        <f t="shared" si="1"/>
        <v>0</v>
      </c>
      <c r="Z9" s="180">
        <f t="shared" si="1"/>
        <v>0</v>
      </c>
      <c r="AA9" s="180">
        <f t="shared" si="1"/>
        <v>0</v>
      </c>
      <c r="AB9" s="180">
        <f t="shared" si="1"/>
        <v>0</v>
      </c>
      <c r="AC9" s="180">
        <f t="shared" si="1"/>
        <v>0</v>
      </c>
      <c r="AD9" s="180">
        <f t="shared" si="1"/>
        <v>0</v>
      </c>
      <c r="AE9" s="180">
        <f t="shared" si="1"/>
        <v>0</v>
      </c>
      <c r="AF9" s="180">
        <f t="shared" si="1"/>
        <v>0</v>
      </c>
      <c r="AG9" s="180">
        <f t="shared" si="1"/>
        <v>0</v>
      </c>
      <c r="AH9" s="180">
        <f t="shared" si="1"/>
        <v>0</v>
      </c>
      <c r="AI9" s="180">
        <f t="shared" si="1"/>
        <v>0</v>
      </c>
      <c r="AJ9" s="180">
        <f t="shared" si="1"/>
        <v>0</v>
      </c>
      <c r="AK9" s="180">
        <f t="shared" si="1"/>
        <v>0</v>
      </c>
      <c r="AL9" s="180">
        <f t="shared" si="1"/>
        <v>0</v>
      </c>
      <c r="AM9" s="180">
        <f t="shared" si="1"/>
        <v>0</v>
      </c>
      <c r="AN9" s="180">
        <f t="shared" si="1"/>
        <v>0</v>
      </c>
      <c r="AO9" s="180">
        <f t="shared" si="1"/>
        <v>0</v>
      </c>
      <c r="AP9" s="180">
        <f t="shared" si="1"/>
        <v>0</v>
      </c>
      <c r="AQ9" s="180">
        <f t="shared" si="1"/>
        <v>0</v>
      </c>
      <c r="AR9" s="180">
        <f t="shared" si="1"/>
        <v>0</v>
      </c>
      <c r="AS9" s="180">
        <f t="shared" si="1"/>
        <v>0</v>
      </c>
      <c r="AT9" s="180">
        <f t="shared" si="1"/>
        <v>0</v>
      </c>
      <c r="AU9" s="180">
        <f t="shared" si="1"/>
        <v>0</v>
      </c>
      <c r="AV9" s="180">
        <f t="shared" si="1"/>
        <v>0</v>
      </c>
      <c r="AW9" s="180">
        <f t="shared" si="1"/>
        <v>0</v>
      </c>
      <c r="AX9" s="180">
        <f t="shared" si="1"/>
        <v>0</v>
      </c>
      <c r="AY9" s="180">
        <f>SUM(AY7:AY8)</f>
        <v>0</v>
      </c>
      <c r="BA9" s="384"/>
    </row>
    <row r="10" spans="2:53" s="177" customFormat="1" ht="12.75" x14ac:dyDescent="0.2">
      <c r="B10" s="181" t="s">
        <v>591</v>
      </c>
      <c r="C10" s="179" t="s">
        <v>46</v>
      </c>
      <c r="D10" s="182">
        <f t="shared" ref="D10:D15" si="2">+J10+L10+N10+P10+R10+T10+V10+X10+Z10+AB10+AD10+AF10+AH10+AJ10</f>
        <v>9630929</v>
      </c>
      <c r="E10" s="183">
        <f t="shared" ref="E10:E15" si="3">+AL10+AN10+AP10+AT10+AV10+AX10+AR10</f>
        <v>0</v>
      </c>
      <c r="F10" s="180">
        <f t="shared" ref="F10:F15" si="4">+D10+E10</f>
        <v>9630929</v>
      </c>
      <c r="G10" s="172">
        <f t="shared" ref="G10:G15" si="5">+K10+M10+O10+Q10+S10+U10+W10+Y10+AA10+AC10+AE10+AG10+AI10+AK10</f>
        <v>9630929</v>
      </c>
      <c r="H10" s="173">
        <f t="shared" ref="H10:H15" si="6">+AM10+AO10+AQ10+AU10+AW10+AY10+AS10</f>
        <v>0</v>
      </c>
      <c r="I10" s="180">
        <f t="shared" ref="I10:I15" si="7">+G10+H10</f>
        <v>9630929</v>
      </c>
      <c r="J10" s="182">
        <f>5139157+66472+4425300</f>
        <v>9630929</v>
      </c>
      <c r="K10" s="182">
        <f>5139157+66472+4425300</f>
        <v>9630929</v>
      </c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  <c r="AA10" s="182"/>
      <c r="AB10" s="182"/>
      <c r="AC10" s="182"/>
      <c r="AD10" s="182"/>
      <c r="AE10" s="182"/>
      <c r="AF10" s="182"/>
      <c r="AG10" s="182"/>
      <c r="AH10" s="182"/>
      <c r="AI10" s="182"/>
      <c r="AJ10" s="182"/>
      <c r="AK10" s="182"/>
      <c r="AL10" s="182"/>
      <c r="AM10" s="182"/>
      <c r="AN10" s="182"/>
      <c r="AO10" s="182"/>
      <c r="AP10" s="182"/>
      <c r="AQ10" s="182"/>
      <c r="AR10" s="182"/>
      <c r="AS10" s="182"/>
      <c r="AT10" s="182"/>
      <c r="AU10" s="182"/>
      <c r="AV10" s="182"/>
      <c r="AW10" s="182"/>
      <c r="AX10" s="182"/>
      <c r="AY10" s="182"/>
      <c r="BA10" s="384"/>
    </row>
    <row r="11" spans="2:53" x14ac:dyDescent="0.25">
      <c r="B11" s="176" t="s">
        <v>47</v>
      </c>
      <c r="C11" s="171" t="s">
        <v>48</v>
      </c>
      <c r="D11" s="172">
        <f t="shared" si="2"/>
        <v>600000</v>
      </c>
      <c r="E11" s="173">
        <f t="shared" si="3"/>
        <v>0</v>
      </c>
      <c r="F11" s="174">
        <f t="shared" si="4"/>
        <v>600000</v>
      </c>
      <c r="G11" s="172">
        <f t="shared" si="5"/>
        <v>600000</v>
      </c>
      <c r="H11" s="173">
        <f t="shared" si="6"/>
        <v>0</v>
      </c>
      <c r="I11" s="174">
        <f t="shared" si="7"/>
        <v>600000</v>
      </c>
      <c r="J11" s="172">
        <f>600000</f>
        <v>600000</v>
      </c>
      <c r="K11" s="172">
        <f>600000</f>
        <v>600000</v>
      </c>
      <c r="L11" s="172"/>
      <c r="M11" s="172">
        <v>0</v>
      </c>
      <c r="N11" s="172"/>
      <c r="O11" s="172"/>
      <c r="P11" s="172"/>
      <c r="Q11" s="172"/>
      <c r="R11" s="172"/>
      <c r="S11" s="172"/>
      <c r="T11" s="172"/>
      <c r="U11" s="172"/>
      <c r="V11" s="172"/>
      <c r="W11" s="172"/>
      <c r="X11" s="172"/>
      <c r="Y11" s="172"/>
      <c r="Z11" s="172"/>
      <c r="AA11" s="172"/>
      <c r="AB11" s="172"/>
      <c r="AC11" s="172"/>
      <c r="AD11" s="172"/>
      <c r="AE11" s="172"/>
      <c r="AF11" s="172"/>
      <c r="AG11" s="172"/>
      <c r="AH11" s="172"/>
      <c r="AI11" s="172"/>
      <c r="AJ11" s="172"/>
      <c r="AK11" s="172"/>
      <c r="AL11" s="172"/>
      <c r="AM11" s="172"/>
      <c r="AN11" s="172"/>
      <c r="AO11" s="172"/>
      <c r="AP11" s="172"/>
      <c r="AQ11" s="172"/>
      <c r="AR11" s="172"/>
      <c r="AS11" s="172"/>
      <c r="AT11" s="172"/>
      <c r="AU11" s="172"/>
      <c r="AV11" s="172"/>
      <c r="AW11" s="172"/>
      <c r="AX11" s="172"/>
      <c r="AY11" s="172"/>
      <c r="BA11" s="384"/>
    </row>
    <row r="12" spans="2:53" x14ac:dyDescent="0.25">
      <c r="B12" s="176" t="s">
        <v>49</v>
      </c>
      <c r="C12" s="171" t="s">
        <v>50</v>
      </c>
      <c r="D12" s="172">
        <f t="shared" si="2"/>
        <v>120000</v>
      </c>
      <c r="E12" s="173">
        <f t="shared" si="3"/>
        <v>0</v>
      </c>
      <c r="F12" s="174">
        <f t="shared" si="4"/>
        <v>120000</v>
      </c>
      <c r="G12" s="172">
        <f t="shared" si="5"/>
        <v>220000</v>
      </c>
      <c r="H12" s="173">
        <f t="shared" si="6"/>
        <v>0</v>
      </c>
      <c r="I12" s="174">
        <f t="shared" si="7"/>
        <v>220000</v>
      </c>
      <c r="J12" s="172">
        <v>120000</v>
      </c>
      <c r="K12" s="172">
        <v>220000</v>
      </c>
      <c r="L12" s="172"/>
      <c r="M12" s="172"/>
      <c r="N12" s="172"/>
      <c r="O12" s="172"/>
      <c r="P12" s="172"/>
      <c r="Q12" s="172"/>
      <c r="R12" s="172"/>
      <c r="S12" s="172"/>
      <c r="T12" s="172"/>
      <c r="U12" s="172"/>
      <c r="V12" s="172"/>
      <c r="W12" s="172"/>
      <c r="X12" s="172"/>
      <c r="Y12" s="172"/>
      <c r="Z12" s="172"/>
      <c r="AA12" s="172"/>
      <c r="AB12" s="172"/>
      <c r="AC12" s="172"/>
      <c r="AD12" s="172"/>
      <c r="AE12" s="172"/>
      <c r="AF12" s="172"/>
      <c r="AG12" s="172"/>
      <c r="AH12" s="172"/>
      <c r="AI12" s="172"/>
      <c r="AJ12" s="172"/>
      <c r="AK12" s="172"/>
      <c r="AL12" s="172"/>
      <c r="AM12" s="172"/>
      <c r="AN12" s="172"/>
      <c r="AO12" s="172"/>
      <c r="AP12" s="172"/>
      <c r="AQ12" s="172"/>
      <c r="AR12" s="172"/>
      <c r="AS12" s="172"/>
      <c r="AT12" s="172"/>
      <c r="AU12" s="172"/>
      <c r="AV12" s="172"/>
      <c r="AW12" s="172"/>
      <c r="AX12" s="172"/>
      <c r="AY12" s="172"/>
      <c r="BA12" s="384"/>
    </row>
    <row r="13" spans="2:53" x14ac:dyDescent="0.25">
      <c r="B13" s="176" t="s">
        <v>51</v>
      </c>
      <c r="C13" s="171" t="s">
        <v>52</v>
      </c>
      <c r="D13" s="172">
        <f t="shared" si="2"/>
        <v>95742000</v>
      </c>
      <c r="E13" s="173">
        <f t="shared" si="3"/>
        <v>0</v>
      </c>
      <c r="F13" s="174">
        <f t="shared" si="4"/>
        <v>95742000</v>
      </c>
      <c r="G13" s="172">
        <f t="shared" si="5"/>
        <v>95266953</v>
      </c>
      <c r="H13" s="173">
        <f t="shared" si="6"/>
        <v>0</v>
      </c>
      <c r="I13" s="174">
        <f t="shared" si="7"/>
        <v>95266953</v>
      </c>
      <c r="J13" s="172">
        <f>500000+620000+600000+9254000</f>
        <v>10974000</v>
      </c>
      <c r="K13" s="172">
        <f>500000+620000+600000+9254000+360000+3312953-8530953+3500000+982953-100000+5044000</f>
        <v>15542953</v>
      </c>
      <c r="L13" s="172">
        <f>2800000+2500000+2500000+1000000+1000000</f>
        <v>9800000</v>
      </c>
      <c r="M13" s="172">
        <f>2800000+2500000+2500000+1000000+1000000</f>
        <v>9800000</v>
      </c>
      <c r="N13" s="172">
        <v>5118000</v>
      </c>
      <c r="O13" s="172">
        <f>5118000-5044000</f>
        <v>74000</v>
      </c>
      <c r="P13" s="172"/>
      <c r="Q13" s="172"/>
      <c r="R13" s="172">
        <v>17200000</v>
      </c>
      <c r="S13" s="172">
        <v>17200000</v>
      </c>
      <c r="T13" s="172">
        <v>8550000</v>
      </c>
      <c r="U13" s="172">
        <v>8550000</v>
      </c>
      <c r="V13" s="172">
        <v>6400000</v>
      </c>
      <c r="W13" s="172">
        <v>6400000</v>
      </c>
      <c r="X13" s="172">
        <f>570000+5000000</f>
        <v>5570000</v>
      </c>
      <c r="Y13" s="172">
        <f>570000+5000000</f>
        <v>5570000</v>
      </c>
      <c r="Z13" s="172"/>
      <c r="AA13" s="172"/>
      <c r="AB13" s="172">
        <f>28000000+3070000</f>
        <v>31070000</v>
      </c>
      <c r="AC13" s="172">
        <f>28000000+3070000</f>
        <v>31070000</v>
      </c>
      <c r="AD13" s="172">
        <f>100000+960000</f>
        <v>1060000</v>
      </c>
      <c r="AE13" s="172">
        <f>100000+960000</f>
        <v>1060000</v>
      </c>
      <c r="AF13" s="172"/>
      <c r="AG13" s="172"/>
      <c r="AH13" s="172"/>
      <c r="AI13" s="172"/>
      <c r="AJ13" s="172"/>
      <c r="AK13" s="172"/>
      <c r="AL13" s="172"/>
      <c r="AM13" s="172"/>
      <c r="AN13" s="172"/>
      <c r="AO13" s="172"/>
      <c r="AP13" s="172"/>
      <c r="AQ13" s="172"/>
      <c r="AR13" s="172"/>
      <c r="AS13" s="172">
        <v>0</v>
      </c>
      <c r="AT13" s="172"/>
      <c r="AU13" s="172"/>
      <c r="AV13" s="172"/>
      <c r="AW13" s="172"/>
      <c r="AX13" s="172"/>
      <c r="AY13" s="172"/>
      <c r="BA13" s="384"/>
    </row>
    <row r="14" spans="2:53" x14ac:dyDescent="0.25">
      <c r="B14" s="176" t="s">
        <v>53</v>
      </c>
      <c r="C14" s="171" t="s">
        <v>54</v>
      </c>
      <c r="D14" s="172">
        <f t="shared" si="2"/>
        <v>4020000</v>
      </c>
      <c r="E14" s="173">
        <f t="shared" si="3"/>
        <v>0</v>
      </c>
      <c r="F14" s="174">
        <f t="shared" si="4"/>
        <v>4020000</v>
      </c>
      <c r="G14" s="172">
        <f t="shared" si="5"/>
        <v>7025510</v>
      </c>
      <c r="H14" s="173">
        <f t="shared" si="6"/>
        <v>0</v>
      </c>
      <c r="I14" s="174">
        <f t="shared" si="7"/>
        <v>7025510</v>
      </c>
      <c r="J14" s="172">
        <v>3620000</v>
      </c>
      <c r="K14" s="172">
        <f>3620000+3005510</f>
        <v>6625510</v>
      </c>
      <c r="L14" s="172"/>
      <c r="M14" s="172"/>
      <c r="N14" s="172"/>
      <c r="O14" s="172"/>
      <c r="P14" s="172"/>
      <c r="Q14" s="172"/>
      <c r="R14" s="172"/>
      <c r="S14" s="172"/>
      <c r="T14" s="172"/>
      <c r="U14" s="172"/>
      <c r="V14" s="172"/>
      <c r="W14" s="172"/>
      <c r="X14" s="172"/>
      <c r="Y14" s="172"/>
      <c r="Z14" s="172">
        <v>400000</v>
      </c>
      <c r="AA14" s="172">
        <v>400000</v>
      </c>
      <c r="AB14" s="172"/>
      <c r="AC14" s="172"/>
      <c r="AD14" s="172"/>
      <c r="AE14" s="172"/>
      <c r="AF14" s="172"/>
      <c r="AG14" s="172"/>
      <c r="AH14" s="172"/>
      <c r="AI14" s="172"/>
      <c r="AJ14" s="172"/>
      <c r="AK14" s="172"/>
      <c r="AL14" s="172"/>
      <c r="AM14" s="172"/>
      <c r="AN14" s="172"/>
      <c r="AO14" s="172"/>
      <c r="AP14" s="172"/>
      <c r="AQ14" s="172"/>
      <c r="AR14" s="172"/>
      <c r="AS14" s="172"/>
      <c r="AT14" s="172"/>
      <c r="AU14" s="172"/>
      <c r="AV14" s="172"/>
      <c r="AW14" s="172"/>
      <c r="AX14" s="172"/>
      <c r="AY14" s="172"/>
      <c r="BA14" s="384"/>
    </row>
    <row r="15" spans="2:53" x14ac:dyDescent="0.25">
      <c r="B15" s="176" t="s">
        <v>55</v>
      </c>
      <c r="C15" s="171" t="s">
        <v>56</v>
      </c>
      <c r="D15" s="172">
        <f t="shared" si="2"/>
        <v>75380000</v>
      </c>
      <c r="E15" s="173">
        <f t="shared" si="3"/>
        <v>0</v>
      </c>
      <c r="F15" s="174">
        <f t="shared" si="4"/>
        <v>75380000</v>
      </c>
      <c r="G15" s="172">
        <f t="shared" si="5"/>
        <v>92703728</v>
      </c>
      <c r="H15" s="173">
        <f t="shared" si="6"/>
        <v>0</v>
      </c>
      <c r="I15" s="174">
        <f t="shared" si="7"/>
        <v>92703728</v>
      </c>
      <c r="J15" s="172">
        <f>4135000+7500000+1700000+410000+2781000+10000000</f>
        <v>26526000</v>
      </c>
      <c r="K15" s="172">
        <f>4135000+7500000+1700000+410000+2781000+10000000-360000+1576228+20101+14234+14873+61572+525047+131663+53849+4633441+474559+4270091+48220+29850+632545-9152000-10418000</f>
        <v>19082273</v>
      </c>
      <c r="L15" s="172">
        <f>2400000+300000</f>
        <v>2700000</v>
      </c>
      <c r="M15" s="172">
        <f>2400000+300000</f>
        <v>2700000</v>
      </c>
      <c r="N15" s="172">
        <v>1382000</v>
      </c>
      <c r="O15" s="172">
        <f>1382000-632545</f>
        <v>749455</v>
      </c>
      <c r="P15" s="172"/>
      <c r="Q15" s="172"/>
      <c r="R15" s="172">
        <v>4644000</v>
      </c>
      <c r="S15" s="172">
        <v>4644000</v>
      </c>
      <c r="T15" s="172">
        <v>2309000</v>
      </c>
      <c r="U15" s="172">
        <v>2309000</v>
      </c>
      <c r="V15" s="172">
        <v>1728000</v>
      </c>
      <c r="W15" s="172">
        <v>1728000</v>
      </c>
      <c r="X15" s="172">
        <v>1504000</v>
      </c>
      <c r="Y15" s="172">
        <f>1504000+20000000+5400000</f>
        <v>26904000</v>
      </c>
      <c r="Z15" s="172">
        <f>18750000+5171000</f>
        <v>23921000</v>
      </c>
      <c r="AA15" s="172">
        <f>18750000+5171000</f>
        <v>23921000</v>
      </c>
      <c r="AB15" s="172">
        <v>8389000</v>
      </c>
      <c r="AC15" s="172">
        <v>8389000</v>
      </c>
      <c r="AD15" s="172">
        <f>822000+249000</f>
        <v>1071000</v>
      </c>
      <c r="AE15" s="172">
        <f>822000+249000</f>
        <v>1071000</v>
      </c>
      <c r="AF15" s="172">
        <f>260000+300000+151000</f>
        <v>711000</v>
      </c>
      <c r="AG15" s="172">
        <f>260000+300000+151000</f>
        <v>711000</v>
      </c>
      <c r="AH15" s="172">
        <f>390000+105000</f>
        <v>495000</v>
      </c>
      <c r="AI15" s="172">
        <f>390000+105000</f>
        <v>495000</v>
      </c>
      <c r="AJ15" s="172"/>
      <c r="AK15" s="172"/>
      <c r="AL15" s="172"/>
      <c r="AM15" s="172"/>
      <c r="AN15" s="172"/>
      <c r="AO15" s="172"/>
      <c r="AP15" s="172"/>
      <c r="AQ15" s="172"/>
      <c r="AR15" s="172"/>
      <c r="AS15" s="172">
        <v>0</v>
      </c>
      <c r="AT15" s="172"/>
      <c r="AU15" s="172"/>
      <c r="AV15" s="172"/>
      <c r="AW15" s="172"/>
      <c r="AX15" s="172"/>
      <c r="AY15" s="172"/>
      <c r="BA15" s="384"/>
    </row>
    <row r="16" spans="2:53" s="177" customFormat="1" ht="12.75" x14ac:dyDescent="0.2">
      <c r="B16" s="181" t="s">
        <v>57</v>
      </c>
      <c r="C16" s="179" t="s">
        <v>58</v>
      </c>
      <c r="D16" s="180">
        <f t="shared" ref="D16:I16" si="8">SUM(D11:D15)</f>
        <v>175862000</v>
      </c>
      <c r="E16" s="180">
        <f t="shared" si="8"/>
        <v>0</v>
      </c>
      <c r="F16" s="180">
        <f t="shared" si="8"/>
        <v>175862000</v>
      </c>
      <c r="G16" s="180">
        <f>SUM(G11:G15)</f>
        <v>195816191</v>
      </c>
      <c r="H16" s="180">
        <f>SUM(H11:H15)</f>
        <v>0</v>
      </c>
      <c r="I16" s="180">
        <f t="shared" si="8"/>
        <v>195816191</v>
      </c>
      <c r="J16" s="180">
        <f t="shared" ref="J16:AX16" si="9">SUM(J11:J15)</f>
        <v>41840000</v>
      </c>
      <c r="K16" s="180">
        <f>SUM(K11:K15)</f>
        <v>42070736</v>
      </c>
      <c r="L16" s="180">
        <f t="shared" si="9"/>
        <v>12500000</v>
      </c>
      <c r="M16" s="180">
        <f>SUM(M11:M15)</f>
        <v>12500000</v>
      </c>
      <c r="N16" s="180">
        <f t="shared" si="9"/>
        <v>6500000</v>
      </c>
      <c r="O16" s="180">
        <f>SUM(O11:O15)</f>
        <v>823455</v>
      </c>
      <c r="P16" s="180">
        <f t="shared" si="9"/>
        <v>0</v>
      </c>
      <c r="Q16" s="180">
        <f t="shared" si="9"/>
        <v>0</v>
      </c>
      <c r="R16" s="180">
        <f t="shared" si="9"/>
        <v>21844000</v>
      </c>
      <c r="S16" s="180">
        <f>SUM(S11:S15)</f>
        <v>21844000</v>
      </c>
      <c r="T16" s="180">
        <f t="shared" si="9"/>
        <v>10859000</v>
      </c>
      <c r="U16" s="180">
        <f>SUM(U11:U15)</f>
        <v>10859000</v>
      </c>
      <c r="V16" s="180">
        <f t="shared" si="9"/>
        <v>8128000</v>
      </c>
      <c r="W16" s="180">
        <f>SUM(W11:W15)</f>
        <v>8128000</v>
      </c>
      <c r="X16" s="180">
        <f t="shared" si="9"/>
        <v>7074000</v>
      </c>
      <c r="Y16" s="180">
        <f>SUM(Y11:Y15)</f>
        <v>32474000</v>
      </c>
      <c r="Z16" s="180">
        <f t="shared" si="9"/>
        <v>24321000</v>
      </c>
      <c r="AA16" s="180">
        <f t="shared" si="9"/>
        <v>24321000</v>
      </c>
      <c r="AB16" s="180">
        <f t="shared" si="9"/>
        <v>39459000</v>
      </c>
      <c r="AC16" s="180">
        <f t="shared" si="9"/>
        <v>39459000</v>
      </c>
      <c r="AD16" s="180">
        <f t="shared" si="9"/>
        <v>2131000</v>
      </c>
      <c r="AE16" s="180">
        <f t="shared" si="9"/>
        <v>2131000</v>
      </c>
      <c r="AF16" s="180">
        <f t="shared" si="9"/>
        <v>711000</v>
      </c>
      <c r="AG16" s="180">
        <f t="shared" si="9"/>
        <v>711000</v>
      </c>
      <c r="AH16" s="180">
        <f t="shared" si="9"/>
        <v>495000</v>
      </c>
      <c r="AI16" s="180">
        <f t="shared" si="9"/>
        <v>495000</v>
      </c>
      <c r="AJ16" s="180">
        <f t="shared" si="9"/>
        <v>0</v>
      </c>
      <c r="AK16" s="180">
        <f t="shared" si="9"/>
        <v>0</v>
      </c>
      <c r="AL16" s="180">
        <f t="shared" si="9"/>
        <v>0</v>
      </c>
      <c r="AM16" s="180">
        <f t="shared" si="9"/>
        <v>0</v>
      </c>
      <c r="AN16" s="180">
        <f t="shared" si="9"/>
        <v>0</v>
      </c>
      <c r="AO16" s="180">
        <f t="shared" si="9"/>
        <v>0</v>
      </c>
      <c r="AP16" s="180">
        <f t="shared" si="9"/>
        <v>0</v>
      </c>
      <c r="AQ16" s="180">
        <f t="shared" si="9"/>
        <v>0</v>
      </c>
      <c r="AR16" s="180">
        <f t="shared" si="9"/>
        <v>0</v>
      </c>
      <c r="AS16" s="180">
        <f t="shared" si="9"/>
        <v>0</v>
      </c>
      <c r="AT16" s="180">
        <f t="shared" si="9"/>
        <v>0</v>
      </c>
      <c r="AU16" s="180">
        <f t="shared" si="9"/>
        <v>0</v>
      </c>
      <c r="AV16" s="180">
        <f t="shared" si="9"/>
        <v>0</v>
      </c>
      <c r="AW16" s="180">
        <f t="shared" si="9"/>
        <v>0</v>
      </c>
      <c r="AX16" s="180">
        <f t="shared" si="9"/>
        <v>0</v>
      </c>
      <c r="AY16" s="180">
        <f>SUM(AY11:AY15)</f>
        <v>0</v>
      </c>
      <c r="BA16" s="384"/>
    </row>
    <row r="17" spans="2:53" s="177" customFormat="1" ht="12.75" x14ac:dyDescent="0.2">
      <c r="B17" s="184" t="s">
        <v>59</v>
      </c>
      <c r="C17" s="179" t="s">
        <v>60</v>
      </c>
      <c r="D17" s="182">
        <f t="shared" ref="D17:D31" si="10">+J17+L17+N17+P17+R17+T17+V17+X17+Z17+AB17+AD17+AF17+AH17+AJ17</f>
        <v>0</v>
      </c>
      <c r="E17" s="414">
        <f t="shared" ref="E17:E31" si="11">+AL17+AN17+AP17+AT17+AV17+AX17+AR17</f>
        <v>0</v>
      </c>
      <c r="F17" s="180">
        <f t="shared" ref="F17:F31" si="12">+D17+E17</f>
        <v>0</v>
      </c>
      <c r="G17" s="182">
        <f>+M17+O17+Q17+S17+U17+W17+Y17+AA17+AC17+AE17+AG17+AI17+AK17+AM17</f>
        <v>0</v>
      </c>
      <c r="H17" s="414">
        <f>+AO17+AQ17+AS17+AW17+AY17+BA17+AU17</f>
        <v>0</v>
      </c>
      <c r="I17" s="180">
        <f t="shared" ref="I17:I31" si="13">+G17+H17</f>
        <v>0</v>
      </c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  <c r="AA17" s="182"/>
      <c r="AB17" s="182"/>
      <c r="AC17" s="182"/>
      <c r="AD17" s="182"/>
      <c r="AE17" s="182"/>
      <c r="AF17" s="182"/>
      <c r="AG17" s="182"/>
      <c r="AH17" s="182"/>
      <c r="AI17" s="182"/>
      <c r="AJ17" s="182"/>
      <c r="AK17" s="182"/>
      <c r="AL17" s="182"/>
      <c r="AM17" s="182"/>
      <c r="AN17" s="182"/>
      <c r="AO17" s="182"/>
      <c r="AP17" s="182"/>
      <c r="AQ17" s="182"/>
      <c r="AR17" s="182"/>
      <c r="AS17" s="182"/>
      <c r="AT17" s="182"/>
      <c r="AU17" s="182"/>
      <c r="AV17" s="182"/>
      <c r="AW17" s="182"/>
      <c r="AX17" s="182"/>
      <c r="AY17" s="182"/>
      <c r="BA17" s="384"/>
    </row>
    <row r="18" spans="2:53" hidden="1" x14ac:dyDescent="0.25">
      <c r="B18" s="185" t="s">
        <v>61</v>
      </c>
      <c r="C18" s="171" t="s">
        <v>62</v>
      </c>
      <c r="D18" s="172">
        <f t="shared" si="10"/>
        <v>0</v>
      </c>
      <c r="E18" s="173">
        <f t="shared" si="11"/>
        <v>0</v>
      </c>
      <c r="F18" s="174">
        <f t="shared" si="12"/>
        <v>0</v>
      </c>
      <c r="G18" s="172">
        <f>+M18+O18+Q18+S18+U18+W18+Y18+AA18+AC18+AE18+AG18+AI18+AK18+AM18</f>
        <v>0</v>
      </c>
      <c r="H18" s="173">
        <f>+AO18+AQ18+AS18+AW18+AY18+BA18+AU18</f>
        <v>0</v>
      </c>
      <c r="I18" s="174">
        <f t="shared" si="13"/>
        <v>0</v>
      </c>
      <c r="J18" s="172"/>
      <c r="K18" s="172"/>
      <c r="L18" s="172"/>
      <c r="M18" s="172"/>
      <c r="N18" s="172"/>
      <c r="O18" s="172"/>
      <c r="P18" s="172"/>
      <c r="Q18" s="172"/>
      <c r="R18" s="172"/>
      <c r="S18" s="172"/>
      <c r="T18" s="172"/>
      <c r="U18" s="172"/>
      <c r="V18" s="172"/>
      <c r="W18" s="172"/>
      <c r="X18" s="172"/>
      <c r="Y18" s="172"/>
      <c r="Z18" s="172"/>
      <c r="AA18" s="172"/>
      <c r="AB18" s="172"/>
      <c r="AC18" s="172"/>
      <c r="AD18" s="172"/>
      <c r="AE18" s="172"/>
      <c r="AF18" s="172"/>
      <c r="AG18" s="172"/>
      <c r="AH18" s="172"/>
      <c r="AI18" s="172"/>
      <c r="AJ18" s="172"/>
      <c r="AK18" s="172"/>
      <c r="AL18" s="172"/>
      <c r="AM18" s="172"/>
      <c r="AN18" s="172"/>
      <c r="AO18" s="172"/>
      <c r="AP18" s="172"/>
      <c r="AQ18" s="172"/>
      <c r="AR18" s="172"/>
      <c r="AS18" s="172"/>
      <c r="AT18" s="172"/>
      <c r="AU18" s="172"/>
      <c r="AV18" s="172"/>
      <c r="AW18" s="172"/>
      <c r="AX18" s="172"/>
      <c r="AY18" s="172"/>
      <c r="BA18" s="384"/>
    </row>
    <row r="19" spans="2:53" x14ac:dyDescent="0.25">
      <c r="B19" s="185" t="s">
        <v>63</v>
      </c>
      <c r="C19" s="171" t="s">
        <v>64</v>
      </c>
      <c r="D19" s="172">
        <f t="shared" si="10"/>
        <v>24682500</v>
      </c>
      <c r="E19" s="173">
        <f t="shared" si="11"/>
        <v>0</v>
      </c>
      <c r="F19" s="174">
        <f t="shared" si="12"/>
        <v>24682500</v>
      </c>
      <c r="G19" s="172">
        <f t="shared" ref="G19:G29" si="14">+K19+M19+O19+Q19+S19+U19+W19+Y19+AA19+AC19+AE19+AG19+AI19+AK19</f>
        <v>24682500</v>
      </c>
      <c r="H19" s="173">
        <f t="shared" ref="H19:H29" si="15">+AM19+AO19+AQ19+AU19+AW19+AY19+AS19</f>
        <v>0</v>
      </c>
      <c r="I19" s="174">
        <f t="shared" si="13"/>
        <v>24682500</v>
      </c>
      <c r="J19" s="172">
        <f>2000000+200000</f>
        <v>2200000</v>
      </c>
      <c r="K19" s="172">
        <f>2000000+200000</f>
        <v>2200000</v>
      </c>
      <c r="L19" s="172"/>
      <c r="M19" s="172"/>
      <c r="N19" s="172"/>
      <c r="O19" s="172"/>
      <c r="P19" s="172"/>
      <c r="Q19" s="172"/>
      <c r="R19" s="172"/>
      <c r="S19" s="172"/>
      <c r="T19" s="172"/>
      <c r="U19" s="172"/>
      <c r="V19" s="172"/>
      <c r="W19" s="172"/>
      <c r="X19" s="172">
        <v>22482500</v>
      </c>
      <c r="Y19" s="172">
        <v>22482500</v>
      </c>
      <c r="Z19" s="172"/>
      <c r="AA19" s="172"/>
      <c r="AB19" s="172"/>
      <c r="AC19" s="172"/>
      <c r="AD19" s="172"/>
      <c r="AE19" s="172"/>
      <c r="AF19" s="172"/>
      <c r="AG19" s="172"/>
      <c r="AH19" s="172"/>
      <c r="AI19" s="172"/>
      <c r="AJ19" s="172"/>
      <c r="AK19" s="172"/>
      <c r="AL19" s="172"/>
      <c r="AM19" s="172"/>
      <c r="AN19" s="172"/>
      <c r="AO19" s="172"/>
      <c r="AP19" s="172"/>
      <c r="AQ19" s="172"/>
      <c r="AR19" s="172"/>
      <c r="AS19" s="172"/>
      <c r="AT19" s="172"/>
      <c r="AU19" s="172"/>
      <c r="AV19" s="172"/>
      <c r="AW19" s="172"/>
      <c r="AX19" s="172"/>
      <c r="AY19" s="172"/>
      <c r="BA19" s="384"/>
    </row>
    <row r="20" spans="2:53" hidden="1" x14ac:dyDescent="0.25">
      <c r="B20" s="185" t="s">
        <v>592</v>
      </c>
      <c r="C20" s="171" t="s">
        <v>66</v>
      </c>
      <c r="D20" s="172">
        <f t="shared" si="10"/>
        <v>0</v>
      </c>
      <c r="E20" s="173">
        <f t="shared" si="11"/>
        <v>0</v>
      </c>
      <c r="F20" s="174">
        <f t="shared" si="12"/>
        <v>0</v>
      </c>
      <c r="G20" s="172">
        <f t="shared" si="14"/>
        <v>0</v>
      </c>
      <c r="H20" s="173">
        <f t="shared" si="15"/>
        <v>0</v>
      </c>
      <c r="I20" s="174">
        <f t="shared" si="13"/>
        <v>0</v>
      </c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  <c r="AO20" s="172"/>
      <c r="AP20" s="172"/>
      <c r="AQ20" s="172"/>
      <c r="AR20" s="172"/>
      <c r="AS20" s="172"/>
      <c r="AT20" s="172"/>
      <c r="AU20" s="172"/>
      <c r="AV20" s="172"/>
      <c r="AW20" s="172"/>
      <c r="AX20" s="172"/>
      <c r="AY20" s="172"/>
      <c r="BA20" s="384"/>
    </row>
    <row r="21" spans="2:53" hidden="1" x14ac:dyDescent="0.25">
      <c r="B21" s="185" t="s">
        <v>593</v>
      </c>
      <c r="C21" s="171" t="s">
        <v>68</v>
      </c>
      <c r="D21" s="172">
        <f t="shared" si="10"/>
        <v>0</v>
      </c>
      <c r="E21" s="173">
        <f t="shared" si="11"/>
        <v>0</v>
      </c>
      <c r="F21" s="174">
        <f t="shared" si="12"/>
        <v>0</v>
      </c>
      <c r="G21" s="172">
        <f t="shared" si="14"/>
        <v>0</v>
      </c>
      <c r="H21" s="173">
        <f t="shared" si="15"/>
        <v>0</v>
      </c>
      <c r="I21" s="174">
        <f t="shared" si="13"/>
        <v>0</v>
      </c>
      <c r="J21" s="172"/>
      <c r="K21" s="172"/>
      <c r="L21" s="172"/>
      <c r="M21" s="172"/>
      <c r="N21" s="172"/>
      <c r="O21" s="172"/>
      <c r="P21" s="172"/>
      <c r="Q21" s="172"/>
      <c r="R21" s="172"/>
      <c r="S21" s="172"/>
      <c r="T21" s="172"/>
      <c r="U21" s="172"/>
      <c r="V21" s="172"/>
      <c r="W21" s="172"/>
      <c r="X21" s="172"/>
      <c r="Y21" s="172"/>
      <c r="Z21" s="172"/>
      <c r="AA21" s="172"/>
      <c r="AB21" s="172"/>
      <c r="AC21" s="172"/>
      <c r="AD21" s="172"/>
      <c r="AE21" s="172"/>
      <c r="AF21" s="172"/>
      <c r="AG21" s="172"/>
      <c r="AH21" s="172"/>
      <c r="AI21" s="172"/>
      <c r="AJ21" s="172"/>
      <c r="AK21" s="172"/>
      <c r="AL21" s="172"/>
      <c r="AM21" s="172"/>
      <c r="AN21" s="172"/>
      <c r="AO21" s="172"/>
      <c r="AP21" s="172"/>
      <c r="AQ21" s="172"/>
      <c r="AR21" s="172"/>
      <c r="AS21" s="172"/>
      <c r="AT21" s="172"/>
      <c r="AU21" s="172"/>
      <c r="AV21" s="172"/>
      <c r="AW21" s="172"/>
      <c r="AX21" s="172"/>
      <c r="AY21" s="172"/>
      <c r="BA21" s="384"/>
    </row>
    <row r="22" spans="2:53" hidden="1" x14ac:dyDescent="0.25">
      <c r="B22" s="185" t="s">
        <v>594</v>
      </c>
      <c r="C22" s="171" t="s">
        <v>70</v>
      </c>
      <c r="D22" s="172">
        <f t="shared" si="10"/>
        <v>0</v>
      </c>
      <c r="E22" s="173">
        <f t="shared" si="11"/>
        <v>0</v>
      </c>
      <c r="F22" s="174">
        <f t="shared" si="12"/>
        <v>0</v>
      </c>
      <c r="G22" s="172">
        <f t="shared" si="14"/>
        <v>0</v>
      </c>
      <c r="H22" s="173">
        <f t="shared" si="15"/>
        <v>0</v>
      </c>
      <c r="I22" s="174">
        <f t="shared" si="13"/>
        <v>0</v>
      </c>
      <c r="J22" s="172"/>
      <c r="K22" s="172"/>
      <c r="L22" s="172"/>
      <c r="M22" s="172"/>
      <c r="N22" s="172"/>
      <c r="O22" s="172"/>
      <c r="P22" s="172"/>
      <c r="Q22" s="172"/>
      <c r="R22" s="172"/>
      <c r="S22" s="172"/>
      <c r="T22" s="172"/>
      <c r="U22" s="172"/>
      <c r="V22" s="172"/>
      <c r="W22" s="172"/>
      <c r="X22" s="172"/>
      <c r="Y22" s="172"/>
      <c r="Z22" s="172"/>
      <c r="AA22" s="172"/>
      <c r="AB22" s="172"/>
      <c r="AC22" s="172"/>
      <c r="AD22" s="172"/>
      <c r="AE22" s="172"/>
      <c r="AF22" s="172"/>
      <c r="AG22" s="172"/>
      <c r="AH22" s="172"/>
      <c r="AI22" s="172"/>
      <c r="AJ22" s="172"/>
      <c r="AK22" s="172"/>
      <c r="AL22" s="172"/>
      <c r="AM22" s="172"/>
      <c r="AN22" s="172"/>
      <c r="AO22" s="172"/>
      <c r="AP22" s="172"/>
      <c r="AQ22" s="172"/>
      <c r="AR22" s="172"/>
      <c r="AS22" s="172"/>
      <c r="AT22" s="172"/>
      <c r="AU22" s="172"/>
      <c r="AV22" s="172"/>
      <c r="AW22" s="172"/>
      <c r="AX22" s="172"/>
      <c r="AY22" s="172"/>
      <c r="BA22" s="384"/>
    </row>
    <row r="23" spans="2:53" x14ac:dyDescent="0.25">
      <c r="B23" s="185" t="s">
        <v>71</v>
      </c>
      <c r="C23" s="171" t="s">
        <v>72</v>
      </c>
      <c r="D23" s="172">
        <f t="shared" si="10"/>
        <v>0</v>
      </c>
      <c r="E23" s="173">
        <f t="shared" si="11"/>
        <v>2000000</v>
      </c>
      <c r="F23" s="174">
        <f t="shared" si="12"/>
        <v>2000000</v>
      </c>
      <c r="G23" s="172">
        <f t="shared" si="14"/>
        <v>250000</v>
      </c>
      <c r="H23" s="173">
        <f t="shared" si="15"/>
        <v>2000000</v>
      </c>
      <c r="I23" s="174">
        <f t="shared" si="13"/>
        <v>2250000</v>
      </c>
      <c r="J23" s="172">
        <v>0</v>
      </c>
      <c r="K23" s="172">
        <f>300000-50000</f>
        <v>250000</v>
      </c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  <c r="AO23" s="172"/>
      <c r="AP23" s="172"/>
      <c r="AQ23" s="172"/>
      <c r="AR23" s="172"/>
      <c r="AS23" s="172"/>
      <c r="AT23" s="172">
        <v>2000000</v>
      </c>
      <c r="AU23" s="172">
        <v>2000000</v>
      </c>
      <c r="AV23" s="172"/>
      <c r="AW23" s="172"/>
      <c r="AX23" s="172"/>
      <c r="AY23" s="172"/>
      <c r="BA23" s="384"/>
    </row>
    <row r="24" spans="2:53" hidden="1" x14ac:dyDescent="0.25">
      <c r="B24" s="185" t="s">
        <v>595</v>
      </c>
      <c r="C24" s="171" t="s">
        <v>74</v>
      </c>
      <c r="D24" s="172">
        <f t="shared" si="10"/>
        <v>0</v>
      </c>
      <c r="E24" s="173">
        <f t="shared" si="11"/>
        <v>0</v>
      </c>
      <c r="F24" s="174">
        <f t="shared" si="12"/>
        <v>0</v>
      </c>
      <c r="G24" s="172">
        <f t="shared" si="14"/>
        <v>0</v>
      </c>
      <c r="H24" s="173">
        <f t="shared" si="15"/>
        <v>0</v>
      </c>
      <c r="I24" s="174">
        <f t="shared" si="13"/>
        <v>0</v>
      </c>
      <c r="J24" s="172"/>
      <c r="K24" s="172"/>
      <c r="L24" s="172"/>
      <c r="M24" s="172"/>
      <c r="N24" s="172"/>
      <c r="O24" s="172"/>
      <c r="P24" s="172"/>
      <c r="Q24" s="172"/>
      <c r="R24" s="172"/>
      <c r="S24" s="172"/>
      <c r="T24" s="172"/>
      <c r="U24" s="172"/>
      <c r="V24" s="172"/>
      <c r="W24" s="172"/>
      <c r="X24" s="172"/>
      <c r="Y24" s="172"/>
      <c r="Z24" s="172"/>
      <c r="AA24" s="172"/>
      <c r="AB24" s="172"/>
      <c r="AC24" s="172"/>
      <c r="AD24" s="172"/>
      <c r="AE24" s="172"/>
      <c r="AF24" s="172"/>
      <c r="AG24" s="172"/>
      <c r="AH24" s="172"/>
      <c r="AI24" s="172"/>
      <c r="AJ24" s="172"/>
      <c r="AK24" s="172"/>
      <c r="AL24" s="172"/>
      <c r="AM24" s="172"/>
      <c r="AN24" s="172"/>
      <c r="AO24" s="172"/>
      <c r="AP24" s="172"/>
      <c r="AQ24" s="172"/>
      <c r="AR24" s="172"/>
      <c r="AS24" s="172"/>
      <c r="AT24" s="172"/>
      <c r="AU24" s="172"/>
      <c r="AV24" s="172"/>
      <c r="AW24" s="172"/>
      <c r="AX24" s="172"/>
      <c r="AY24" s="172"/>
      <c r="BA24" s="384"/>
    </row>
    <row r="25" spans="2:53" ht="25.5" customHeight="1" x14ac:dyDescent="0.25">
      <c r="B25" s="185" t="s">
        <v>596</v>
      </c>
      <c r="C25" s="171" t="s">
        <v>76</v>
      </c>
      <c r="D25" s="172">
        <f t="shared" si="10"/>
        <v>0</v>
      </c>
      <c r="E25" s="173">
        <f t="shared" si="11"/>
        <v>0</v>
      </c>
      <c r="F25" s="174">
        <f t="shared" si="12"/>
        <v>0</v>
      </c>
      <c r="G25" s="172">
        <f t="shared" si="14"/>
        <v>2811780</v>
      </c>
      <c r="H25" s="173">
        <f t="shared" si="15"/>
        <v>0</v>
      </c>
      <c r="I25" s="174">
        <f t="shared" si="13"/>
        <v>2811780</v>
      </c>
      <c r="J25" s="172"/>
      <c r="K25" s="172">
        <v>2811780</v>
      </c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2"/>
      <c r="AG25" s="172"/>
      <c r="AH25" s="172"/>
      <c r="AI25" s="172"/>
      <c r="AJ25" s="172"/>
      <c r="AK25" s="172"/>
      <c r="AL25" s="172"/>
      <c r="AM25" s="172"/>
      <c r="AN25" s="172"/>
      <c r="AO25" s="172"/>
      <c r="AP25" s="172"/>
      <c r="AQ25" s="172"/>
      <c r="AR25" s="172"/>
      <c r="AS25" s="172"/>
      <c r="AT25" s="172"/>
      <c r="AU25" s="172"/>
      <c r="AV25" s="172"/>
      <c r="AW25" s="172"/>
      <c r="AX25" s="172"/>
      <c r="AY25" s="172"/>
      <c r="BA25" s="384"/>
    </row>
    <row r="26" spans="2:53" hidden="1" x14ac:dyDescent="0.25">
      <c r="B26" s="185" t="s">
        <v>77</v>
      </c>
      <c r="C26" s="171" t="s">
        <v>78</v>
      </c>
      <c r="D26" s="172">
        <f t="shared" si="10"/>
        <v>0</v>
      </c>
      <c r="E26" s="173">
        <f t="shared" si="11"/>
        <v>0</v>
      </c>
      <c r="F26" s="174">
        <f t="shared" si="12"/>
        <v>0</v>
      </c>
      <c r="G26" s="172">
        <f t="shared" si="14"/>
        <v>0</v>
      </c>
      <c r="H26" s="173">
        <f t="shared" si="15"/>
        <v>0</v>
      </c>
      <c r="I26" s="174">
        <f t="shared" si="13"/>
        <v>0</v>
      </c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172"/>
      <c r="Y26" s="172"/>
      <c r="Z26" s="172"/>
      <c r="AA26" s="172"/>
      <c r="AB26" s="172"/>
      <c r="AC26" s="172"/>
      <c r="AD26" s="172"/>
      <c r="AE26" s="172"/>
      <c r="AF26" s="172"/>
      <c r="AG26" s="172"/>
      <c r="AH26" s="172"/>
      <c r="AI26" s="172"/>
      <c r="AJ26" s="172"/>
      <c r="AK26" s="172"/>
      <c r="AL26" s="172"/>
      <c r="AM26" s="172"/>
      <c r="AN26" s="172"/>
      <c r="AO26" s="172"/>
      <c r="AP26" s="172"/>
      <c r="AQ26" s="172"/>
      <c r="AR26" s="172"/>
      <c r="AS26" s="172"/>
      <c r="AT26" s="172"/>
      <c r="AU26" s="172"/>
      <c r="AV26" s="172"/>
      <c r="AW26" s="172"/>
      <c r="AX26" s="172"/>
      <c r="AY26" s="172"/>
      <c r="BA26" s="384"/>
    </row>
    <row r="27" spans="2:53" hidden="1" x14ac:dyDescent="0.25">
      <c r="B27" s="186" t="s">
        <v>79</v>
      </c>
      <c r="C27" s="171" t="s">
        <v>80</v>
      </c>
      <c r="D27" s="172">
        <f t="shared" si="10"/>
        <v>0</v>
      </c>
      <c r="E27" s="173">
        <f t="shared" si="11"/>
        <v>0</v>
      </c>
      <c r="F27" s="174">
        <f t="shared" si="12"/>
        <v>0</v>
      </c>
      <c r="G27" s="172">
        <f t="shared" si="14"/>
        <v>0</v>
      </c>
      <c r="H27" s="173">
        <f t="shared" si="15"/>
        <v>0</v>
      </c>
      <c r="I27" s="174">
        <f t="shared" si="13"/>
        <v>0</v>
      </c>
      <c r="J27" s="172"/>
      <c r="K27" s="172"/>
      <c r="L27" s="172"/>
      <c r="M27" s="172"/>
      <c r="N27" s="172"/>
      <c r="O27" s="172"/>
      <c r="P27" s="172"/>
      <c r="Q27" s="172"/>
      <c r="R27" s="172"/>
      <c r="S27" s="172"/>
      <c r="T27" s="172"/>
      <c r="U27" s="172"/>
      <c r="V27" s="172"/>
      <c r="W27" s="172"/>
      <c r="X27" s="172"/>
      <c r="Y27" s="172"/>
      <c r="Z27" s="172"/>
      <c r="AA27" s="172"/>
      <c r="AB27" s="172"/>
      <c r="AC27" s="172"/>
      <c r="AD27" s="172"/>
      <c r="AE27" s="172"/>
      <c r="AF27" s="172"/>
      <c r="AG27" s="172"/>
      <c r="AH27" s="172"/>
      <c r="AI27" s="172"/>
      <c r="AJ27" s="172"/>
      <c r="AK27" s="172"/>
      <c r="AL27" s="172"/>
      <c r="AM27" s="172"/>
      <c r="AN27" s="172"/>
      <c r="AO27" s="172"/>
      <c r="AP27" s="172"/>
      <c r="AQ27" s="172"/>
      <c r="AR27" s="172"/>
      <c r="AS27" s="172"/>
      <c r="AT27" s="172"/>
      <c r="AU27" s="172"/>
      <c r="AV27" s="172"/>
      <c r="AW27" s="172"/>
      <c r="AX27" s="172"/>
      <c r="AY27" s="172"/>
      <c r="BA27" s="384"/>
    </row>
    <row r="28" spans="2:53" hidden="1" x14ac:dyDescent="0.25">
      <c r="B28" s="185" t="s">
        <v>81</v>
      </c>
      <c r="C28" s="171" t="s">
        <v>82</v>
      </c>
      <c r="D28" s="172">
        <f t="shared" si="10"/>
        <v>0</v>
      </c>
      <c r="E28" s="173">
        <f t="shared" si="11"/>
        <v>0</v>
      </c>
      <c r="F28" s="174">
        <f t="shared" si="12"/>
        <v>0</v>
      </c>
      <c r="G28" s="172">
        <f t="shared" si="14"/>
        <v>0</v>
      </c>
      <c r="H28" s="173">
        <f t="shared" si="15"/>
        <v>0</v>
      </c>
      <c r="I28" s="174">
        <f t="shared" si="13"/>
        <v>0</v>
      </c>
      <c r="J28" s="172"/>
      <c r="K28" s="172"/>
      <c r="L28" s="172"/>
      <c r="M28" s="172"/>
      <c r="N28" s="172"/>
      <c r="O28" s="172"/>
      <c r="P28" s="172"/>
      <c r="Q28" s="172"/>
      <c r="R28" s="172"/>
      <c r="S28" s="172"/>
      <c r="T28" s="172"/>
      <c r="U28" s="172"/>
      <c r="V28" s="172"/>
      <c r="W28" s="172"/>
      <c r="X28" s="172"/>
      <c r="Y28" s="172"/>
      <c r="Z28" s="172"/>
      <c r="AA28" s="172"/>
      <c r="AB28" s="172"/>
      <c r="AC28" s="172"/>
      <c r="AD28" s="172"/>
      <c r="AE28" s="172"/>
      <c r="AF28" s="172"/>
      <c r="AG28" s="172"/>
      <c r="AH28" s="172"/>
      <c r="AI28" s="172"/>
      <c r="AJ28" s="172"/>
      <c r="AK28" s="172"/>
      <c r="AL28" s="172"/>
      <c r="AM28" s="172"/>
      <c r="AN28" s="172"/>
      <c r="AO28" s="172"/>
      <c r="AP28" s="172"/>
      <c r="AQ28" s="172"/>
      <c r="AR28" s="172"/>
      <c r="AS28" s="172"/>
      <c r="AT28" s="172"/>
      <c r="AU28" s="172"/>
      <c r="AV28" s="172"/>
      <c r="AW28" s="172"/>
      <c r="AX28" s="172"/>
      <c r="AY28" s="172"/>
      <c r="BA28" s="384"/>
    </row>
    <row r="29" spans="2:53" x14ac:dyDescent="0.25">
      <c r="B29" s="185" t="s">
        <v>83</v>
      </c>
      <c r="C29" s="171" t="s">
        <v>84</v>
      </c>
      <c r="D29" s="172">
        <f t="shared" si="10"/>
        <v>14930000</v>
      </c>
      <c r="E29" s="173">
        <f t="shared" si="11"/>
        <v>34450000</v>
      </c>
      <c r="F29" s="174">
        <f t="shared" si="12"/>
        <v>49380000</v>
      </c>
      <c r="G29" s="172">
        <f t="shared" si="14"/>
        <v>41473080</v>
      </c>
      <c r="H29" s="173">
        <f t="shared" si="15"/>
        <v>38873584</v>
      </c>
      <c r="I29" s="174">
        <f t="shared" si="13"/>
        <v>80346664</v>
      </c>
      <c r="J29" s="172">
        <v>12780000</v>
      </c>
      <c r="K29" s="172">
        <f>12780000+260880</f>
        <v>13040880</v>
      </c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2">
        <v>26282200</v>
      </c>
      <c r="Z29" s="172"/>
      <c r="AA29" s="172"/>
      <c r="AB29" s="172"/>
      <c r="AC29" s="172"/>
      <c r="AD29" s="172"/>
      <c r="AE29" s="172"/>
      <c r="AF29" s="172"/>
      <c r="AG29" s="172"/>
      <c r="AH29" s="172"/>
      <c r="AI29" s="172"/>
      <c r="AJ29" s="172">
        <f>2000000+150000</f>
        <v>2150000</v>
      </c>
      <c r="AK29" s="172">
        <f>2000000+150000</f>
        <v>2150000</v>
      </c>
      <c r="AL29" s="172">
        <v>12000000</v>
      </c>
      <c r="AM29" s="172">
        <v>12000000</v>
      </c>
      <c r="AN29" s="172">
        <v>0</v>
      </c>
      <c r="AO29" s="172">
        <v>0</v>
      </c>
      <c r="AP29" s="172">
        <v>19200000</v>
      </c>
      <c r="AQ29" s="172">
        <f>19200000+2650000</f>
        <v>21850000</v>
      </c>
      <c r="AR29" s="172"/>
      <c r="AS29" s="172"/>
      <c r="AT29" s="172"/>
      <c r="AU29" s="172"/>
      <c r="AV29" s="172">
        <f>1000000+1800000</f>
        <v>2800000</v>
      </c>
      <c r="AW29" s="172">
        <f>1000000+1800000+150000+750692+150000+312892+80000+50000+120000+100000+60000</f>
        <v>4573584</v>
      </c>
      <c r="AX29" s="172">
        <v>450000</v>
      </c>
      <c r="AY29" s="172">
        <v>450000</v>
      </c>
      <c r="BA29" s="384"/>
    </row>
    <row r="30" spans="2:53" hidden="1" x14ac:dyDescent="0.25">
      <c r="B30" s="186" t="s">
        <v>85</v>
      </c>
      <c r="C30" s="171" t="s">
        <v>86</v>
      </c>
      <c r="D30" s="172">
        <f t="shared" si="10"/>
        <v>0</v>
      </c>
      <c r="E30" s="173">
        <f t="shared" si="11"/>
        <v>0</v>
      </c>
      <c r="F30" s="174">
        <f t="shared" si="12"/>
        <v>0</v>
      </c>
      <c r="G30" s="172">
        <f>+M30+O30+Q30+S30+U30+W30+Y30+AA30+AC30+AE30+AG30+AI30+AK30+AM30</f>
        <v>0</v>
      </c>
      <c r="H30" s="173">
        <f>+AO30+AQ30+AS30+AW30+AY30+BA30+AU30</f>
        <v>0</v>
      </c>
      <c r="I30" s="174">
        <f t="shared" si="13"/>
        <v>0</v>
      </c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2"/>
      <c r="Z30" s="172"/>
      <c r="AA30" s="172"/>
      <c r="AB30" s="172"/>
      <c r="AC30" s="172"/>
      <c r="AD30" s="172"/>
      <c r="AE30" s="172"/>
      <c r="AF30" s="172"/>
      <c r="AG30" s="172"/>
      <c r="AH30" s="172"/>
      <c r="AI30" s="172"/>
      <c r="AJ30" s="172"/>
      <c r="AK30" s="172"/>
      <c r="AL30" s="172"/>
      <c r="AM30" s="172"/>
      <c r="AN30" s="172"/>
      <c r="AO30" s="172"/>
      <c r="AP30" s="172"/>
      <c r="AQ30" s="172"/>
      <c r="AR30" s="172"/>
      <c r="AS30" s="172"/>
      <c r="AT30" s="172"/>
      <c r="AU30" s="172"/>
      <c r="AV30" s="172"/>
      <c r="AW30" s="172"/>
      <c r="AX30" s="172"/>
      <c r="AY30" s="172"/>
      <c r="BA30" s="384"/>
    </row>
    <row r="31" spans="2:53" hidden="1" x14ac:dyDescent="0.25">
      <c r="B31" s="186" t="s">
        <v>87</v>
      </c>
      <c r="C31" s="171" t="s">
        <v>86</v>
      </c>
      <c r="D31" s="172">
        <f t="shared" si="10"/>
        <v>0</v>
      </c>
      <c r="E31" s="173">
        <f t="shared" si="11"/>
        <v>0</v>
      </c>
      <c r="F31" s="174">
        <f t="shared" si="12"/>
        <v>0</v>
      </c>
      <c r="G31" s="172">
        <f>+M31+O31+Q31+S31+U31+W31+Y31+AA31+AC31+AE31+AG31+AI31+AK31+AM31</f>
        <v>0</v>
      </c>
      <c r="H31" s="173">
        <f>+AO31+AQ31+AS31+AW31+AY31+BA31+AU31</f>
        <v>0</v>
      </c>
      <c r="I31" s="174">
        <f t="shared" si="13"/>
        <v>0</v>
      </c>
      <c r="J31" s="172"/>
      <c r="K31" s="172"/>
      <c r="L31" s="172"/>
      <c r="M31" s="172"/>
      <c r="N31" s="172"/>
      <c r="O31" s="172"/>
      <c r="P31" s="172"/>
      <c r="Q31" s="172"/>
      <c r="R31" s="172"/>
      <c r="S31" s="172"/>
      <c r="T31" s="172"/>
      <c r="U31" s="172"/>
      <c r="V31" s="172"/>
      <c r="W31" s="172"/>
      <c r="X31" s="172"/>
      <c r="Y31" s="172"/>
      <c r="Z31" s="172"/>
      <c r="AA31" s="172"/>
      <c r="AB31" s="172"/>
      <c r="AC31" s="172"/>
      <c r="AD31" s="172"/>
      <c r="AE31" s="172"/>
      <c r="AF31" s="172"/>
      <c r="AG31" s="172"/>
      <c r="AH31" s="172"/>
      <c r="AI31" s="172"/>
      <c r="AJ31" s="172"/>
      <c r="AK31" s="172"/>
      <c r="AL31" s="172"/>
      <c r="AM31" s="172"/>
      <c r="AN31" s="172"/>
      <c r="AO31" s="172"/>
      <c r="AP31" s="172"/>
      <c r="AQ31" s="172"/>
      <c r="AR31" s="172"/>
      <c r="AS31" s="172"/>
      <c r="AT31" s="172"/>
      <c r="AU31" s="172"/>
      <c r="AV31" s="172"/>
      <c r="AW31" s="172"/>
      <c r="AX31" s="172"/>
      <c r="AY31" s="172"/>
      <c r="BA31" s="384"/>
    </row>
    <row r="32" spans="2:53" s="177" customFormat="1" ht="15" customHeight="1" x14ac:dyDescent="0.2">
      <c r="B32" s="184" t="s">
        <v>88</v>
      </c>
      <c r="C32" s="179" t="s">
        <v>89</v>
      </c>
      <c r="D32" s="180">
        <f t="shared" ref="D32:I32" si="16">SUM(D18:D31)</f>
        <v>39612500</v>
      </c>
      <c r="E32" s="180">
        <f t="shared" si="16"/>
        <v>36450000</v>
      </c>
      <c r="F32" s="180">
        <f t="shared" si="16"/>
        <v>76062500</v>
      </c>
      <c r="G32" s="180">
        <f>SUM(G18:G31)</f>
        <v>69217360</v>
      </c>
      <c r="H32" s="180">
        <f>SUM(H18:H31)</f>
        <v>40873584</v>
      </c>
      <c r="I32" s="180">
        <f t="shared" si="16"/>
        <v>110090944</v>
      </c>
      <c r="J32" s="180">
        <f t="shared" ref="J32:AX32" si="17">SUM(J18:J31)</f>
        <v>14980000</v>
      </c>
      <c r="K32" s="180">
        <f>SUM(K18:K31)</f>
        <v>18302660</v>
      </c>
      <c r="L32" s="180">
        <f t="shared" si="17"/>
        <v>0</v>
      </c>
      <c r="M32" s="180">
        <f t="shared" si="17"/>
        <v>0</v>
      </c>
      <c r="N32" s="180">
        <f t="shared" si="17"/>
        <v>0</v>
      </c>
      <c r="O32" s="180">
        <f t="shared" si="17"/>
        <v>0</v>
      </c>
      <c r="P32" s="180">
        <f t="shared" si="17"/>
        <v>0</v>
      </c>
      <c r="Q32" s="180">
        <f t="shared" si="17"/>
        <v>0</v>
      </c>
      <c r="R32" s="180">
        <f t="shared" si="17"/>
        <v>0</v>
      </c>
      <c r="S32" s="180">
        <f t="shared" si="17"/>
        <v>0</v>
      </c>
      <c r="T32" s="180">
        <f t="shared" si="17"/>
        <v>0</v>
      </c>
      <c r="U32" s="180">
        <f t="shared" si="17"/>
        <v>0</v>
      </c>
      <c r="V32" s="180">
        <f t="shared" si="17"/>
        <v>0</v>
      </c>
      <c r="W32" s="180">
        <f t="shared" si="17"/>
        <v>0</v>
      </c>
      <c r="X32" s="180">
        <f t="shared" si="17"/>
        <v>22482500</v>
      </c>
      <c r="Y32" s="180">
        <f t="shared" si="17"/>
        <v>48764700</v>
      </c>
      <c r="Z32" s="180">
        <f t="shared" si="17"/>
        <v>0</v>
      </c>
      <c r="AA32" s="180">
        <f t="shared" si="17"/>
        <v>0</v>
      </c>
      <c r="AB32" s="180">
        <f t="shared" si="17"/>
        <v>0</v>
      </c>
      <c r="AC32" s="180">
        <f t="shared" si="17"/>
        <v>0</v>
      </c>
      <c r="AD32" s="180">
        <f t="shared" si="17"/>
        <v>0</v>
      </c>
      <c r="AE32" s="180">
        <f t="shared" si="17"/>
        <v>0</v>
      </c>
      <c r="AF32" s="180">
        <f t="shared" si="17"/>
        <v>0</v>
      </c>
      <c r="AG32" s="180">
        <f t="shared" si="17"/>
        <v>0</v>
      </c>
      <c r="AH32" s="180">
        <f t="shared" si="17"/>
        <v>0</v>
      </c>
      <c r="AI32" s="180">
        <f t="shared" si="17"/>
        <v>0</v>
      </c>
      <c r="AJ32" s="180">
        <f t="shared" si="17"/>
        <v>2150000</v>
      </c>
      <c r="AK32" s="180">
        <f t="shared" si="17"/>
        <v>2150000</v>
      </c>
      <c r="AL32" s="180">
        <f t="shared" si="17"/>
        <v>12000000</v>
      </c>
      <c r="AM32" s="180">
        <f t="shared" si="17"/>
        <v>12000000</v>
      </c>
      <c r="AN32" s="180">
        <f t="shared" si="17"/>
        <v>0</v>
      </c>
      <c r="AO32" s="180">
        <f t="shared" si="17"/>
        <v>0</v>
      </c>
      <c r="AP32" s="180">
        <f t="shared" si="17"/>
        <v>19200000</v>
      </c>
      <c r="AQ32" s="180">
        <f t="shared" si="17"/>
        <v>21850000</v>
      </c>
      <c r="AR32" s="180">
        <f t="shared" si="17"/>
        <v>0</v>
      </c>
      <c r="AS32" s="180">
        <f t="shared" si="17"/>
        <v>0</v>
      </c>
      <c r="AT32" s="180">
        <f t="shared" si="17"/>
        <v>2000000</v>
      </c>
      <c r="AU32" s="180">
        <f t="shared" si="17"/>
        <v>2000000</v>
      </c>
      <c r="AV32" s="180">
        <f t="shared" si="17"/>
        <v>2800000</v>
      </c>
      <c r="AW32" s="180">
        <f t="shared" si="17"/>
        <v>4573584</v>
      </c>
      <c r="AX32" s="180">
        <f t="shared" si="17"/>
        <v>450000</v>
      </c>
      <c r="AY32" s="180">
        <f>SUM(AY18:AY31)</f>
        <v>450000</v>
      </c>
      <c r="BA32" s="384"/>
    </row>
    <row r="33" spans="2:53" x14ac:dyDescent="0.25">
      <c r="B33" s="187" t="s">
        <v>90</v>
      </c>
      <c r="C33" s="188" t="s">
        <v>91</v>
      </c>
      <c r="D33" s="189">
        <f t="shared" ref="D33:AI33" si="18">+D32+D17+D16+D10+D9</f>
        <v>251654331</v>
      </c>
      <c r="E33" s="189">
        <f t="shared" si="18"/>
        <v>36450000</v>
      </c>
      <c r="F33" s="189">
        <f t="shared" si="18"/>
        <v>288104331</v>
      </c>
      <c r="G33" s="189">
        <f>+G32+G17+G16+G10+G9</f>
        <v>301486892</v>
      </c>
      <c r="H33" s="189">
        <f>+H32+H17+H16+H10+H9</f>
        <v>40873584</v>
      </c>
      <c r="I33" s="189">
        <f t="shared" si="18"/>
        <v>342360476</v>
      </c>
      <c r="J33" s="189">
        <f t="shared" si="18"/>
        <v>92999831</v>
      </c>
      <c r="K33" s="189">
        <f>+K32+K17+K16+K10+K9</f>
        <v>96826737</v>
      </c>
      <c r="L33" s="189">
        <f t="shared" si="18"/>
        <v>12500000</v>
      </c>
      <c r="M33" s="189">
        <f t="shared" si="18"/>
        <v>12500000</v>
      </c>
      <c r="N33" s="189">
        <f t="shared" si="18"/>
        <v>6500000</v>
      </c>
      <c r="O33" s="189">
        <f t="shared" si="18"/>
        <v>823455</v>
      </c>
      <c r="P33" s="189">
        <f t="shared" si="18"/>
        <v>0</v>
      </c>
      <c r="Q33" s="189">
        <f t="shared" si="18"/>
        <v>0</v>
      </c>
      <c r="R33" s="189">
        <f t="shared" si="18"/>
        <v>21844000</v>
      </c>
      <c r="S33" s="189">
        <f t="shared" si="18"/>
        <v>21844000</v>
      </c>
      <c r="T33" s="189">
        <f t="shared" si="18"/>
        <v>10859000</v>
      </c>
      <c r="U33" s="189">
        <f t="shared" si="18"/>
        <v>10859000</v>
      </c>
      <c r="V33" s="189">
        <f t="shared" si="18"/>
        <v>8128000</v>
      </c>
      <c r="W33" s="189">
        <f t="shared" si="18"/>
        <v>8128000</v>
      </c>
      <c r="X33" s="189">
        <f t="shared" si="18"/>
        <v>29556500</v>
      </c>
      <c r="Y33" s="189">
        <f t="shared" si="18"/>
        <v>81238700</v>
      </c>
      <c r="Z33" s="189">
        <f t="shared" si="18"/>
        <v>24321000</v>
      </c>
      <c r="AA33" s="189">
        <f t="shared" si="18"/>
        <v>24321000</v>
      </c>
      <c r="AB33" s="189">
        <f t="shared" si="18"/>
        <v>39459000</v>
      </c>
      <c r="AC33" s="189">
        <f t="shared" si="18"/>
        <v>39459000</v>
      </c>
      <c r="AD33" s="189">
        <f t="shared" si="18"/>
        <v>2131000</v>
      </c>
      <c r="AE33" s="189">
        <f t="shared" si="18"/>
        <v>2131000</v>
      </c>
      <c r="AF33" s="189">
        <f t="shared" si="18"/>
        <v>711000</v>
      </c>
      <c r="AG33" s="189">
        <f t="shared" si="18"/>
        <v>711000</v>
      </c>
      <c r="AH33" s="189">
        <f t="shared" si="18"/>
        <v>495000</v>
      </c>
      <c r="AI33" s="189">
        <f t="shared" si="18"/>
        <v>495000</v>
      </c>
      <c r="AJ33" s="189">
        <f t="shared" ref="AJ33:AY33" si="19">+AJ32+AJ17+AJ16+AJ10+AJ9</f>
        <v>2150000</v>
      </c>
      <c r="AK33" s="189">
        <f t="shared" si="19"/>
        <v>2150000</v>
      </c>
      <c r="AL33" s="189">
        <f t="shared" si="19"/>
        <v>12000000</v>
      </c>
      <c r="AM33" s="189">
        <f t="shared" si="19"/>
        <v>12000000</v>
      </c>
      <c r="AN33" s="189">
        <f t="shared" si="19"/>
        <v>0</v>
      </c>
      <c r="AO33" s="189">
        <f t="shared" si="19"/>
        <v>0</v>
      </c>
      <c r="AP33" s="189">
        <f t="shared" si="19"/>
        <v>19200000</v>
      </c>
      <c r="AQ33" s="189">
        <f t="shared" si="19"/>
        <v>21850000</v>
      </c>
      <c r="AR33" s="189">
        <f t="shared" si="19"/>
        <v>0</v>
      </c>
      <c r="AS33" s="189">
        <f t="shared" si="19"/>
        <v>0</v>
      </c>
      <c r="AT33" s="189">
        <f t="shared" si="19"/>
        <v>2000000</v>
      </c>
      <c r="AU33" s="189">
        <f t="shared" si="19"/>
        <v>2000000</v>
      </c>
      <c r="AV33" s="189">
        <f t="shared" si="19"/>
        <v>2800000</v>
      </c>
      <c r="AW33" s="189">
        <f t="shared" si="19"/>
        <v>4573584</v>
      </c>
      <c r="AX33" s="189">
        <f t="shared" si="19"/>
        <v>450000</v>
      </c>
      <c r="AY33" s="189">
        <f t="shared" si="19"/>
        <v>450000</v>
      </c>
    </row>
    <row r="34" spans="2:53" hidden="1" x14ac:dyDescent="0.25">
      <c r="B34" s="190" t="s">
        <v>92</v>
      </c>
      <c r="C34" s="171" t="s">
        <v>93</v>
      </c>
      <c r="D34" s="172">
        <f t="shared" ref="D34:D40" si="20">+J34+L34+N34+P34+R34+T34+V34+X34+Z34+AB34+AD34+AF34+AH34+AJ34</f>
        <v>0</v>
      </c>
      <c r="E34" s="173">
        <f t="shared" ref="E34:E40" si="21">+AL34+AN34+AP34+AT34+AV34+AX34+AR34</f>
        <v>0</v>
      </c>
      <c r="F34" s="174">
        <f t="shared" ref="F34:F40" si="22">+D34+E34</f>
        <v>0</v>
      </c>
      <c r="G34" s="172">
        <f>+M34+O34+Q34+S34+U34+W34+Y34+AA34+AC34+AE34+AG34+AI34+AK34+AM34</f>
        <v>0</v>
      </c>
      <c r="H34" s="173">
        <f>+AO34+AQ34+AS34+AW34+AY34+BA34+AU34</f>
        <v>0</v>
      </c>
      <c r="I34" s="174">
        <f t="shared" ref="I34:I40" si="23">+G34+H34</f>
        <v>0</v>
      </c>
      <c r="J34" s="172"/>
      <c r="K34" s="172"/>
      <c r="L34" s="172"/>
      <c r="M34" s="172"/>
      <c r="N34" s="172"/>
      <c r="O34" s="172"/>
      <c r="P34" s="172"/>
      <c r="Q34" s="172"/>
      <c r="R34" s="172"/>
      <c r="S34" s="172"/>
      <c r="T34" s="172"/>
      <c r="U34" s="172"/>
      <c r="V34" s="172"/>
      <c r="W34" s="172"/>
      <c r="X34" s="172"/>
      <c r="Y34" s="172"/>
      <c r="Z34" s="172"/>
      <c r="AA34" s="172"/>
      <c r="AB34" s="172"/>
      <c r="AC34" s="172"/>
      <c r="AD34" s="172"/>
      <c r="AE34" s="172"/>
      <c r="AF34" s="172"/>
      <c r="AG34" s="172"/>
      <c r="AH34" s="172"/>
      <c r="AI34" s="172"/>
      <c r="AJ34" s="172"/>
      <c r="AK34" s="172"/>
      <c r="AL34" s="172"/>
      <c r="AM34" s="172"/>
      <c r="AN34" s="172"/>
      <c r="AO34" s="172"/>
      <c r="AP34" s="172"/>
      <c r="AQ34" s="172"/>
      <c r="AR34" s="172"/>
      <c r="AS34" s="172"/>
      <c r="AT34" s="172"/>
      <c r="AU34" s="172"/>
      <c r="AV34" s="172"/>
      <c r="AW34" s="172"/>
      <c r="AX34" s="172"/>
      <c r="AY34" s="172"/>
    </row>
    <row r="35" spans="2:53" x14ac:dyDescent="0.25">
      <c r="B35" s="190" t="s">
        <v>94</v>
      </c>
      <c r="C35" s="171" t="s">
        <v>95</v>
      </c>
      <c r="D35" s="172">
        <f t="shared" si="20"/>
        <v>0</v>
      </c>
      <c r="E35" s="173">
        <f t="shared" si="21"/>
        <v>0</v>
      </c>
      <c r="F35" s="174">
        <f t="shared" si="22"/>
        <v>0</v>
      </c>
      <c r="G35" s="172">
        <f>+M35+O35+Q35+S35+U35+W35+Y35+AA35+AC35+AE35+AG35+AI35+AK35+AM35</f>
        <v>5044000</v>
      </c>
      <c r="H35" s="173">
        <f>+AO35+AQ35+AS35+AW35+AY35+BA35+AU35</f>
        <v>0</v>
      </c>
      <c r="I35" s="174">
        <f t="shared" si="23"/>
        <v>5044000</v>
      </c>
      <c r="J35" s="172"/>
      <c r="K35" s="172"/>
      <c r="L35" s="172"/>
      <c r="M35" s="172"/>
      <c r="N35" s="172"/>
      <c r="O35" s="172">
        <v>5044000</v>
      </c>
      <c r="P35" s="172"/>
      <c r="Q35" s="172"/>
      <c r="R35" s="172"/>
      <c r="S35" s="172"/>
      <c r="T35" s="172"/>
      <c r="U35" s="172"/>
      <c r="V35" s="172"/>
      <c r="W35" s="172"/>
      <c r="X35" s="172"/>
      <c r="Y35" s="172">
        <v>0</v>
      </c>
      <c r="Z35" s="172"/>
      <c r="AA35" s="172"/>
      <c r="AB35" s="172"/>
      <c r="AC35" s="172"/>
      <c r="AD35" s="172"/>
      <c r="AE35" s="172"/>
      <c r="AF35" s="172"/>
      <c r="AG35" s="172"/>
      <c r="AH35" s="172"/>
      <c r="AI35" s="172"/>
      <c r="AJ35" s="172"/>
      <c r="AK35" s="172"/>
      <c r="AL35" s="172"/>
      <c r="AM35" s="172"/>
      <c r="AN35" s="172"/>
      <c r="AO35" s="172"/>
      <c r="AP35" s="172"/>
      <c r="AQ35" s="172"/>
      <c r="AR35" s="172"/>
      <c r="AS35" s="172"/>
      <c r="AT35" s="172"/>
      <c r="AU35" s="172"/>
      <c r="AV35" s="172"/>
      <c r="AW35" s="172"/>
      <c r="AX35" s="172"/>
      <c r="AY35" s="172"/>
    </row>
    <row r="36" spans="2:53" hidden="1" x14ac:dyDescent="0.25">
      <c r="B36" s="190" t="s">
        <v>96</v>
      </c>
      <c r="C36" s="171" t="s">
        <v>97</v>
      </c>
      <c r="D36" s="172">
        <f t="shared" si="20"/>
        <v>0</v>
      </c>
      <c r="E36" s="173">
        <f t="shared" si="21"/>
        <v>0</v>
      </c>
      <c r="F36" s="174">
        <f t="shared" si="22"/>
        <v>0</v>
      </c>
      <c r="G36" s="172">
        <f>+M36+O36+Q36+S36+U36+W36+Y36+AA36+AC36+AE36+AG36+AI36+AK36+AM36</f>
        <v>0</v>
      </c>
      <c r="H36" s="173">
        <f>+AO36+AQ36+AS36+AW36+AY36+BA36+AU36</f>
        <v>0</v>
      </c>
      <c r="I36" s="174">
        <f t="shared" si="23"/>
        <v>0</v>
      </c>
      <c r="J36" s="172"/>
      <c r="K36" s="172">
        <v>0</v>
      </c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2"/>
      <c r="AG36" s="172"/>
      <c r="AH36" s="172"/>
      <c r="AI36" s="172"/>
      <c r="AJ36" s="172"/>
      <c r="AK36" s="172"/>
      <c r="AL36" s="172"/>
      <c r="AM36" s="172"/>
      <c r="AN36" s="172"/>
      <c r="AO36" s="172"/>
      <c r="AP36" s="172"/>
      <c r="AQ36" s="172"/>
      <c r="AR36" s="172"/>
      <c r="AS36" s="172"/>
      <c r="AT36" s="172"/>
      <c r="AU36" s="172"/>
      <c r="AV36" s="172"/>
      <c r="AW36" s="172"/>
      <c r="AX36" s="172"/>
      <c r="AY36" s="172"/>
    </row>
    <row r="37" spans="2:53" x14ac:dyDescent="0.25">
      <c r="B37" s="190" t="s">
        <v>98</v>
      </c>
      <c r="C37" s="171" t="s">
        <v>99</v>
      </c>
      <c r="D37" s="172">
        <f t="shared" si="20"/>
        <v>0</v>
      </c>
      <c r="E37" s="173">
        <f t="shared" si="21"/>
        <v>0</v>
      </c>
      <c r="F37" s="174">
        <f t="shared" si="22"/>
        <v>0</v>
      </c>
      <c r="G37" s="172">
        <f>+K37+M37+O37+Q37+S37+U37+W37+Y37+AA37+AC37+AE37+AG37+AI37+AK37</f>
        <v>18540000</v>
      </c>
      <c r="H37" s="173">
        <f>+AM37+AO37+AQ37+AU37+AW37+AY37+AS37</f>
        <v>0</v>
      </c>
      <c r="I37" s="174">
        <f t="shared" si="23"/>
        <v>18540000</v>
      </c>
      <c r="J37" s="172"/>
      <c r="K37" s="172"/>
      <c r="L37" s="172"/>
      <c r="M37" s="172"/>
      <c r="N37" s="172"/>
      <c r="O37" s="172"/>
      <c r="P37" s="172"/>
      <c r="Q37" s="172"/>
      <c r="R37" s="172"/>
      <c r="S37" s="172"/>
      <c r="T37" s="172"/>
      <c r="U37" s="172"/>
      <c r="V37" s="172"/>
      <c r="W37" s="172"/>
      <c r="X37" s="172"/>
      <c r="Y37" s="172">
        <v>18540000</v>
      </c>
      <c r="Z37" s="172"/>
      <c r="AA37" s="172"/>
      <c r="AB37" s="172"/>
      <c r="AC37" s="172"/>
      <c r="AD37" s="172"/>
      <c r="AE37" s="172"/>
      <c r="AF37" s="172"/>
      <c r="AG37" s="172"/>
      <c r="AH37" s="172"/>
      <c r="AI37" s="172"/>
      <c r="AJ37" s="172"/>
      <c r="AK37" s="172"/>
      <c r="AL37" s="172"/>
      <c r="AM37" s="172"/>
      <c r="AN37" s="172"/>
      <c r="AO37" s="172"/>
      <c r="AP37" s="172"/>
      <c r="AQ37" s="172"/>
      <c r="AR37" s="172"/>
      <c r="AS37" s="172"/>
      <c r="AT37" s="172"/>
      <c r="AU37" s="172"/>
      <c r="AV37" s="172"/>
      <c r="AW37" s="172"/>
      <c r="AX37" s="172"/>
      <c r="AY37" s="172"/>
      <c r="BA37" s="384"/>
    </row>
    <row r="38" spans="2:53" hidden="1" x14ac:dyDescent="0.25">
      <c r="B38" s="191" t="s">
        <v>100</v>
      </c>
      <c r="C38" s="171" t="s">
        <v>101</v>
      </c>
      <c r="D38" s="172">
        <f t="shared" si="20"/>
        <v>0</v>
      </c>
      <c r="E38" s="173">
        <f t="shared" si="21"/>
        <v>0</v>
      </c>
      <c r="F38" s="174">
        <f t="shared" si="22"/>
        <v>0</v>
      </c>
      <c r="G38" s="172">
        <f>+K38+M38+O38+Q38+S38+U38+W38+Y38+AA38+AC38+AE38+AG38+AI38+AK38</f>
        <v>0</v>
      </c>
      <c r="H38" s="173">
        <f>+AM38+AO38+AQ38+AU38+AW38+AY38+AS38</f>
        <v>0</v>
      </c>
      <c r="I38" s="174">
        <f t="shared" si="23"/>
        <v>0</v>
      </c>
      <c r="J38" s="172"/>
      <c r="K38" s="172"/>
      <c r="L38" s="172"/>
      <c r="M38" s="172"/>
      <c r="N38" s="172"/>
      <c r="O38" s="172"/>
      <c r="P38" s="172"/>
      <c r="Q38" s="172"/>
      <c r="R38" s="172"/>
      <c r="S38" s="172"/>
      <c r="T38" s="172"/>
      <c r="U38" s="172"/>
      <c r="V38" s="172"/>
      <c r="W38" s="172"/>
      <c r="X38" s="172"/>
      <c r="Y38" s="172"/>
      <c r="Z38" s="172"/>
      <c r="AA38" s="172"/>
      <c r="AB38" s="172"/>
      <c r="AC38" s="172"/>
      <c r="AD38" s="172"/>
      <c r="AE38" s="172"/>
      <c r="AF38" s="172"/>
      <c r="AG38" s="172"/>
      <c r="AH38" s="172"/>
      <c r="AI38" s="172"/>
      <c r="AJ38" s="172"/>
      <c r="AK38" s="172"/>
      <c r="AL38" s="172"/>
      <c r="AM38" s="172"/>
      <c r="AN38" s="172"/>
      <c r="AO38" s="172"/>
      <c r="AP38" s="172"/>
      <c r="AQ38" s="172"/>
      <c r="AR38" s="172"/>
      <c r="AS38" s="172"/>
      <c r="AT38" s="172"/>
      <c r="AU38" s="172"/>
      <c r="AV38" s="172"/>
      <c r="AW38" s="172"/>
      <c r="AX38" s="172"/>
      <c r="AY38" s="172"/>
    </row>
    <row r="39" spans="2:53" x14ac:dyDescent="0.25">
      <c r="B39" s="191" t="s">
        <v>102</v>
      </c>
      <c r="C39" s="171" t="s">
        <v>103</v>
      </c>
      <c r="D39" s="172">
        <f t="shared" si="20"/>
        <v>0</v>
      </c>
      <c r="E39" s="173">
        <f t="shared" si="21"/>
        <v>0</v>
      </c>
      <c r="F39" s="174">
        <f t="shared" si="22"/>
        <v>0</v>
      </c>
      <c r="G39" s="172">
        <f>+K39+M39+O39+Q39+S39+U39+W39+Y39+AA39+AC39+AE39+AG39+AI39+AK39</f>
        <v>121740</v>
      </c>
      <c r="H39" s="173">
        <f>+AM39+AO39+AQ39+AU39+AW39+AY39+AS39</f>
        <v>0</v>
      </c>
      <c r="I39" s="174">
        <f t="shared" si="23"/>
        <v>121740</v>
      </c>
      <c r="J39" s="172"/>
      <c r="K39" s="172">
        <v>121740</v>
      </c>
      <c r="L39" s="172"/>
      <c r="M39" s="172"/>
      <c r="N39" s="172"/>
      <c r="O39" s="172"/>
      <c r="P39" s="172"/>
      <c r="Q39" s="172"/>
      <c r="R39" s="172"/>
      <c r="S39" s="172"/>
      <c r="T39" s="172"/>
      <c r="U39" s="172"/>
      <c r="V39" s="172"/>
      <c r="W39" s="172"/>
      <c r="X39" s="172"/>
      <c r="Y39" s="172"/>
      <c r="Z39" s="172"/>
      <c r="AA39" s="172"/>
      <c r="AB39" s="172"/>
      <c r="AC39" s="172"/>
      <c r="AD39" s="172"/>
      <c r="AE39" s="172"/>
      <c r="AF39" s="172"/>
      <c r="AG39" s="172"/>
      <c r="AH39" s="172"/>
      <c r="AI39" s="172"/>
      <c r="AJ39" s="172"/>
      <c r="AK39" s="172"/>
      <c r="AL39" s="172"/>
      <c r="AM39" s="172"/>
      <c r="AN39" s="172"/>
      <c r="AO39" s="172"/>
      <c r="AP39" s="172"/>
      <c r="AQ39" s="172"/>
      <c r="AR39" s="172"/>
      <c r="AS39" s="172"/>
      <c r="AT39" s="172"/>
      <c r="AU39" s="172"/>
      <c r="AV39" s="172"/>
      <c r="AW39" s="172"/>
      <c r="AX39" s="172"/>
      <c r="AY39" s="172"/>
    </row>
    <row r="40" spans="2:53" x14ac:dyDescent="0.25">
      <c r="B40" s="191" t="s">
        <v>104</v>
      </c>
      <c r="C40" s="171" t="s">
        <v>105</v>
      </c>
      <c r="D40" s="172">
        <f t="shared" si="20"/>
        <v>0</v>
      </c>
      <c r="E40" s="173">
        <f t="shared" si="21"/>
        <v>0</v>
      </c>
      <c r="F40" s="174">
        <f t="shared" si="22"/>
        <v>0</v>
      </c>
      <c r="G40" s="172">
        <f>+K40+M40+O40+Q40+S40+U40+W40+Y40+AA40+AC40+AE40+AG40+AI40+AK40</f>
        <v>5638345</v>
      </c>
      <c r="H40" s="173">
        <f>+AM40+AO40+AQ40+AU40+AW40+AY40+AS40</f>
        <v>0</v>
      </c>
      <c r="I40" s="174">
        <f t="shared" si="23"/>
        <v>5638345</v>
      </c>
      <c r="J40" s="172"/>
      <c r="K40" s="172"/>
      <c r="L40" s="172"/>
      <c r="M40" s="172"/>
      <c r="N40" s="172"/>
      <c r="O40" s="172">
        <v>632545</v>
      </c>
      <c r="P40" s="172"/>
      <c r="Q40" s="172"/>
      <c r="R40" s="172"/>
      <c r="S40" s="172"/>
      <c r="T40" s="172"/>
      <c r="U40" s="172"/>
      <c r="V40" s="172"/>
      <c r="W40" s="172"/>
      <c r="X40" s="172"/>
      <c r="Y40" s="172">
        <v>5005800</v>
      </c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  <c r="AK40" s="172"/>
      <c r="AL40" s="172"/>
      <c r="AM40" s="172"/>
      <c r="AN40" s="172"/>
      <c r="AO40" s="172"/>
      <c r="AP40" s="172"/>
      <c r="AQ40" s="172"/>
      <c r="AR40" s="172"/>
      <c r="AS40" s="172"/>
      <c r="AT40" s="172"/>
      <c r="AU40" s="172"/>
      <c r="AV40" s="172"/>
      <c r="AW40" s="172"/>
      <c r="AX40" s="172"/>
      <c r="AY40" s="172"/>
      <c r="BA40" s="384"/>
    </row>
    <row r="41" spans="2:53" s="177" customFormat="1" ht="12.75" x14ac:dyDescent="0.2">
      <c r="B41" s="192" t="s">
        <v>106</v>
      </c>
      <c r="C41" s="179" t="s">
        <v>107</v>
      </c>
      <c r="D41" s="180">
        <f t="shared" ref="D41:AI41" si="24">SUM(D34:D40)</f>
        <v>0</v>
      </c>
      <c r="E41" s="180">
        <f t="shared" si="24"/>
        <v>0</v>
      </c>
      <c r="F41" s="180">
        <f t="shared" si="24"/>
        <v>0</v>
      </c>
      <c r="G41" s="180">
        <f>SUM(G34:G40)</f>
        <v>29344085</v>
      </c>
      <c r="H41" s="180">
        <f>SUM(H34:H40)</f>
        <v>0</v>
      </c>
      <c r="I41" s="180">
        <f t="shared" si="24"/>
        <v>29344085</v>
      </c>
      <c r="J41" s="180">
        <f t="shared" si="24"/>
        <v>0</v>
      </c>
      <c r="K41" s="180">
        <f t="shared" si="24"/>
        <v>121740</v>
      </c>
      <c r="L41" s="180">
        <f t="shared" si="24"/>
        <v>0</v>
      </c>
      <c r="M41" s="180">
        <f t="shared" si="24"/>
        <v>0</v>
      </c>
      <c r="N41" s="180">
        <f t="shared" si="24"/>
        <v>0</v>
      </c>
      <c r="O41" s="180">
        <f t="shared" si="24"/>
        <v>5676545</v>
      </c>
      <c r="P41" s="180">
        <f t="shared" si="24"/>
        <v>0</v>
      </c>
      <c r="Q41" s="180">
        <f t="shared" si="24"/>
        <v>0</v>
      </c>
      <c r="R41" s="180">
        <f t="shared" si="24"/>
        <v>0</v>
      </c>
      <c r="S41" s="180">
        <f t="shared" si="24"/>
        <v>0</v>
      </c>
      <c r="T41" s="180">
        <f t="shared" si="24"/>
        <v>0</v>
      </c>
      <c r="U41" s="180">
        <f t="shared" si="24"/>
        <v>0</v>
      </c>
      <c r="V41" s="180">
        <f t="shared" si="24"/>
        <v>0</v>
      </c>
      <c r="W41" s="180">
        <f t="shared" si="24"/>
        <v>0</v>
      </c>
      <c r="X41" s="180">
        <f t="shared" si="24"/>
        <v>0</v>
      </c>
      <c r="Y41" s="180">
        <f t="shared" si="24"/>
        <v>23545800</v>
      </c>
      <c r="Z41" s="180">
        <f t="shared" si="24"/>
        <v>0</v>
      </c>
      <c r="AA41" s="180">
        <f t="shared" si="24"/>
        <v>0</v>
      </c>
      <c r="AB41" s="180">
        <f t="shared" si="24"/>
        <v>0</v>
      </c>
      <c r="AC41" s="180">
        <f t="shared" si="24"/>
        <v>0</v>
      </c>
      <c r="AD41" s="180">
        <f t="shared" si="24"/>
        <v>0</v>
      </c>
      <c r="AE41" s="180">
        <f t="shared" si="24"/>
        <v>0</v>
      </c>
      <c r="AF41" s="180">
        <f t="shared" si="24"/>
        <v>0</v>
      </c>
      <c r="AG41" s="180">
        <f t="shared" si="24"/>
        <v>0</v>
      </c>
      <c r="AH41" s="180">
        <f t="shared" si="24"/>
        <v>0</v>
      </c>
      <c r="AI41" s="180">
        <f t="shared" si="24"/>
        <v>0</v>
      </c>
      <c r="AJ41" s="180">
        <f t="shared" ref="AJ41:AY41" si="25">SUM(AJ34:AJ40)</f>
        <v>0</v>
      </c>
      <c r="AK41" s="180">
        <f t="shared" si="25"/>
        <v>0</v>
      </c>
      <c r="AL41" s="180">
        <f t="shared" si="25"/>
        <v>0</v>
      </c>
      <c r="AM41" s="180">
        <f t="shared" si="25"/>
        <v>0</v>
      </c>
      <c r="AN41" s="180">
        <f t="shared" si="25"/>
        <v>0</v>
      </c>
      <c r="AO41" s="180">
        <f t="shared" si="25"/>
        <v>0</v>
      </c>
      <c r="AP41" s="180">
        <f t="shared" si="25"/>
        <v>0</v>
      </c>
      <c r="AQ41" s="180">
        <f t="shared" si="25"/>
        <v>0</v>
      </c>
      <c r="AR41" s="180">
        <f t="shared" si="25"/>
        <v>0</v>
      </c>
      <c r="AS41" s="180">
        <f t="shared" si="25"/>
        <v>0</v>
      </c>
      <c r="AT41" s="180">
        <f t="shared" si="25"/>
        <v>0</v>
      </c>
      <c r="AU41" s="180">
        <f t="shared" si="25"/>
        <v>0</v>
      </c>
      <c r="AV41" s="180">
        <f t="shared" si="25"/>
        <v>0</v>
      </c>
      <c r="AW41" s="180">
        <f t="shared" si="25"/>
        <v>0</v>
      </c>
      <c r="AX41" s="180">
        <f t="shared" si="25"/>
        <v>0</v>
      </c>
      <c r="AY41" s="180">
        <f t="shared" si="25"/>
        <v>0</v>
      </c>
    </row>
    <row r="42" spans="2:53" x14ac:dyDescent="0.25">
      <c r="B42" s="193" t="s">
        <v>108</v>
      </c>
      <c r="C42" s="171" t="s">
        <v>109</v>
      </c>
      <c r="D42" s="172">
        <f>+J42+L42+N42+P42+R42+T42+V42+X42+Z42+AB42+AD42+AF42+AH42+AJ42</f>
        <v>0</v>
      </c>
      <c r="E42" s="173">
        <f>+AL42+AN42+AP42+AT42+AV42+AX42+AR42</f>
        <v>0</v>
      </c>
      <c r="F42" s="174">
        <f>+D42+E42</f>
        <v>0</v>
      </c>
      <c r="G42" s="172">
        <f>+K42+M42+O42+Q42+S42+U42+W42+Y42+AA42+AC42+AE42+AG42+AI42+AK42</f>
        <v>0</v>
      </c>
      <c r="H42" s="173">
        <f>+AM42+AO42+AQ42+AU42+AW42+AY42+AS42</f>
        <v>0</v>
      </c>
      <c r="I42" s="174">
        <f>+G42+H42</f>
        <v>0</v>
      </c>
      <c r="J42" s="172"/>
      <c r="K42" s="172"/>
      <c r="L42" s="172"/>
      <c r="M42" s="172"/>
      <c r="N42" s="172"/>
      <c r="O42" s="172"/>
      <c r="P42" s="172"/>
      <c r="Q42" s="172"/>
      <c r="R42" s="172"/>
      <c r="S42" s="172"/>
      <c r="T42" s="172"/>
      <c r="U42" s="172"/>
      <c r="V42" s="172"/>
      <c r="W42" s="172"/>
      <c r="X42" s="172"/>
      <c r="Y42" s="172"/>
      <c r="Z42" s="172"/>
      <c r="AA42" s="172"/>
      <c r="AB42" s="172"/>
      <c r="AC42" s="172"/>
      <c r="AD42" s="172"/>
      <c r="AE42" s="172"/>
      <c r="AF42" s="172"/>
      <c r="AG42" s="172"/>
      <c r="AH42" s="172"/>
      <c r="AI42" s="172"/>
      <c r="AJ42" s="172"/>
      <c r="AK42" s="172"/>
      <c r="AL42" s="172"/>
      <c r="AM42" s="172"/>
      <c r="AN42" s="172"/>
      <c r="AO42" s="172"/>
      <c r="AP42" s="172"/>
      <c r="AQ42" s="172"/>
      <c r="AR42" s="172"/>
      <c r="AS42" s="172"/>
      <c r="AT42" s="172"/>
      <c r="AU42" s="172"/>
      <c r="AV42" s="172"/>
      <c r="AW42" s="172"/>
      <c r="AX42" s="172"/>
      <c r="AY42" s="172"/>
      <c r="BA42" s="384"/>
    </row>
    <row r="43" spans="2:53" x14ac:dyDescent="0.25">
      <c r="B43" s="193" t="s">
        <v>110</v>
      </c>
      <c r="C43" s="171" t="s">
        <v>111</v>
      </c>
      <c r="D43" s="172">
        <f>+J43+L43+N43+P43+R43+T43+V43+X43+Z43+AB43+AD43+AF43+AH43+AJ43</f>
        <v>0</v>
      </c>
      <c r="E43" s="173">
        <f>+AL43+AN43+AP43+AT43+AV43+AX43+AR43</f>
        <v>0</v>
      </c>
      <c r="F43" s="174">
        <f>+D43+E43</f>
        <v>0</v>
      </c>
      <c r="G43" s="172">
        <f>+K43+M43+O43+Q43+S43+U43+W43+Y43+AA43+AC43+AE43+AG43+AI43+AK43</f>
        <v>0</v>
      </c>
      <c r="H43" s="173">
        <f>+AM43+AO43+AQ43+AU43+AW43+AY43+AS43</f>
        <v>0</v>
      </c>
      <c r="I43" s="174">
        <f>+G43+H43</f>
        <v>0</v>
      </c>
      <c r="J43" s="172"/>
      <c r="K43" s="172"/>
      <c r="L43" s="172"/>
      <c r="M43" s="172"/>
      <c r="N43" s="172"/>
      <c r="O43" s="172"/>
      <c r="P43" s="172"/>
      <c r="Q43" s="172"/>
      <c r="R43" s="172"/>
      <c r="S43" s="172"/>
      <c r="T43" s="172"/>
      <c r="U43" s="172"/>
      <c r="V43" s="172"/>
      <c r="W43" s="172"/>
      <c r="X43" s="172"/>
      <c r="Y43" s="172"/>
      <c r="Z43" s="172"/>
      <c r="AA43" s="172"/>
      <c r="AB43" s="172"/>
      <c r="AC43" s="172"/>
      <c r="AD43" s="172"/>
      <c r="AE43" s="172"/>
      <c r="AF43" s="172"/>
      <c r="AG43" s="172"/>
      <c r="AH43" s="172"/>
      <c r="AI43" s="172"/>
      <c r="AJ43" s="172"/>
      <c r="AK43" s="172"/>
      <c r="AL43" s="172"/>
      <c r="AM43" s="172"/>
      <c r="AN43" s="172"/>
      <c r="AO43" s="172"/>
      <c r="AP43" s="172"/>
      <c r="AQ43" s="172"/>
      <c r="AR43" s="172"/>
      <c r="AS43" s="172"/>
      <c r="AT43" s="172"/>
      <c r="AU43" s="172"/>
      <c r="AV43" s="172"/>
      <c r="AW43" s="172"/>
      <c r="AX43" s="172"/>
      <c r="AY43" s="172"/>
    </row>
    <row r="44" spans="2:53" x14ac:dyDescent="0.25">
      <c r="B44" s="193" t="s">
        <v>112</v>
      </c>
      <c r="C44" s="171" t="s">
        <v>113</v>
      </c>
      <c r="D44" s="172">
        <f>+J44+L44+N44+P44+R44+T44+V44+X44+Z44+AB44+AD44+AF44+AH44+AJ44</f>
        <v>20000000</v>
      </c>
      <c r="E44" s="173">
        <f>+AL44+AN44+AP44+AT44+AV44+AX44+AR44</f>
        <v>0</v>
      </c>
      <c r="F44" s="174">
        <f>+D44+E44</f>
        <v>20000000</v>
      </c>
      <c r="G44" s="172">
        <f>+K44+M44+O44+Q44+S44+U44+W44+Y44+AA44+AC44+AE44+AG44+AI44+AK44</f>
        <v>1460000</v>
      </c>
      <c r="H44" s="173">
        <f>+AM44+AO44+AQ44+AU44+AW44+AY44+AS44</f>
        <v>0</v>
      </c>
      <c r="I44" s="174">
        <f>+G44+H44</f>
        <v>1460000</v>
      </c>
      <c r="J44" s="172"/>
      <c r="K44" s="172"/>
      <c r="L44" s="172"/>
      <c r="M44" s="172"/>
      <c r="N44" s="172"/>
      <c r="O44" s="172"/>
      <c r="P44" s="172"/>
      <c r="Q44" s="172"/>
      <c r="R44" s="172"/>
      <c r="S44" s="172"/>
      <c r="T44" s="172"/>
      <c r="U44" s="172"/>
      <c r="V44" s="172"/>
      <c r="W44" s="172"/>
      <c r="X44" s="172">
        <v>20000000</v>
      </c>
      <c r="Y44" s="172">
        <v>1460000</v>
      </c>
      <c r="Z44" s="172"/>
      <c r="AA44" s="172"/>
      <c r="AB44" s="172"/>
      <c r="AC44" s="172"/>
      <c r="AD44" s="172"/>
      <c r="AE44" s="172"/>
      <c r="AF44" s="172"/>
      <c r="AG44" s="172"/>
      <c r="AH44" s="172"/>
      <c r="AI44" s="172"/>
      <c r="AJ44" s="172"/>
      <c r="AK44" s="172"/>
      <c r="AL44" s="172"/>
      <c r="AM44" s="172"/>
      <c r="AN44" s="172"/>
      <c r="AO44" s="172"/>
      <c r="AP44" s="172"/>
      <c r="AQ44" s="172"/>
      <c r="AR44" s="172"/>
      <c r="AS44" s="172"/>
      <c r="AT44" s="172"/>
      <c r="AU44" s="172"/>
      <c r="AV44" s="172"/>
      <c r="AW44" s="172"/>
      <c r="AX44" s="172"/>
      <c r="AY44" s="172"/>
    </row>
    <row r="45" spans="2:53" x14ac:dyDescent="0.25">
      <c r="B45" s="193" t="s">
        <v>114</v>
      </c>
      <c r="C45" s="171" t="s">
        <v>115</v>
      </c>
      <c r="D45" s="172">
        <f>+J45+L45+N45+P45+R45+T45+V45+X45+Z45+AB45+AD45+AF45+AH45+AJ45</f>
        <v>5400000</v>
      </c>
      <c r="E45" s="173">
        <f>+AL45+AN45+AP45+AT45+AV45+AX45+AR45</f>
        <v>0</v>
      </c>
      <c r="F45" s="174">
        <f>+D45+E45</f>
        <v>5400000</v>
      </c>
      <c r="G45" s="172">
        <f>+K45+M45+O45+Q45+S45+U45+W45+Y45+AA45+AC45+AE45+AG45+AI45+AK45</f>
        <v>394200</v>
      </c>
      <c r="H45" s="173">
        <f>+AM45+AO45+AQ45+AU45+AW45+AY45+AS45</f>
        <v>0</v>
      </c>
      <c r="I45" s="174">
        <f>+G45+H45</f>
        <v>394200</v>
      </c>
      <c r="J45" s="172"/>
      <c r="K45" s="172"/>
      <c r="L45" s="172"/>
      <c r="M45" s="172"/>
      <c r="N45" s="172"/>
      <c r="O45" s="172"/>
      <c r="P45" s="172"/>
      <c r="Q45" s="172"/>
      <c r="R45" s="172"/>
      <c r="S45" s="172"/>
      <c r="T45" s="172"/>
      <c r="U45" s="172"/>
      <c r="V45" s="172"/>
      <c r="W45" s="172"/>
      <c r="X45" s="172">
        <v>5400000</v>
      </c>
      <c r="Y45" s="172">
        <f>+Y44*0.27</f>
        <v>394200</v>
      </c>
      <c r="Z45" s="172"/>
      <c r="AA45" s="172"/>
      <c r="AB45" s="172"/>
      <c r="AC45" s="172"/>
      <c r="AD45" s="172"/>
      <c r="AE45" s="172"/>
      <c r="AF45" s="172"/>
      <c r="AG45" s="172"/>
      <c r="AH45" s="172"/>
      <c r="AI45" s="172"/>
      <c r="AJ45" s="172"/>
      <c r="AK45" s="172"/>
      <c r="AL45" s="172"/>
      <c r="AM45" s="172"/>
      <c r="AN45" s="172"/>
      <c r="AO45" s="172"/>
      <c r="AP45" s="172"/>
      <c r="AQ45" s="172"/>
      <c r="AR45" s="172"/>
      <c r="AS45" s="172"/>
      <c r="AT45" s="172"/>
      <c r="AU45" s="172"/>
      <c r="AV45" s="172"/>
      <c r="AW45" s="172"/>
      <c r="AX45" s="172"/>
      <c r="AY45" s="172"/>
      <c r="BA45" s="384"/>
    </row>
    <row r="46" spans="2:53" s="177" customFormat="1" ht="12.75" x14ac:dyDescent="0.2">
      <c r="B46" s="181" t="s">
        <v>116</v>
      </c>
      <c r="C46" s="179" t="s">
        <v>117</v>
      </c>
      <c r="D46" s="180">
        <f t="shared" ref="D46:AI46" si="26">SUM(D42:D45)</f>
        <v>25400000</v>
      </c>
      <c r="E46" s="180">
        <f t="shared" si="26"/>
        <v>0</v>
      </c>
      <c r="F46" s="180">
        <f t="shared" si="26"/>
        <v>25400000</v>
      </c>
      <c r="G46" s="180">
        <f>SUM(G42:G45)</f>
        <v>1854200</v>
      </c>
      <c r="H46" s="180">
        <f>SUM(H42:H45)</f>
        <v>0</v>
      </c>
      <c r="I46" s="180">
        <f t="shared" si="26"/>
        <v>1854200</v>
      </c>
      <c r="J46" s="180">
        <f t="shared" si="26"/>
        <v>0</v>
      </c>
      <c r="K46" s="180">
        <f t="shared" si="26"/>
        <v>0</v>
      </c>
      <c r="L46" s="180">
        <f t="shared" si="26"/>
        <v>0</v>
      </c>
      <c r="M46" s="180">
        <f t="shared" si="26"/>
        <v>0</v>
      </c>
      <c r="N46" s="180">
        <f t="shared" si="26"/>
        <v>0</v>
      </c>
      <c r="O46" s="180">
        <f t="shared" si="26"/>
        <v>0</v>
      </c>
      <c r="P46" s="180">
        <f t="shared" si="26"/>
        <v>0</v>
      </c>
      <c r="Q46" s="180">
        <f t="shared" si="26"/>
        <v>0</v>
      </c>
      <c r="R46" s="180">
        <f t="shared" si="26"/>
        <v>0</v>
      </c>
      <c r="S46" s="180">
        <f t="shared" si="26"/>
        <v>0</v>
      </c>
      <c r="T46" s="180">
        <f t="shared" si="26"/>
        <v>0</v>
      </c>
      <c r="U46" s="180">
        <f t="shared" si="26"/>
        <v>0</v>
      </c>
      <c r="V46" s="180">
        <f t="shared" si="26"/>
        <v>0</v>
      </c>
      <c r="W46" s="180">
        <f t="shared" si="26"/>
        <v>0</v>
      </c>
      <c r="X46" s="180">
        <f t="shared" si="26"/>
        <v>25400000</v>
      </c>
      <c r="Y46" s="180">
        <f t="shared" si="26"/>
        <v>1854200</v>
      </c>
      <c r="Z46" s="180">
        <f t="shared" si="26"/>
        <v>0</v>
      </c>
      <c r="AA46" s="180">
        <f t="shared" si="26"/>
        <v>0</v>
      </c>
      <c r="AB46" s="180">
        <f t="shared" si="26"/>
        <v>0</v>
      </c>
      <c r="AC46" s="180">
        <f t="shared" si="26"/>
        <v>0</v>
      </c>
      <c r="AD46" s="180">
        <f t="shared" si="26"/>
        <v>0</v>
      </c>
      <c r="AE46" s="180">
        <f t="shared" si="26"/>
        <v>0</v>
      </c>
      <c r="AF46" s="180">
        <f t="shared" si="26"/>
        <v>0</v>
      </c>
      <c r="AG46" s="180">
        <f t="shared" si="26"/>
        <v>0</v>
      </c>
      <c r="AH46" s="180">
        <f t="shared" si="26"/>
        <v>0</v>
      </c>
      <c r="AI46" s="180">
        <f t="shared" si="26"/>
        <v>0</v>
      </c>
      <c r="AJ46" s="180">
        <f t="shared" ref="AJ46:AY46" si="27">SUM(AJ42:AJ45)</f>
        <v>0</v>
      </c>
      <c r="AK46" s="180">
        <f t="shared" si="27"/>
        <v>0</v>
      </c>
      <c r="AL46" s="180">
        <f t="shared" si="27"/>
        <v>0</v>
      </c>
      <c r="AM46" s="180">
        <f t="shared" si="27"/>
        <v>0</v>
      </c>
      <c r="AN46" s="180">
        <f t="shared" si="27"/>
        <v>0</v>
      </c>
      <c r="AO46" s="180">
        <f t="shared" si="27"/>
        <v>0</v>
      </c>
      <c r="AP46" s="180">
        <f t="shared" si="27"/>
        <v>0</v>
      </c>
      <c r="AQ46" s="180">
        <f t="shared" si="27"/>
        <v>0</v>
      </c>
      <c r="AR46" s="180">
        <f t="shared" si="27"/>
        <v>0</v>
      </c>
      <c r="AS46" s="180">
        <f t="shared" si="27"/>
        <v>0</v>
      </c>
      <c r="AT46" s="180">
        <f t="shared" si="27"/>
        <v>0</v>
      </c>
      <c r="AU46" s="180">
        <f t="shared" si="27"/>
        <v>0</v>
      </c>
      <c r="AV46" s="180">
        <f t="shared" si="27"/>
        <v>0</v>
      </c>
      <c r="AW46" s="180">
        <f t="shared" si="27"/>
        <v>0</v>
      </c>
      <c r="AX46" s="180">
        <f t="shared" si="27"/>
        <v>0</v>
      </c>
      <c r="AY46" s="180">
        <f t="shared" si="27"/>
        <v>0</v>
      </c>
    </row>
    <row r="47" spans="2:53" hidden="1" x14ac:dyDescent="0.25">
      <c r="B47" s="193" t="s">
        <v>597</v>
      </c>
      <c r="C47" s="171" t="s">
        <v>119</v>
      </c>
      <c r="D47" s="172">
        <f t="shared" ref="D47:D55" si="28">+J47+L47+N47+P47+R47+T47+V47+X47+Z47+AB47+AD47+AF47+AH47+AJ47</f>
        <v>0</v>
      </c>
      <c r="E47" s="173">
        <f t="shared" ref="E47:E55" si="29">+AL47+AN47+AP47+AT47+AV47+AX47+AR47</f>
        <v>0</v>
      </c>
      <c r="F47" s="174">
        <f t="shared" ref="F47:F55" si="30">+D47+E47</f>
        <v>0</v>
      </c>
      <c r="G47" s="172">
        <f t="shared" ref="G47:G55" si="31">+M47+O47+Q47+S47+U47+W47+Y47+AA47+AC47+AE47+AG47+AI47+AK47+AM47</f>
        <v>0</v>
      </c>
      <c r="H47" s="173">
        <f t="shared" ref="H47:H55" si="32">+AO47+AQ47+AS47+AW47+AY47+BA47+AU47</f>
        <v>0</v>
      </c>
      <c r="I47" s="174">
        <f t="shared" ref="I47:I55" si="33">+G47+H47</f>
        <v>0</v>
      </c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2"/>
      <c r="AG47" s="172"/>
      <c r="AH47" s="172"/>
      <c r="AI47" s="172"/>
      <c r="AJ47" s="172"/>
      <c r="AK47" s="172"/>
      <c r="AL47" s="172"/>
      <c r="AM47" s="172"/>
      <c r="AN47" s="172"/>
      <c r="AO47" s="172"/>
      <c r="AP47" s="172"/>
      <c r="AQ47" s="172"/>
      <c r="AR47" s="172"/>
      <c r="AS47" s="172"/>
      <c r="AT47" s="172"/>
      <c r="AU47" s="172"/>
      <c r="AV47" s="172"/>
      <c r="AW47" s="172"/>
      <c r="AX47" s="172"/>
      <c r="AY47" s="172"/>
    </row>
    <row r="48" spans="2:53" hidden="1" x14ac:dyDescent="0.25">
      <c r="B48" s="193" t="s">
        <v>598</v>
      </c>
      <c r="C48" s="171" t="s">
        <v>121</v>
      </c>
      <c r="D48" s="172">
        <f t="shared" si="28"/>
        <v>0</v>
      </c>
      <c r="E48" s="173">
        <f t="shared" si="29"/>
        <v>0</v>
      </c>
      <c r="F48" s="174">
        <f t="shared" si="30"/>
        <v>0</v>
      </c>
      <c r="G48" s="172">
        <f t="shared" si="31"/>
        <v>0</v>
      </c>
      <c r="H48" s="173">
        <f t="shared" si="32"/>
        <v>0</v>
      </c>
      <c r="I48" s="174">
        <f t="shared" si="33"/>
        <v>0</v>
      </c>
      <c r="J48" s="172"/>
      <c r="K48" s="172"/>
      <c r="L48" s="172"/>
      <c r="M48" s="172"/>
      <c r="N48" s="172"/>
      <c r="O48" s="172"/>
      <c r="P48" s="172"/>
      <c r="Q48" s="172"/>
      <c r="R48" s="172"/>
      <c r="S48" s="172"/>
      <c r="T48" s="172"/>
      <c r="U48" s="172"/>
      <c r="V48" s="172"/>
      <c r="W48" s="172"/>
      <c r="X48" s="172"/>
      <c r="Y48" s="172"/>
      <c r="Z48" s="172"/>
      <c r="AA48" s="172"/>
      <c r="AB48" s="172"/>
      <c r="AC48" s="172"/>
      <c r="AD48" s="172"/>
      <c r="AE48" s="172"/>
      <c r="AF48" s="172"/>
      <c r="AG48" s="172"/>
      <c r="AH48" s="172"/>
      <c r="AI48" s="172"/>
      <c r="AJ48" s="172"/>
      <c r="AK48" s="172"/>
      <c r="AL48" s="172"/>
      <c r="AM48" s="172"/>
      <c r="AN48" s="172"/>
      <c r="AO48" s="172"/>
      <c r="AP48" s="172"/>
      <c r="AQ48" s="172"/>
      <c r="AR48" s="172"/>
      <c r="AS48" s="172"/>
      <c r="AT48" s="172"/>
      <c r="AU48" s="172"/>
      <c r="AV48" s="172"/>
      <c r="AW48" s="172"/>
      <c r="AX48" s="172"/>
      <c r="AY48" s="172"/>
    </row>
    <row r="49" spans="2:51" ht="15.75" hidden="1" customHeight="1" x14ac:dyDescent="0.25">
      <c r="B49" s="193" t="s">
        <v>599</v>
      </c>
      <c r="C49" s="171" t="s">
        <v>123</v>
      </c>
      <c r="D49" s="172">
        <f t="shared" si="28"/>
        <v>0</v>
      </c>
      <c r="E49" s="173">
        <f t="shared" si="29"/>
        <v>0</v>
      </c>
      <c r="F49" s="174">
        <f t="shared" si="30"/>
        <v>0</v>
      </c>
      <c r="G49" s="172">
        <f t="shared" si="31"/>
        <v>0</v>
      </c>
      <c r="H49" s="173">
        <f t="shared" si="32"/>
        <v>0</v>
      </c>
      <c r="I49" s="174">
        <f t="shared" si="33"/>
        <v>0</v>
      </c>
      <c r="J49" s="172"/>
      <c r="K49" s="172"/>
      <c r="L49" s="172"/>
      <c r="M49" s="172"/>
      <c r="N49" s="172"/>
      <c r="O49" s="172"/>
      <c r="P49" s="172"/>
      <c r="Q49" s="172"/>
      <c r="R49" s="172"/>
      <c r="S49" s="172"/>
      <c r="T49" s="172"/>
      <c r="U49" s="172"/>
      <c r="V49" s="172"/>
      <c r="W49" s="172"/>
      <c r="X49" s="172"/>
      <c r="Y49" s="172"/>
      <c r="Z49" s="172"/>
      <c r="AA49" s="172"/>
      <c r="AB49" s="172"/>
      <c r="AC49" s="172"/>
      <c r="AD49" s="172"/>
      <c r="AE49" s="172"/>
      <c r="AF49" s="172"/>
      <c r="AG49" s="172"/>
      <c r="AH49" s="172"/>
      <c r="AI49" s="172"/>
      <c r="AJ49" s="172"/>
      <c r="AK49" s="172"/>
      <c r="AL49" s="172"/>
      <c r="AM49" s="172"/>
      <c r="AN49" s="172"/>
      <c r="AO49" s="172"/>
      <c r="AP49" s="172"/>
      <c r="AQ49" s="172"/>
      <c r="AR49" s="172"/>
      <c r="AS49" s="172"/>
      <c r="AT49" s="172"/>
      <c r="AU49" s="172"/>
      <c r="AV49" s="172"/>
      <c r="AW49" s="172"/>
      <c r="AX49" s="172"/>
      <c r="AY49" s="172"/>
    </row>
    <row r="50" spans="2:51" hidden="1" x14ac:dyDescent="0.25">
      <c r="B50" s="193" t="s">
        <v>124</v>
      </c>
      <c r="C50" s="171" t="s">
        <v>125</v>
      </c>
      <c r="D50" s="172">
        <f t="shared" si="28"/>
        <v>0</v>
      </c>
      <c r="E50" s="173">
        <f t="shared" si="29"/>
        <v>0</v>
      </c>
      <c r="F50" s="174">
        <f t="shared" si="30"/>
        <v>0</v>
      </c>
      <c r="G50" s="172">
        <f t="shared" si="31"/>
        <v>0</v>
      </c>
      <c r="H50" s="173">
        <f t="shared" si="32"/>
        <v>0</v>
      </c>
      <c r="I50" s="174">
        <f t="shared" si="33"/>
        <v>0</v>
      </c>
      <c r="J50" s="172"/>
      <c r="K50" s="172"/>
      <c r="L50" s="172"/>
      <c r="M50" s="172"/>
      <c r="N50" s="172"/>
      <c r="O50" s="172"/>
      <c r="P50" s="172"/>
      <c r="Q50" s="172"/>
      <c r="R50" s="172"/>
      <c r="S50" s="172"/>
      <c r="T50" s="172"/>
      <c r="U50" s="172"/>
      <c r="V50" s="172"/>
      <c r="W50" s="172"/>
      <c r="X50" s="172"/>
      <c r="Y50" s="172"/>
      <c r="Z50" s="172"/>
      <c r="AA50" s="172"/>
      <c r="AB50" s="172"/>
      <c r="AC50" s="172"/>
      <c r="AD50" s="172"/>
      <c r="AE50" s="172"/>
      <c r="AF50" s="172"/>
      <c r="AG50" s="172"/>
      <c r="AH50" s="172"/>
      <c r="AI50" s="172"/>
      <c r="AJ50" s="172"/>
      <c r="AK50" s="172"/>
      <c r="AL50" s="172"/>
      <c r="AM50" s="172"/>
      <c r="AN50" s="172"/>
      <c r="AO50" s="172"/>
      <c r="AP50" s="172"/>
      <c r="AQ50" s="172"/>
      <c r="AR50" s="172"/>
      <c r="AS50" s="172"/>
      <c r="AT50" s="172"/>
      <c r="AU50" s="172"/>
      <c r="AV50" s="172"/>
      <c r="AW50" s="172"/>
      <c r="AX50" s="172"/>
      <c r="AY50" s="172"/>
    </row>
    <row r="51" spans="2:51" ht="15" hidden="1" customHeight="1" x14ac:dyDescent="0.25">
      <c r="B51" s="193" t="s">
        <v>600</v>
      </c>
      <c r="C51" s="171" t="s">
        <v>127</v>
      </c>
      <c r="D51" s="172">
        <f t="shared" si="28"/>
        <v>0</v>
      </c>
      <c r="E51" s="173">
        <f t="shared" si="29"/>
        <v>0</v>
      </c>
      <c r="F51" s="174">
        <f t="shared" si="30"/>
        <v>0</v>
      </c>
      <c r="G51" s="172">
        <f t="shared" si="31"/>
        <v>0</v>
      </c>
      <c r="H51" s="173">
        <f t="shared" si="32"/>
        <v>0</v>
      </c>
      <c r="I51" s="174">
        <f t="shared" si="33"/>
        <v>0</v>
      </c>
      <c r="J51" s="172"/>
      <c r="K51" s="172"/>
      <c r="L51" s="172"/>
      <c r="M51" s="172"/>
      <c r="N51" s="172"/>
      <c r="O51" s="172"/>
      <c r="P51" s="172"/>
      <c r="Q51" s="172"/>
      <c r="R51" s="172"/>
      <c r="S51" s="172"/>
      <c r="T51" s="172"/>
      <c r="U51" s="172"/>
      <c r="V51" s="172"/>
      <c r="W51" s="172"/>
      <c r="X51" s="172"/>
      <c r="Y51" s="172"/>
      <c r="Z51" s="172"/>
      <c r="AA51" s="172"/>
      <c r="AB51" s="172"/>
      <c r="AC51" s="172"/>
      <c r="AD51" s="172"/>
      <c r="AE51" s="172"/>
      <c r="AF51" s="172"/>
      <c r="AG51" s="172"/>
      <c r="AH51" s="172"/>
      <c r="AI51" s="172"/>
      <c r="AJ51" s="172"/>
      <c r="AK51" s="172"/>
      <c r="AL51" s="172"/>
      <c r="AM51" s="172"/>
      <c r="AN51" s="172"/>
      <c r="AO51" s="172"/>
      <c r="AP51" s="172"/>
      <c r="AQ51" s="172"/>
      <c r="AR51" s="172"/>
      <c r="AS51" s="172"/>
      <c r="AT51" s="172"/>
      <c r="AU51" s="172"/>
      <c r="AV51" s="172"/>
      <c r="AW51" s="172"/>
      <c r="AX51" s="172"/>
      <c r="AY51" s="172"/>
    </row>
    <row r="52" spans="2:51" hidden="1" x14ac:dyDescent="0.25">
      <c r="B52" s="193" t="s">
        <v>601</v>
      </c>
      <c r="C52" s="171" t="s">
        <v>129</v>
      </c>
      <c r="D52" s="172">
        <f t="shared" si="28"/>
        <v>0</v>
      </c>
      <c r="E52" s="173">
        <f t="shared" si="29"/>
        <v>0</v>
      </c>
      <c r="F52" s="174">
        <f t="shared" si="30"/>
        <v>0</v>
      </c>
      <c r="G52" s="172">
        <f t="shared" si="31"/>
        <v>0</v>
      </c>
      <c r="H52" s="173">
        <f t="shared" si="32"/>
        <v>0</v>
      </c>
      <c r="I52" s="174">
        <f t="shared" si="33"/>
        <v>0</v>
      </c>
      <c r="J52" s="172"/>
      <c r="K52" s="172"/>
      <c r="L52" s="172"/>
      <c r="M52" s="172"/>
      <c r="N52" s="172"/>
      <c r="O52" s="172"/>
      <c r="P52" s="172"/>
      <c r="Q52" s="172"/>
      <c r="R52" s="172"/>
      <c r="S52" s="172"/>
      <c r="T52" s="172"/>
      <c r="U52" s="172"/>
      <c r="V52" s="172"/>
      <c r="W52" s="172"/>
      <c r="X52" s="172"/>
      <c r="Y52" s="172"/>
      <c r="Z52" s="172"/>
      <c r="AA52" s="172"/>
      <c r="AB52" s="172"/>
      <c r="AC52" s="172"/>
      <c r="AD52" s="172"/>
      <c r="AE52" s="172"/>
      <c r="AF52" s="172"/>
      <c r="AG52" s="172"/>
      <c r="AH52" s="172"/>
      <c r="AI52" s="172"/>
      <c r="AJ52" s="172"/>
      <c r="AK52" s="172"/>
      <c r="AL52" s="172"/>
      <c r="AM52" s="172"/>
      <c r="AN52" s="172"/>
      <c r="AO52" s="172"/>
      <c r="AP52" s="172"/>
      <c r="AQ52" s="172"/>
      <c r="AR52" s="172"/>
      <c r="AS52" s="172"/>
      <c r="AT52" s="172"/>
      <c r="AU52" s="172"/>
      <c r="AV52" s="172"/>
      <c r="AW52" s="172"/>
      <c r="AX52" s="172"/>
      <c r="AY52" s="172"/>
    </row>
    <row r="53" spans="2:51" hidden="1" x14ac:dyDescent="0.25">
      <c r="B53" s="193" t="s">
        <v>130</v>
      </c>
      <c r="C53" s="171" t="s">
        <v>131</v>
      </c>
      <c r="D53" s="172">
        <f t="shared" si="28"/>
        <v>0</v>
      </c>
      <c r="E53" s="173">
        <f t="shared" si="29"/>
        <v>0</v>
      </c>
      <c r="F53" s="174">
        <f t="shared" si="30"/>
        <v>0</v>
      </c>
      <c r="G53" s="172">
        <f t="shared" si="31"/>
        <v>0</v>
      </c>
      <c r="H53" s="173">
        <f t="shared" si="32"/>
        <v>0</v>
      </c>
      <c r="I53" s="174">
        <f t="shared" si="33"/>
        <v>0</v>
      </c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U53" s="172"/>
      <c r="V53" s="172"/>
      <c r="W53" s="172"/>
      <c r="X53" s="172"/>
      <c r="Y53" s="172"/>
      <c r="Z53" s="172"/>
      <c r="AA53" s="172"/>
      <c r="AB53" s="172"/>
      <c r="AC53" s="172"/>
      <c r="AD53" s="172"/>
      <c r="AE53" s="172"/>
      <c r="AF53" s="172"/>
      <c r="AG53" s="172"/>
      <c r="AH53" s="172"/>
      <c r="AI53" s="172"/>
      <c r="AJ53" s="172"/>
      <c r="AK53" s="172"/>
      <c r="AL53" s="172"/>
      <c r="AM53" s="172"/>
      <c r="AN53" s="172"/>
      <c r="AO53" s="172"/>
      <c r="AP53" s="172"/>
      <c r="AQ53" s="172"/>
      <c r="AR53" s="172"/>
      <c r="AS53" s="172"/>
      <c r="AT53" s="172"/>
      <c r="AU53" s="172"/>
      <c r="AV53" s="172"/>
      <c r="AW53" s="172"/>
      <c r="AX53" s="172"/>
      <c r="AY53" s="172"/>
    </row>
    <row r="54" spans="2:51" hidden="1" x14ac:dyDescent="0.25">
      <c r="B54" s="193" t="s">
        <v>132</v>
      </c>
      <c r="C54" s="171" t="s">
        <v>133</v>
      </c>
      <c r="D54" s="172">
        <f t="shared" si="28"/>
        <v>0</v>
      </c>
      <c r="E54" s="173">
        <f t="shared" si="29"/>
        <v>0</v>
      </c>
      <c r="F54" s="174">
        <f t="shared" si="30"/>
        <v>0</v>
      </c>
      <c r="G54" s="172">
        <f t="shared" si="31"/>
        <v>0</v>
      </c>
      <c r="H54" s="173">
        <f t="shared" si="32"/>
        <v>0</v>
      </c>
      <c r="I54" s="174">
        <f t="shared" si="33"/>
        <v>0</v>
      </c>
      <c r="J54" s="172"/>
      <c r="K54" s="172"/>
      <c r="L54" s="172"/>
      <c r="M54" s="172"/>
      <c r="N54" s="172"/>
      <c r="O54" s="172"/>
      <c r="P54" s="172"/>
      <c r="Q54" s="172"/>
      <c r="R54" s="172"/>
      <c r="S54" s="172"/>
      <c r="T54" s="172"/>
      <c r="U54" s="172"/>
      <c r="V54" s="172"/>
      <c r="W54" s="172"/>
      <c r="X54" s="172"/>
      <c r="Y54" s="172"/>
      <c r="Z54" s="172"/>
      <c r="AA54" s="172"/>
      <c r="AB54" s="172"/>
      <c r="AC54" s="172"/>
      <c r="AD54" s="172"/>
      <c r="AE54" s="172"/>
      <c r="AF54" s="172"/>
      <c r="AG54" s="172"/>
      <c r="AH54" s="172"/>
      <c r="AI54" s="172"/>
      <c r="AJ54" s="172"/>
      <c r="AK54" s="172"/>
      <c r="AL54" s="172"/>
      <c r="AM54" s="172"/>
      <c r="AN54" s="172"/>
      <c r="AO54" s="172"/>
      <c r="AP54" s="172"/>
      <c r="AQ54" s="172"/>
      <c r="AR54" s="172"/>
      <c r="AS54" s="172"/>
      <c r="AT54" s="172"/>
      <c r="AU54" s="172"/>
      <c r="AV54" s="172"/>
      <c r="AW54" s="172"/>
      <c r="AX54" s="172"/>
      <c r="AY54" s="172"/>
    </row>
    <row r="55" spans="2:51" hidden="1" x14ac:dyDescent="0.25">
      <c r="B55" s="193" t="s">
        <v>134</v>
      </c>
      <c r="C55" s="171" t="s">
        <v>135</v>
      </c>
      <c r="D55" s="172">
        <f t="shared" si="28"/>
        <v>0</v>
      </c>
      <c r="E55" s="173">
        <f t="shared" si="29"/>
        <v>0</v>
      </c>
      <c r="F55" s="174">
        <f t="shared" si="30"/>
        <v>0</v>
      </c>
      <c r="G55" s="172">
        <f t="shared" si="31"/>
        <v>0</v>
      </c>
      <c r="H55" s="173">
        <f t="shared" si="32"/>
        <v>0</v>
      </c>
      <c r="I55" s="174">
        <f t="shared" si="33"/>
        <v>0</v>
      </c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2"/>
      <c r="X55" s="172"/>
      <c r="Y55" s="172"/>
      <c r="Z55" s="172"/>
      <c r="AA55" s="172"/>
      <c r="AB55" s="172"/>
      <c r="AC55" s="172"/>
      <c r="AD55" s="172"/>
      <c r="AE55" s="172"/>
      <c r="AF55" s="172"/>
      <c r="AG55" s="172"/>
      <c r="AH55" s="172"/>
      <c r="AI55" s="172"/>
      <c r="AJ55" s="172"/>
      <c r="AK55" s="172"/>
      <c r="AL55" s="172"/>
      <c r="AM55" s="172"/>
      <c r="AN55" s="172"/>
      <c r="AO55" s="172"/>
      <c r="AP55" s="172"/>
      <c r="AQ55" s="172">
        <v>0</v>
      </c>
      <c r="AR55" s="172"/>
      <c r="AS55" s="172"/>
      <c r="AT55" s="172"/>
      <c r="AU55" s="172"/>
      <c r="AV55" s="172"/>
      <c r="AW55" s="172"/>
      <c r="AX55" s="172"/>
      <c r="AY55" s="172"/>
    </row>
    <row r="56" spans="2:51" s="177" customFormat="1" ht="12.75" x14ac:dyDescent="0.2">
      <c r="B56" s="184" t="s">
        <v>136</v>
      </c>
      <c r="C56" s="179" t="s">
        <v>137</v>
      </c>
      <c r="D56" s="180">
        <f t="shared" ref="D56:AI56" si="34">SUM(D47:D55)</f>
        <v>0</v>
      </c>
      <c r="E56" s="180">
        <f t="shared" si="34"/>
        <v>0</v>
      </c>
      <c r="F56" s="180">
        <f t="shared" si="34"/>
        <v>0</v>
      </c>
      <c r="G56" s="180">
        <f>SUM(G47:G55)</f>
        <v>0</v>
      </c>
      <c r="H56" s="180">
        <f>SUM(H47:H55)</f>
        <v>0</v>
      </c>
      <c r="I56" s="180">
        <f t="shared" si="34"/>
        <v>0</v>
      </c>
      <c r="J56" s="180">
        <f t="shared" si="34"/>
        <v>0</v>
      </c>
      <c r="K56" s="180">
        <f t="shared" si="34"/>
        <v>0</v>
      </c>
      <c r="L56" s="180">
        <f t="shared" si="34"/>
        <v>0</v>
      </c>
      <c r="M56" s="180">
        <f t="shared" si="34"/>
        <v>0</v>
      </c>
      <c r="N56" s="180">
        <f t="shared" si="34"/>
        <v>0</v>
      </c>
      <c r="O56" s="180">
        <f t="shared" si="34"/>
        <v>0</v>
      </c>
      <c r="P56" s="180">
        <f t="shared" si="34"/>
        <v>0</v>
      </c>
      <c r="Q56" s="180">
        <f t="shared" si="34"/>
        <v>0</v>
      </c>
      <c r="R56" s="180">
        <f t="shared" si="34"/>
        <v>0</v>
      </c>
      <c r="S56" s="180">
        <f t="shared" si="34"/>
        <v>0</v>
      </c>
      <c r="T56" s="180">
        <f t="shared" si="34"/>
        <v>0</v>
      </c>
      <c r="U56" s="180">
        <f t="shared" si="34"/>
        <v>0</v>
      </c>
      <c r="V56" s="180">
        <f t="shared" si="34"/>
        <v>0</v>
      </c>
      <c r="W56" s="180">
        <f t="shared" si="34"/>
        <v>0</v>
      </c>
      <c r="X56" s="180">
        <f t="shared" si="34"/>
        <v>0</v>
      </c>
      <c r="Y56" s="180">
        <f t="shared" si="34"/>
        <v>0</v>
      </c>
      <c r="Z56" s="180">
        <f t="shared" si="34"/>
        <v>0</v>
      </c>
      <c r="AA56" s="180">
        <f t="shared" si="34"/>
        <v>0</v>
      </c>
      <c r="AB56" s="180">
        <f t="shared" si="34"/>
        <v>0</v>
      </c>
      <c r="AC56" s="180">
        <f t="shared" si="34"/>
        <v>0</v>
      </c>
      <c r="AD56" s="180">
        <f t="shared" si="34"/>
        <v>0</v>
      </c>
      <c r="AE56" s="180">
        <f t="shared" si="34"/>
        <v>0</v>
      </c>
      <c r="AF56" s="180">
        <f t="shared" si="34"/>
        <v>0</v>
      </c>
      <c r="AG56" s="180">
        <f t="shared" si="34"/>
        <v>0</v>
      </c>
      <c r="AH56" s="180">
        <f t="shared" si="34"/>
        <v>0</v>
      </c>
      <c r="AI56" s="180">
        <f t="shared" si="34"/>
        <v>0</v>
      </c>
      <c r="AJ56" s="180">
        <f t="shared" ref="AJ56:AY56" si="35">SUM(AJ47:AJ55)</f>
        <v>0</v>
      </c>
      <c r="AK56" s="180">
        <f t="shared" si="35"/>
        <v>0</v>
      </c>
      <c r="AL56" s="180">
        <f t="shared" si="35"/>
        <v>0</v>
      </c>
      <c r="AM56" s="180">
        <f t="shared" si="35"/>
        <v>0</v>
      </c>
      <c r="AN56" s="180">
        <f t="shared" si="35"/>
        <v>0</v>
      </c>
      <c r="AO56" s="180">
        <f t="shared" si="35"/>
        <v>0</v>
      </c>
      <c r="AP56" s="180">
        <f t="shared" si="35"/>
        <v>0</v>
      </c>
      <c r="AQ56" s="180">
        <f t="shared" si="35"/>
        <v>0</v>
      </c>
      <c r="AR56" s="180">
        <f t="shared" si="35"/>
        <v>0</v>
      </c>
      <c r="AS56" s="180">
        <f t="shared" si="35"/>
        <v>0</v>
      </c>
      <c r="AT56" s="180">
        <f t="shared" si="35"/>
        <v>0</v>
      </c>
      <c r="AU56" s="180">
        <f t="shared" si="35"/>
        <v>0</v>
      </c>
      <c r="AV56" s="180">
        <f t="shared" si="35"/>
        <v>0</v>
      </c>
      <c r="AW56" s="180">
        <f t="shared" si="35"/>
        <v>0</v>
      </c>
      <c r="AX56" s="180">
        <f t="shared" si="35"/>
        <v>0</v>
      </c>
      <c r="AY56" s="180">
        <f t="shared" si="35"/>
        <v>0</v>
      </c>
    </row>
    <row r="57" spans="2:51" x14ac:dyDescent="0.25">
      <c r="B57" s="187" t="s">
        <v>138</v>
      </c>
      <c r="C57" s="188" t="s">
        <v>139</v>
      </c>
      <c r="D57" s="189">
        <f t="shared" ref="D57:AI57" si="36">+D56+D46+D41</f>
        <v>25400000</v>
      </c>
      <c r="E57" s="189">
        <f t="shared" si="36"/>
        <v>0</v>
      </c>
      <c r="F57" s="189">
        <f t="shared" si="36"/>
        <v>25400000</v>
      </c>
      <c r="G57" s="189">
        <f>+G56+G46+G41</f>
        <v>31198285</v>
      </c>
      <c r="H57" s="189">
        <f>+H56+H46+H41</f>
        <v>0</v>
      </c>
      <c r="I57" s="189">
        <f t="shared" si="36"/>
        <v>31198285</v>
      </c>
      <c r="J57" s="189">
        <f t="shared" si="36"/>
        <v>0</v>
      </c>
      <c r="K57" s="189">
        <f t="shared" si="36"/>
        <v>121740</v>
      </c>
      <c r="L57" s="189">
        <f t="shared" si="36"/>
        <v>0</v>
      </c>
      <c r="M57" s="189">
        <f t="shared" si="36"/>
        <v>0</v>
      </c>
      <c r="N57" s="189">
        <f t="shared" si="36"/>
        <v>0</v>
      </c>
      <c r="O57" s="189">
        <f t="shared" si="36"/>
        <v>5676545</v>
      </c>
      <c r="P57" s="189">
        <f t="shared" si="36"/>
        <v>0</v>
      </c>
      <c r="Q57" s="189">
        <f t="shared" si="36"/>
        <v>0</v>
      </c>
      <c r="R57" s="189">
        <f t="shared" si="36"/>
        <v>0</v>
      </c>
      <c r="S57" s="189">
        <f t="shared" si="36"/>
        <v>0</v>
      </c>
      <c r="T57" s="189">
        <f t="shared" si="36"/>
        <v>0</v>
      </c>
      <c r="U57" s="189">
        <f t="shared" si="36"/>
        <v>0</v>
      </c>
      <c r="V57" s="189">
        <f t="shared" si="36"/>
        <v>0</v>
      </c>
      <c r="W57" s="189">
        <f t="shared" si="36"/>
        <v>0</v>
      </c>
      <c r="X57" s="189">
        <f t="shared" si="36"/>
        <v>25400000</v>
      </c>
      <c r="Y57" s="189">
        <f t="shared" si="36"/>
        <v>25400000</v>
      </c>
      <c r="Z57" s="189">
        <f t="shared" si="36"/>
        <v>0</v>
      </c>
      <c r="AA57" s="189">
        <f t="shared" si="36"/>
        <v>0</v>
      </c>
      <c r="AB57" s="189">
        <f t="shared" si="36"/>
        <v>0</v>
      </c>
      <c r="AC57" s="189">
        <f t="shared" si="36"/>
        <v>0</v>
      </c>
      <c r="AD57" s="189">
        <f t="shared" si="36"/>
        <v>0</v>
      </c>
      <c r="AE57" s="189">
        <f t="shared" si="36"/>
        <v>0</v>
      </c>
      <c r="AF57" s="189">
        <f t="shared" si="36"/>
        <v>0</v>
      </c>
      <c r="AG57" s="189">
        <f t="shared" si="36"/>
        <v>0</v>
      </c>
      <c r="AH57" s="189">
        <f t="shared" si="36"/>
        <v>0</v>
      </c>
      <c r="AI57" s="189">
        <f t="shared" si="36"/>
        <v>0</v>
      </c>
      <c r="AJ57" s="189">
        <f t="shared" ref="AJ57:AY57" si="37">+AJ56+AJ46+AJ41</f>
        <v>0</v>
      </c>
      <c r="AK57" s="189">
        <f t="shared" si="37"/>
        <v>0</v>
      </c>
      <c r="AL57" s="189">
        <f t="shared" si="37"/>
        <v>0</v>
      </c>
      <c r="AM57" s="189">
        <f t="shared" si="37"/>
        <v>0</v>
      </c>
      <c r="AN57" s="189">
        <f t="shared" si="37"/>
        <v>0</v>
      </c>
      <c r="AO57" s="189">
        <f t="shared" si="37"/>
        <v>0</v>
      </c>
      <c r="AP57" s="189">
        <f t="shared" si="37"/>
        <v>0</v>
      </c>
      <c r="AQ57" s="189">
        <f t="shared" si="37"/>
        <v>0</v>
      </c>
      <c r="AR57" s="189">
        <f t="shared" si="37"/>
        <v>0</v>
      </c>
      <c r="AS57" s="189">
        <f t="shared" si="37"/>
        <v>0</v>
      </c>
      <c r="AT57" s="189">
        <f t="shared" si="37"/>
        <v>0</v>
      </c>
      <c r="AU57" s="189">
        <f t="shared" si="37"/>
        <v>0</v>
      </c>
      <c r="AV57" s="189">
        <f t="shared" si="37"/>
        <v>0</v>
      </c>
      <c r="AW57" s="189">
        <f t="shared" si="37"/>
        <v>0</v>
      </c>
      <c r="AX57" s="189">
        <f t="shared" si="37"/>
        <v>0</v>
      </c>
      <c r="AY57" s="189">
        <f t="shared" si="37"/>
        <v>0</v>
      </c>
    </row>
    <row r="58" spans="2:51" x14ac:dyDescent="0.25">
      <c r="B58" s="194" t="s">
        <v>140</v>
      </c>
      <c r="C58" s="195" t="s">
        <v>141</v>
      </c>
      <c r="D58" s="196">
        <f t="shared" ref="D58:AI58" si="38">+D56+D46+D41+D32+D17+D16+D10+D9</f>
        <v>277054331</v>
      </c>
      <c r="E58" s="196">
        <f t="shared" si="38"/>
        <v>36450000</v>
      </c>
      <c r="F58" s="196">
        <f t="shared" si="38"/>
        <v>313504331</v>
      </c>
      <c r="G58" s="196">
        <f>+G56+G46+G41+G32+G17+G16+G10+G9</f>
        <v>332685177</v>
      </c>
      <c r="H58" s="196">
        <f>+H56+H46+H41+H32+H17+H16+H10+H9</f>
        <v>40873584</v>
      </c>
      <c r="I58" s="196">
        <f t="shared" si="38"/>
        <v>373558761</v>
      </c>
      <c r="J58" s="196">
        <f t="shared" si="38"/>
        <v>92999831</v>
      </c>
      <c r="K58" s="196">
        <f t="shared" si="38"/>
        <v>96948477</v>
      </c>
      <c r="L58" s="196">
        <f t="shared" si="38"/>
        <v>12500000</v>
      </c>
      <c r="M58" s="196">
        <f t="shared" si="38"/>
        <v>12500000</v>
      </c>
      <c r="N58" s="196">
        <f t="shared" si="38"/>
        <v>6500000</v>
      </c>
      <c r="O58" s="196">
        <f t="shared" si="38"/>
        <v>6500000</v>
      </c>
      <c r="P58" s="196">
        <f t="shared" si="38"/>
        <v>0</v>
      </c>
      <c r="Q58" s="196">
        <f t="shared" si="38"/>
        <v>0</v>
      </c>
      <c r="R58" s="196">
        <f t="shared" si="38"/>
        <v>21844000</v>
      </c>
      <c r="S58" s="196">
        <f t="shared" si="38"/>
        <v>21844000</v>
      </c>
      <c r="T58" s="196">
        <f t="shared" si="38"/>
        <v>10859000</v>
      </c>
      <c r="U58" s="196">
        <f t="shared" si="38"/>
        <v>10859000</v>
      </c>
      <c r="V58" s="196">
        <f t="shared" si="38"/>
        <v>8128000</v>
      </c>
      <c r="W58" s="196">
        <f t="shared" si="38"/>
        <v>8128000</v>
      </c>
      <c r="X58" s="196">
        <f t="shared" si="38"/>
        <v>54956500</v>
      </c>
      <c r="Y58" s="196">
        <f t="shared" si="38"/>
        <v>106638700</v>
      </c>
      <c r="Z58" s="196">
        <f t="shared" si="38"/>
        <v>24321000</v>
      </c>
      <c r="AA58" s="196">
        <f t="shared" si="38"/>
        <v>24321000</v>
      </c>
      <c r="AB58" s="196">
        <f t="shared" si="38"/>
        <v>39459000</v>
      </c>
      <c r="AC58" s="196">
        <f t="shared" si="38"/>
        <v>39459000</v>
      </c>
      <c r="AD58" s="196">
        <f t="shared" si="38"/>
        <v>2131000</v>
      </c>
      <c r="AE58" s="196">
        <f t="shared" si="38"/>
        <v>2131000</v>
      </c>
      <c r="AF58" s="196">
        <f t="shared" si="38"/>
        <v>711000</v>
      </c>
      <c r="AG58" s="196">
        <f t="shared" si="38"/>
        <v>711000</v>
      </c>
      <c r="AH58" s="196">
        <f t="shared" si="38"/>
        <v>495000</v>
      </c>
      <c r="AI58" s="196">
        <f t="shared" si="38"/>
        <v>495000</v>
      </c>
      <c r="AJ58" s="196">
        <f t="shared" ref="AJ58:AY58" si="39">+AJ56+AJ46+AJ41+AJ32+AJ17+AJ16+AJ10+AJ9</f>
        <v>2150000</v>
      </c>
      <c r="AK58" s="196">
        <f t="shared" si="39"/>
        <v>2150000</v>
      </c>
      <c r="AL58" s="196">
        <f t="shared" si="39"/>
        <v>12000000</v>
      </c>
      <c r="AM58" s="196">
        <f t="shared" si="39"/>
        <v>12000000</v>
      </c>
      <c r="AN58" s="196">
        <f t="shared" si="39"/>
        <v>0</v>
      </c>
      <c r="AO58" s="196">
        <f t="shared" si="39"/>
        <v>0</v>
      </c>
      <c r="AP58" s="196">
        <f t="shared" si="39"/>
        <v>19200000</v>
      </c>
      <c r="AQ58" s="196">
        <f t="shared" si="39"/>
        <v>21850000</v>
      </c>
      <c r="AR58" s="196">
        <f t="shared" si="39"/>
        <v>0</v>
      </c>
      <c r="AS58" s="196">
        <f t="shared" si="39"/>
        <v>0</v>
      </c>
      <c r="AT58" s="196">
        <f t="shared" si="39"/>
        <v>2000000</v>
      </c>
      <c r="AU58" s="196">
        <f t="shared" si="39"/>
        <v>2000000</v>
      </c>
      <c r="AV58" s="196">
        <f t="shared" si="39"/>
        <v>2800000</v>
      </c>
      <c r="AW58" s="196">
        <f t="shared" si="39"/>
        <v>4573584</v>
      </c>
      <c r="AX58" s="196">
        <f t="shared" si="39"/>
        <v>450000</v>
      </c>
      <c r="AY58" s="196">
        <f t="shared" si="39"/>
        <v>450000</v>
      </c>
    </row>
    <row r="59" spans="2:51" hidden="1" x14ac:dyDescent="0.25">
      <c r="B59" s="197" t="s">
        <v>602</v>
      </c>
      <c r="C59" s="176" t="s">
        <v>167</v>
      </c>
      <c r="D59" s="172">
        <f>+J59+L59+N59+P59+R59+T59+V59+X59+Z59+AB59+AD59+AF59+AH59+AJ59</f>
        <v>0</v>
      </c>
      <c r="E59" s="173">
        <f>+AL59+AN59+AP59+AT59+AV59+AX59+AR59</f>
        <v>0</v>
      </c>
      <c r="F59" s="174">
        <f>+D59+E59</f>
        <v>0</v>
      </c>
      <c r="G59" s="172">
        <f>+M59+O59+Q59+S59+U59+W59+Y59+AA59+AC59+AE59+AG59+AI59+AK59+AM59</f>
        <v>0</v>
      </c>
      <c r="H59" s="173">
        <f>+AO59+AQ59+AS59+AW59+AY59+BA59+AU59</f>
        <v>0</v>
      </c>
      <c r="I59" s="174">
        <f>+G59+H59</f>
        <v>0</v>
      </c>
      <c r="J59" s="198"/>
      <c r="K59" s="198"/>
      <c r="L59" s="198"/>
      <c r="M59" s="198"/>
      <c r="N59" s="198"/>
      <c r="O59" s="198"/>
      <c r="P59" s="198"/>
      <c r="Q59" s="198"/>
      <c r="R59" s="198"/>
      <c r="S59" s="198"/>
      <c r="T59" s="198"/>
      <c r="U59" s="198"/>
      <c r="V59" s="198"/>
      <c r="W59" s="198"/>
      <c r="X59" s="198"/>
      <c r="Y59" s="198"/>
      <c r="Z59" s="198"/>
      <c r="AA59" s="198"/>
      <c r="AB59" s="198"/>
      <c r="AC59" s="198"/>
      <c r="AD59" s="198"/>
      <c r="AE59" s="198"/>
      <c r="AF59" s="198"/>
      <c r="AG59" s="198"/>
      <c r="AH59" s="198"/>
      <c r="AI59" s="198"/>
      <c r="AJ59" s="198"/>
      <c r="AK59" s="198"/>
      <c r="AL59" s="198"/>
      <c r="AM59" s="198"/>
      <c r="AN59" s="198"/>
      <c r="AO59" s="198"/>
      <c r="AP59" s="198"/>
      <c r="AQ59" s="198"/>
      <c r="AR59" s="198"/>
      <c r="AS59" s="198"/>
      <c r="AT59" s="198"/>
      <c r="AU59" s="198"/>
      <c r="AV59" s="198"/>
      <c r="AW59" s="198"/>
      <c r="AX59" s="198"/>
      <c r="AY59" s="198"/>
    </row>
    <row r="60" spans="2:51" hidden="1" x14ac:dyDescent="0.25">
      <c r="B60" s="197" t="s">
        <v>168</v>
      </c>
      <c r="C60" s="176" t="s">
        <v>169</v>
      </c>
      <c r="D60" s="172">
        <f>+J60+L60+N60+P60+R60+T60+V60+X60+Z60+AB60+AD60+AF60+AH60+AJ60</f>
        <v>0</v>
      </c>
      <c r="E60" s="173">
        <f>+AL60+AN60+AP60+AT60+AV60+AX60+AR60</f>
        <v>0</v>
      </c>
      <c r="F60" s="174">
        <f>+D60+E60</f>
        <v>0</v>
      </c>
      <c r="G60" s="172">
        <f>+M60+O60+Q60+S60+U60+W60+Y60+AA60+AC60+AE60+AG60+AI60+AK60+AM60</f>
        <v>0</v>
      </c>
      <c r="H60" s="173">
        <f>+AO60+AQ60+AS60+AW60+AY60+BA60+AU60</f>
        <v>0</v>
      </c>
      <c r="I60" s="174">
        <f>+G60+H60</f>
        <v>0</v>
      </c>
      <c r="J60" s="198"/>
      <c r="K60" s="198"/>
      <c r="L60" s="198"/>
      <c r="M60" s="198"/>
      <c r="N60" s="198"/>
      <c r="O60" s="198"/>
      <c r="P60" s="198"/>
      <c r="Q60" s="198"/>
      <c r="R60" s="198"/>
      <c r="S60" s="198"/>
      <c r="T60" s="198"/>
      <c r="U60" s="198"/>
      <c r="V60" s="198"/>
      <c r="W60" s="198"/>
      <c r="X60" s="198"/>
      <c r="Y60" s="198"/>
      <c r="Z60" s="198"/>
      <c r="AA60" s="198"/>
      <c r="AB60" s="198"/>
      <c r="AC60" s="198"/>
      <c r="AD60" s="198"/>
      <c r="AE60" s="198"/>
      <c r="AF60" s="198"/>
      <c r="AG60" s="198"/>
      <c r="AH60" s="198"/>
      <c r="AI60" s="198"/>
      <c r="AJ60" s="198"/>
      <c r="AK60" s="198"/>
      <c r="AL60" s="198"/>
      <c r="AM60" s="198"/>
      <c r="AN60" s="198"/>
      <c r="AO60" s="198"/>
      <c r="AP60" s="198"/>
      <c r="AQ60" s="198"/>
      <c r="AR60" s="198"/>
      <c r="AS60" s="198"/>
      <c r="AT60" s="198"/>
      <c r="AU60" s="198"/>
      <c r="AV60" s="198"/>
      <c r="AW60" s="198"/>
      <c r="AX60" s="198"/>
      <c r="AY60" s="198"/>
    </row>
    <row r="61" spans="2:51" hidden="1" x14ac:dyDescent="0.25">
      <c r="B61" s="193" t="s">
        <v>170</v>
      </c>
      <c r="C61" s="176" t="s">
        <v>171</v>
      </c>
      <c r="D61" s="172">
        <f>+J61+L61+N61+P61+R61+T61+V61+X61+Z61+AB61+AD61+AF61+AH61+AJ61</f>
        <v>0</v>
      </c>
      <c r="E61" s="173">
        <f>+AL61+AN61+AP61+AT61+AV61+AX61+AR61</f>
        <v>0</v>
      </c>
      <c r="F61" s="174">
        <f>+D61+E61</f>
        <v>0</v>
      </c>
      <c r="G61" s="172">
        <f>+M61+O61+Q61+S61+U61+W61+Y61+AA61+AC61+AE61+AG61+AI61+AK61+AM61</f>
        <v>0</v>
      </c>
      <c r="H61" s="173">
        <f>+AO61+AQ61+AS61+AW61+AY61+BA61+AU61</f>
        <v>0</v>
      </c>
      <c r="I61" s="174">
        <f>+G61+H61</f>
        <v>0</v>
      </c>
      <c r="J61" s="199"/>
      <c r="K61" s="199"/>
      <c r="L61" s="199"/>
      <c r="M61" s="199"/>
      <c r="N61" s="199"/>
      <c r="O61" s="199"/>
      <c r="P61" s="199"/>
      <c r="Q61" s="199"/>
      <c r="R61" s="199"/>
      <c r="S61" s="199"/>
      <c r="T61" s="199"/>
      <c r="U61" s="199"/>
      <c r="V61" s="199"/>
      <c r="W61" s="199"/>
      <c r="X61" s="199"/>
      <c r="Y61" s="199"/>
      <c r="Z61" s="199"/>
      <c r="AA61" s="199"/>
      <c r="AB61" s="199"/>
      <c r="AC61" s="199"/>
      <c r="AD61" s="199"/>
      <c r="AE61" s="199"/>
      <c r="AF61" s="199"/>
      <c r="AG61" s="199"/>
      <c r="AH61" s="199"/>
      <c r="AI61" s="199"/>
      <c r="AJ61" s="199"/>
      <c r="AK61" s="199"/>
      <c r="AL61" s="199"/>
      <c r="AM61" s="199"/>
      <c r="AN61" s="199"/>
      <c r="AO61" s="199"/>
      <c r="AP61" s="199"/>
      <c r="AQ61" s="199"/>
      <c r="AR61" s="199"/>
      <c r="AS61" s="199"/>
      <c r="AT61" s="199"/>
      <c r="AU61" s="199"/>
      <c r="AV61" s="199"/>
      <c r="AW61" s="199"/>
      <c r="AX61" s="199"/>
      <c r="AY61" s="199"/>
    </row>
    <row r="62" spans="2:51" hidden="1" x14ac:dyDescent="0.25">
      <c r="B62" s="193" t="s">
        <v>172</v>
      </c>
      <c r="C62" s="176" t="s">
        <v>173</v>
      </c>
      <c r="D62" s="172">
        <f>+J62+L62+N62+P62+R62+T62+V62+X62+Z62+AB62+AD62+AF62+AH62+AJ62</f>
        <v>0</v>
      </c>
      <c r="E62" s="173">
        <f>+AL62+AN62+AP62+AT62+AV62+AX62+AR62</f>
        <v>0</v>
      </c>
      <c r="F62" s="174">
        <f>+D62+E62</f>
        <v>0</v>
      </c>
      <c r="G62" s="172">
        <f>+M62+O62+Q62+S62+U62+W62+Y62+AA62+AC62+AE62+AG62+AI62+AK62+AM62</f>
        <v>0</v>
      </c>
      <c r="H62" s="173">
        <f>+AO62+AQ62+AS62+AW62+AY62+BA62+AU62</f>
        <v>0</v>
      </c>
      <c r="I62" s="174">
        <f>+G62+H62</f>
        <v>0</v>
      </c>
      <c r="J62" s="199"/>
      <c r="K62" s="199"/>
      <c r="L62" s="199"/>
      <c r="M62" s="199"/>
      <c r="N62" s="199"/>
      <c r="O62" s="199"/>
      <c r="P62" s="199"/>
      <c r="Q62" s="199"/>
      <c r="R62" s="199"/>
      <c r="S62" s="199"/>
      <c r="T62" s="199"/>
      <c r="U62" s="199"/>
      <c r="V62" s="199"/>
      <c r="W62" s="199"/>
      <c r="X62" s="199"/>
      <c r="Y62" s="199"/>
      <c r="Z62" s="199"/>
      <c r="AA62" s="199"/>
      <c r="AB62" s="199"/>
      <c r="AC62" s="199"/>
      <c r="AD62" s="199"/>
      <c r="AE62" s="199"/>
      <c r="AF62" s="199"/>
      <c r="AG62" s="199"/>
      <c r="AH62" s="199"/>
      <c r="AI62" s="199"/>
      <c r="AJ62" s="199"/>
      <c r="AK62" s="199"/>
      <c r="AL62" s="199"/>
      <c r="AM62" s="199"/>
      <c r="AN62" s="199"/>
      <c r="AO62" s="199"/>
      <c r="AP62" s="199"/>
      <c r="AQ62" s="199"/>
      <c r="AR62" s="199"/>
      <c r="AS62" s="199"/>
      <c r="AT62" s="199"/>
      <c r="AU62" s="199"/>
      <c r="AV62" s="199"/>
      <c r="AW62" s="199"/>
      <c r="AX62" s="199"/>
      <c r="AY62" s="199"/>
    </row>
    <row r="63" spans="2:51" x14ac:dyDescent="0.25">
      <c r="B63" s="200" t="s">
        <v>174</v>
      </c>
      <c r="C63" s="201" t="s">
        <v>175</v>
      </c>
      <c r="D63" s="202">
        <f t="shared" ref="D63:I63" si="40">+D61+D60+D59+D62</f>
        <v>0</v>
      </c>
      <c r="E63" s="202">
        <f t="shared" si="40"/>
        <v>0</v>
      </c>
      <c r="F63" s="202">
        <f t="shared" si="40"/>
        <v>0</v>
      </c>
      <c r="G63" s="202">
        <f>+G61+G60+G59+G62</f>
        <v>0</v>
      </c>
      <c r="H63" s="202">
        <f>+H61+H60+H59+H62</f>
        <v>0</v>
      </c>
      <c r="I63" s="202">
        <f t="shared" si="40"/>
        <v>0</v>
      </c>
      <c r="J63" s="202">
        <f t="shared" ref="J63:AY63" si="41">+J61+J60+J59</f>
        <v>0</v>
      </c>
      <c r="K63" s="202">
        <f t="shared" si="41"/>
        <v>0</v>
      </c>
      <c r="L63" s="202">
        <f t="shared" si="41"/>
        <v>0</v>
      </c>
      <c r="M63" s="202">
        <f t="shared" si="41"/>
        <v>0</v>
      </c>
      <c r="N63" s="202">
        <f t="shared" si="41"/>
        <v>0</v>
      </c>
      <c r="O63" s="202">
        <f t="shared" si="41"/>
        <v>0</v>
      </c>
      <c r="P63" s="202">
        <f t="shared" si="41"/>
        <v>0</v>
      </c>
      <c r="Q63" s="202">
        <f t="shared" si="41"/>
        <v>0</v>
      </c>
      <c r="R63" s="202">
        <f t="shared" si="41"/>
        <v>0</v>
      </c>
      <c r="S63" s="202">
        <f t="shared" si="41"/>
        <v>0</v>
      </c>
      <c r="T63" s="202">
        <f t="shared" si="41"/>
        <v>0</v>
      </c>
      <c r="U63" s="202">
        <f t="shared" si="41"/>
        <v>0</v>
      </c>
      <c r="V63" s="202">
        <f t="shared" si="41"/>
        <v>0</v>
      </c>
      <c r="W63" s="202">
        <f t="shared" si="41"/>
        <v>0</v>
      </c>
      <c r="X63" s="202">
        <f t="shared" si="41"/>
        <v>0</v>
      </c>
      <c r="Y63" s="202">
        <f t="shared" si="41"/>
        <v>0</v>
      </c>
      <c r="Z63" s="202">
        <f t="shared" si="41"/>
        <v>0</v>
      </c>
      <c r="AA63" s="202">
        <f t="shared" si="41"/>
        <v>0</v>
      </c>
      <c r="AB63" s="202">
        <f t="shared" si="41"/>
        <v>0</v>
      </c>
      <c r="AC63" s="202">
        <f t="shared" si="41"/>
        <v>0</v>
      </c>
      <c r="AD63" s="202">
        <f t="shared" si="41"/>
        <v>0</v>
      </c>
      <c r="AE63" s="202">
        <f t="shared" si="41"/>
        <v>0</v>
      </c>
      <c r="AF63" s="202">
        <f t="shared" si="41"/>
        <v>0</v>
      </c>
      <c r="AG63" s="202">
        <f t="shared" si="41"/>
        <v>0</v>
      </c>
      <c r="AH63" s="202">
        <f t="shared" si="41"/>
        <v>0</v>
      </c>
      <c r="AI63" s="202">
        <f t="shared" si="41"/>
        <v>0</v>
      </c>
      <c r="AJ63" s="202">
        <f t="shared" si="41"/>
        <v>0</v>
      </c>
      <c r="AK63" s="202">
        <f t="shared" si="41"/>
        <v>0</v>
      </c>
      <c r="AL63" s="202">
        <f t="shared" si="41"/>
        <v>0</v>
      </c>
      <c r="AM63" s="202">
        <f t="shared" si="41"/>
        <v>0</v>
      </c>
      <c r="AN63" s="202">
        <f t="shared" si="41"/>
        <v>0</v>
      </c>
      <c r="AO63" s="202">
        <f t="shared" si="41"/>
        <v>0</v>
      </c>
      <c r="AP63" s="202">
        <f t="shared" si="41"/>
        <v>0</v>
      </c>
      <c r="AQ63" s="202">
        <f t="shared" si="41"/>
        <v>0</v>
      </c>
      <c r="AR63" s="202">
        <f t="shared" si="41"/>
        <v>0</v>
      </c>
      <c r="AS63" s="202">
        <f t="shared" si="41"/>
        <v>0</v>
      </c>
      <c r="AT63" s="202">
        <f t="shared" si="41"/>
        <v>0</v>
      </c>
      <c r="AU63" s="202">
        <f t="shared" si="41"/>
        <v>0</v>
      </c>
      <c r="AV63" s="202">
        <f t="shared" si="41"/>
        <v>0</v>
      </c>
      <c r="AW63" s="202">
        <f t="shared" si="41"/>
        <v>0</v>
      </c>
      <c r="AX63" s="202">
        <f t="shared" si="41"/>
        <v>0</v>
      </c>
      <c r="AY63" s="202">
        <f t="shared" si="41"/>
        <v>0</v>
      </c>
    </row>
    <row r="64" spans="2:51" x14ac:dyDescent="0.25">
      <c r="B64" s="203" t="s">
        <v>176</v>
      </c>
      <c r="C64" s="203" t="s">
        <v>177</v>
      </c>
      <c r="D64" s="204">
        <f t="shared" ref="D64:AI64" si="42">+D58+D63</f>
        <v>277054331</v>
      </c>
      <c r="E64" s="204">
        <f t="shared" si="42"/>
        <v>36450000</v>
      </c>
      <c r="F64" s="204">
        <f t="shared" si="42"/>
        <v>313504331</v>
      </c>
      <c r="G64" s="204">
        <f t="shared" si="42"/>
        <v>332685177</v>
      </c>
      <c r="H64" s="204">
        <f t="shared" si="42"/>
        <v>40873584</v>
      </c>
      <c r="I64" s="204">
        <f t="shared" si="42"/>
        <v>373558761</v>
      </c>
      <c r="J64" s="204">
        <f t="shared" si="42"/>
        <v>92999831</v>
      </c>
      <c r="K64" s="204">
        <f t="shared" si="42"/>
        <v>96948477</v>
      </c>
      <c r="L64" s="204">
        <f t="shared" si="42"/>
        <v>12500000</v>
      </c>
      <c r="M64" s="204">
        <f t="shared" si="42"/>
        <v>12500000</v>
      </c>
      <c r="N64" s="204">
        <f t="shared" si="42"/>
        <v>6500000</v>
      </c>
      <c r="O64" s="204">
        <f t="shared" si="42"/>
        <v>6500000</v>
      </c>
      <c r="P64" s="204">
        <f t="shared" si="42"/>
        <v>0</v>
      </c>
      <c r="Q64" s="204">
        <f t="shared" si="42"/>
        <v>0</v>
      </c>
      <c r="R64" s="204">
        <f t="shared" si="42"/>
        <v>21844000</v>
      </c>
      <c r="S64" s="204">
        <f t="shared" si="42"/>
        <v>21844000</v>
      </c>
      <c r="T64" s="204">
        <f t="shared" si="42"/>
        <v>10859000</v>
      </c>
      <c r="U64" s="204">
        <f t="shared" si="42"/>
        <v>10859000</v>
      </c>
      <c r="V64" s="204">
        <f t="shared" si="42"/>
        <v>8128000</v>
      </c>
      <c r="W64" s="204">
        <f t="shared" si="42"/>
        <v>8128000</v>
      </c>
      <c r="X64" s="204">
        <f t="shared" si="42"/>
        <v>54956500</v>
      </c>
      <c r="Y64" s="204">
        <f t="shared" si="42"/>
        <v>106638700</v>
      </c>
      <c r="Z64" s="204">
        <f t="shared" si="42"/>
        <v>24321000</v>
      </c>
      <c r="AA64" s="204">
        <f t="shared" si="42"/>
        <v>24321000</v>
      </c>
      <c r="AB64" s="204">
        <f t="shared" si="42"/>
        <v>39459000</v>
      </c>
      <c r="AC64" s="204">
        <f t="shared" si="42"/>
        <v>39459000</v>
      </c>
      <c r="AD64" s="204">
        <f t="shared" si="42"/>
        <v>2131000</v>
      </c>
      <c r="AE64" s="204">
        <f t="shared" si="42"/>
        <v>2131000</v>
      </c>
      <c r="AF64" s="204">
        <f t="shared" si="42"/>
        <v>711000</v>
      </c>
      <c r="AG64" s="204">
        <f t="shared" si="42"/>
        <v>711000</v>
      </c>
      <c r="AH64" s="204">
        <f t="shared" si="42"/>
        <v>495000</v>
      </c>
      <c r="AI64" s="204">
        <f t="shared" si="42"/>
        <v>495000</v>
      </c>
      <c r="AJ64" s="204">
        <f t="shared" ref="AJ64:AY64" si="43">+AJ58+AJ63</f>
        <v>2150000</v>
      </c>
      <c r="AK64" s="204">
        <f t="shared" si="43"/>
        <v>2150000</v>
      </c>
      <c r="AL64" s="204">
        <f t="shared" si="43"/>
        <v>12000000</v>
      </c>
      <c r="AM64" s="204">
        <f t="shared" si="43"/>
        <v>12000000</v>
      </c>
      <c r="AN64" s="204">
        <f t="shared" si="43"/>
        <v>0</v>
      </c>
      <c r="AO64" s="204">
        <f t="shared" si="43"/>
        <v>0</v>
      </c>
      <c r="AP64" s="204">
        <f t="shared" si="43"/>
        <v>19200000</v>
      </c>
      <c r="AQ64" s="204">
        <f t="shared" si="43"/>
        <v>21850000</v>
      </c>
      <c r="AR64" s="204">
        <f t="shared" si="43"/>
        <v>0</v>
      </c>
      <c r="AS64" s="204">
        <f t="shared" si="43"/>
        <v>0</v>
      </c>
      <c r="AT64" s="204">
        <f t="shared" si="43"/>
        <v>2000000</v>
      </c>
      <c r="AU64" s="204">
        <f t="shared" si="43"/>
        <v>2000000</v>
      </c>
      <c r="AV64" s="204">
        <f t="shared" si="43"/>
        <v>2800000</v>
      </c>
      <c r="AW64" s="204">
        <f t="shared" si="43"/>
        <v>4573584</v>
      </c>
      <c r="AX64" s="204">
        <f t="shared" si="43"/>
        <v>450000</v>
      </c>
      <c r="AY64" s="204">
        <f t="shared" si="43"/>
        <v>450000</v>
      </c>
    </row>
    <row r="65" spans="2:53" s="159" customFormat="1" ht="12.75" x14ac:dyDescent="0.2">
      <c r="B65" s="205"/>
      <c r="C65" s="205"/>
      <c r="D65" s="206"/>
      <c r="E65" s="206"/>
      <c r="F65" s="206"/>
      <c r="G65" s="206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206"/>
      <c r="V65" s="206"/>
      <c r="W65" s="206"/>
      <c r="X65" s="206"/>
      <c r="Y65" s="206"/>
      <c r="Z65" s="206"/>
      <c r="AA65" s="206"/>
      <c r="AB65" s="206"/>
      <c r="AC65" s="206"/>
      <c r="AD65" s="206"/>
      <c r="AE65" s="206"/>
      <c r="AF65" s="206"/>
      <c r="AG65" s="206"/>
      <c r="AH65" s="206"/>
      <c r="AI65" s="206"/>
      <c r="AJ65" s="206"/>
      <c r="AK65" s="206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06"/>
      <c r="AW65" s="206"/>
      <c r="AX65" s="206"/>
      <c r="AY65" s="206"/>
    </row>
    <row r="66" spans="2:53" s="165" customFormat="1" ht="13.5" customHeight="1" x14ac:dyDescent="0.2">
      <c r="B66" s="166"/>
      <c r="J66" s="501"/>
      <c r="K66" s="501"/>
      <c r="L66" s="501"/>
      <c r="M66" s="501"/>
      <c r="N66" s="501"/>
      <c r="R66" s="159"/>
      <c r="S66" s="159"/>
      <c r="T66" s="159"/>
      <c r="U66" s="159"/>
      <c r="V66" s="159"/>
      <c r="W66" s="159"/>
      <c r="Z66" s="159"/>
      <c r="AA66" s="159"/>
      <c r="AB66" s="159"/>
      <c r="AC66" s="159"/>
      <c r="AD66" s="159"/>
      <c r="AE66" s="159"/>
      <c r="AH66" s="159"/>
      <c r="AI66" s="159"/>
      <c r="AJ66" s="159"/>
      <c r="AK66" s="159"/>
      <c r="AL66" s="501"/>
      <c r="AM66" s="501"/>
      <c r="AN66" s="501"/>
      <c r="AP66" s="501"/>
      <c r="AQ66" s="501"/>
      <c r="AR66" s="501"/>
      <c r="AS66" s="501"/>
      <c r="AT66" s="501"/>
      <c r="AU66" s="501"/>
      <c r="AV66" s="501"/>
      <c r="AW66" s="501"/>
      <c r="AX66" s="501"/>
      <c r="AZ66" s="159"/>
    </row>
    <row r="67" spans="2:53" s="168" customFormat="1" ht="94.15" customHeight="1" x14ac:dyDescent="0.25">
      <c r="B67" s="149" t="s">
        <v>12</v>
      </c>
      <c r="C67" s="150" t="s">
        <v>38</v>
      </c>
      <c r="D67" s="169" t="s">
        <v>567</v>
      </c>
      <c r="E67" s="169" t="s">
        <v>568</v>
      </c>
      <c r="F67" s="150" t="s">
        <v>569</v>
      </c>
      <c r="G67" s="169" t="s">
        <v>567</v>
      </c>
      <c r="H67" s="169" t="s">
        <v>568</v>
      </c>
      <c r="I67" s="150" t="s">
        <v>569</v>
      </c>
      <c r="J67" s="496" t="s">
        <v>570</v>
      </c>
      <c r="K67" s="496"/>
      <c r="L67" s="496" t="s">
        <v>571</v>
      </c>
      <c r="M67" s="496"/>
      <c r="N67" s="496" t="s">
        <v>572</v>
      </c>
      <c r="O67" s="496"/>
      <c r="P67" s="496" t="s">
        <v>573</v>
      </c>
      <c r="Q67" s="496"/>
      <c r="R67" s="496" t="s">
        <v>574</v>
      </c>
      <c r="S67" s="496"/>
      <c r="T67" s="496" t="s">
        <v>575</v>
      </c>
      <c r="U67" s="496"/>
      <c r="V67" s="496" t="s">
        <v>576</v>
      </c>
      <c r="W67" s="496"/>
      <c r="X67" s="496" t="s">
        <v>577</v>
      </c>
      <c r="Y67" s="496"/>
      <c r="Z67" s="496" t="s">
        <v>578</v>
      </c>
      <c r="AA67" s="496"/>
      <c r="AB67" s="496" t="s">
        <v>579</v>
      </c>
      <c r="AC67" s="496"/>
      <c r="AD67" s="496" t="s">
        <v>580</v>
      </c>
      <c r="AE67" s="496"/>
      <c r="AF67" s="496" t="s">
        <v>581</v>
      </c>
      <c r="AG67" s="496"/>
      <c r="AH67" s="496" t="s">
        <v>582</v>
      </c>
      <c r="AI67" s="496"/>
      <c r="AJ67" s="496" t="s">
        <v>583</v>
      </c>
      <c r="AK67" s="496"/>
      <c r="AL67" s="496" t="s">
        <v>584</v>
      </c>
      <c r="AM67" s="496"/>
      <c r="AN67" s="496" t="s">
        <v>585</v>
      </c>
      <c r="AO67" s="496"/>
      <c r="AP67" s="496" t="s">
        <v>586</v>
      </c>
      <c r="AQ67" s="496"/>
      <c r="AR67" s="496" t="s">
        <v>587</v>
      </c>
      <c r="AS67" s="496"/>
      <c r="AT67" s="496" t="s">
        <v>588</v>
      </c>
      <c r="AU67" s="496"/>
      <c r="AV67" s="496" t="s">
        <v>589</v>
      </c>
      <c r="AW67" s="496"/>
      <c r="AX67" s="496" t="s">
        <v>590</v>
      </c>
      <c r="AY67" s="496"/>
    </row>
    <row r="68" spans="2:53" s="159" customFormat="1" ht="12.75" hidden="1" x14ac:dyDescent="0.2">
      <c r="B68" s="176" t="s">
        <v>603</v>
      </c>
      <c r="C68" s="191" t="s">
        <v>192</v>
      </c>
      <c r="D68" s="172">
        <f t="shared" ref="D68:D73" si="44">+J68+L68+N68+P68+R68+T68+V68+X68+Z68+AB68+AD68+AF68+AH68+AJ68</f>
        <v>0</v>
      </c>
      <c r="E68" s="173">
        <f t="shared" ref="E68:E73" si="45">+AL68+AN68+AP68+AT68+AV68+AX68+AR68</f>
        <v>0</v>
      </c>
      <c r="F68" s="174">
        <f t="shared" ref="F68:F73" si="46">+E68+D68</f>
        <v>0</v>
      </c>
      <c r="G68" s="172">
        <f>+M68+O68+Q68+S68+U68+W68+Y68+AA68+AC68+AE68+AG68+AI68+AK68+AM68</f>
        <v>0</v>
      </c>
      <c r="H68" s="173">
        <f>+AO68+AQ68+AS68+AW68+AY68+BA68+AU68</f>
        <v>0</v>
      </c>
      <c r="I68" s="174">
        <f t="shared" ref="I68:I73" si="47">+H68+G68</f>
        <v>0</v>
      </c>
      <c r="J68" s="172"/>
      <c r="K68" s="172"/>
      <c r="L68" s="172"/>
      <c r="M68" s="172"/>
      <c r="N68" s="172"/>
      <c r="O68" s="172"/>
      <c r="P68" s="172"/>
      <c r="Q68" s="172"/>
      <c r="R68" s="172"/>
      <c r="S68" s="172"/>
      <c r="T68" s="172"/>
      <c r="U68" s="172"/>
      <c r="V68" s="172"/>
      <c r="W68" s="172"/>
      <c r="X68" s="172"/>
      <c r="Y68" s="172"/>
      <c r="Z68" s="172"/>
      <c r="AA68" s="172"/>
      <c r="AB68" s="172"/>
      <c r="AC68" s="172"/>
      <c r="AD68" s="172"/>
      <c r="AE68" s="172"/>
      <c r="AF68" s="172"/>
      <c r="AG68" s="172"/>
      <c r="AH68" s="172"/>
      <c r="AI68" s="172"/>
      <c r="AJ68" s="172"/>
      <c r="AK68" s="172"/>
      <c r="AL68" s="172"/>
      <c r="AM68" s="172"/>
      <c r="AN68" s="172"/>
      <c r="AO68" s="172"/>
      <c r="AP68" s="172"/>
      <c r="AQ68" s="172"/>
      <c r="AR68" s="172"/>
      <c r="AS68" s="172"/>
      <c r="AT68" s="172"/>
      <c r="AU68" s="172"/>
      <c r="AV68" s="172"/>
      <c r="AW68" s="172"/>
      <c r="AX68" s="172"/>
      <c r="AY68" s="172"/>
    </row>
    <row r="69" spans="2:53" hidden="1" x14ac:dyDescent="0.25">
      <c r="B69" s="176" t="s">
        <v>193</v>
      </c>
      <c r="C69" s="191" t="s">
        <v>194</v>
      </c>
      <c r="D69" s="172">
        <f t="shared" si="44"/>
        <v>0</v>
      </c>
      <c r="E69" s="173">
        <f t="shared" si="45"/>
        <v>0</v>
      </c>
      <c r="F69" s="174">
        <f t="shared" si="46"/>
        <v>0</v>
      </c>
      <c r="G69" s="172">
        <f>+M69+O69+Q69+S69+U69+W69+Y69+AA69+AC69+AE69+AG69+AI69+AK69+AM69</f>
        <v>0</v>
      </c>
      <c r="H69" s="173">
        <f>+AO69+AQ69+AS69+AW69+AY69+BA69+AU69</f>
        <v>0</v>
      </c>
      <c r="I69" s="174">
        <f t="shared" si="47"/>
        <v>0</v>
      </c>
      <c r="J69" s="174"/>
      <c r="K69" s="174"/>
      <c r="L69" s="174"/>
      <c r="M69" s="174"/>
      <c r="N69" s="174"/>
      <c r="O69" s="174"/>
      <c r="P69" s="174"/>
      <c r="Q69" s="174"/>
      <c r="R69" s="174"/>
      <c r="S69" s="174"/>
      <c r="T69" s="174"/>
      <c r="U69" s="174"/>
      <c r="V69" s="174"/>
      <c r="W69" s="174"/>
      <c r="X69" s="174"/>
      <c r="Y69" s="174"/>
      <c r="Z69" s="174"/>
      <c r="AA69" s="174"/>
      <c r="AB69" s="174"/>
      <c r="AC69" s="174"/>
      <c r="AD69" s="174"/>
      <c r="AE69" s="174"/>
      <c r="AF69" s="174"/>
      <c r="AG69" s="174"/>
      <c r="AH69" s="174"/>
      <c r="AI69" s="174"/>
      <c r="AJ69" s="174"/>
      <c r="AK69" s="174"/>
      <c r="AL69" s="174"/>
      <c r="AM69" s="174"/>
      <c r="AN69" s="174"/>
      <c r="AO69" s="174"/>
      <c r="AP69" s="174"/>
      <c r="AQ69" s="174"/>
      <c r="AR69" s="174"/>
      <c r="AS69" s="174"/>
      <c r="AT69" s="174"/>
      <c r="AU69" s="174"/>
      <c r="AV69" s="174"/>
      <c r="AW69" s="174"/>
      <c r="AX69" s="174"/>
      <c r="AY69" s="174"/>
    </row>
    <row r="70" spans="2:53" ht="27.75" hidden="1" customHeight="1" x14ac:dyDescent="0.25">
      <c r="B70" s="176" t="s">
        <v>604</v>
      </c>
      <c r="C70" s="191" t="s">
        <v>196</v>
      </c>
      <c r="D70" s="172">
        <f t="shared" si="44"/>
        <v>0</v>
      </c>
      <c r="E70" s="173">
        <f t="shared" si="45"/>
        <v>0</v>
      </c>
      <c r="F70" s="174">
        <f t="shared" si="46"/>
        <v>0</v>
      </c>
      <c r="G70" s="172">
        <f>+M70+O70+Q70+S70+U70+W70+Y70+AA70+AC70+AE70+AG70+AI70+AK70+AM70</f>
        <v>0</v>
      </c>
      <c r="H70" s="173">
        <f>+AO70+AQ70+AS70+AW70+AY70+BA70+AU70</f>
        <v>0</v>
      </c>
      <c r="I70" s="174">
        <f t="shared" si="47"/>
        <v>0</v>
      </c>
      <c r="J70" s="174"/>
      <c r="K70" s="174"/>
      <c r="L70" s="174"/>
      <c r="M70" s="174"/>
      <c r="N70" s="174"/>
      <c r="O70" s="174"/>
      <c r="P70" s="174"/>
      <c r="Q70" s="174"/>
      <c r="R70" s="174"/>
      <c r="S70" s="174"/>
      <c r="T70" s="174"/>
      <c r="U70" s="174"/>
      <c r="V70" s="174"/>
      <c r="W70" s="174"/>
      <c r="X70" s="174"/>
      <c r="Y70" s="174"/>
      <c r="Z70" s="174"/>
      <c r="AA70" s="174"/>
      <c r="AB70" s="174"/>
      <c r="AC70" s="174"/>
      <c r="AD70" s="174"/>
      <c r="AE70" s="174"/>
      <c r="AF70" s="174"/>
      <c r="AG70" s="174"/>
      <c r="AH70" s="174"/>
      <c r="AI70" s="174"/>
      <c r="AJ70" s="174"/>
      <c r="AK70" s="174"/>
      <c r="AL70" s="174"/>
      <c r="AM70" s="174"/>
      <c r="AN70" s="174"/>
      <c r="AO70" s="174"/>
      <c r="AP70" s="174"/>
      <c r="AQ70" s="174"/>
      <c r="AR70" s="174"/>
      <c r="AS70" s="174"/>
      <c r="AT70" s="174"/>
      <c r="AU70" s="174"/>
      <c r="AV70" s="174"/>
      <c r="AW70" s="174"/>
      <c r="AX70" s="174"/>
      <c r="AY70" s="174"/>
    </row>
    <row r="71" spans="2:53" ht="27.75" hidden="1" customHeight="1" x14ac:dyDescent="0.25">
      <c r="B71" s="176" t="s">
        <v>605</v>
      </c>
      <c r="C71" s="191" t="s">
        <v>198</v>
      </c>
      <c r="D71" s="172">
        <f t="shared" si="44"/>
        <v>0</v>
      </c>
      <c r="E71" s="173">
        <f t="shared" si="45"/>
        <v>0</v>
      </c>
      <c r="F71" s="174">
        <f t="shared" si="46"/>
        <v>0</v>
      </c>
      <c r="G71" s="172">
        <f>+M71+O71+Q71+S71+U71+W71+Y71+AA71+AC71+AE71+AG71+AI71+AK71+AM71</f>
        <v>0</v>
      </c>
      <c r="H71" s="173">
        <f>+AO71+AQ71+AS71+AW71+AY71+BA71+AU71</f>
        <v>0</v>
      </c>
      <c r="I71" s="174">
        <f t="shared" si="47"/>
        <v>0</v>
      </c>
      <c r="J71" s="174"/>
      <c r="K71" s="174"/>
      <c r="L71" s="174"/>
      <c r="M71" s="174"/>
      <c r="N71" s="174"/>
      <c r="O71" s="174"/>
      <c r="P71" s="174"/>
      <c r="Q71" s="174"/>
      <c r="R71" s="174"/>
      <c r="S71" s="174"/>
      <c r="T71" s="174"/>
      <c r="U71" s="174"/>
      <c r="V71" s="174"/>
      <c r="W71" s="174"/>
      <c r="X71" s="174"/>
      <c r="Y71" s="174"/>
      <c r="Z71" s="174"/>
      <c r="AA71" s="174"/>
      <c r="AB71" s="174"/>
      <c r="AC71" s="174"/>
      <c r="AD71" s="174"/>
      <c r="AE71" s="174"/>
      <c r="AF71" s="174"/>
      <c r="AG71" s="174"/>
      <c r="AH71" s="174"/>
      <c r="AI71" s="174"/>
      <c r="AJ71" s="174"/>
      <c r="AK71" s="174"/>
      <c r="AL71" s="174"/>
      <c r="AM71" s="174"/>
      <c r="AN71" s="174"/>
      <c r="AO71" s="174"/>
      <c r="AP71" s="174"/>
      <c r="AQ71" s="174"/>
      <c r="AR71" s="174"/>
      <c r="AS71" s="174"/>
      <c r="AT71" s="174"/>
      <c r="AU71" s="174"/>
      <c r="AV71" s="174"/>
      <c r="AW71" s="174"/>
      <c r="AX71" s="174"/>
      <c r="AY71" s="174"/>
    </row>
    <row r="72" spans="2:53" ht="26.25" hidden="1" customHeight="1" x14ac:dyDescent="0.25">
      <c r="B72" s="176" t="s">
        <v>606</v>
      </c>
      <c r="C72" s="191" t="s">
        <v>200</v>
      </c>
      <c r="D72" s="172">
        <f t="shared" si="44"/>
        <v>0</v>
      </c>
      <c r="E72" s="173">
        <f t="shared" si="45"/>
        <v>0</v>
      </c>
      <c r="F72" s="174">
        <f t="shared" si="46"/>
        <v>0</v>
      </c>
      <c r="G72" s="172">
        <f>+M72+O72+Q72+S72+U72+W72+Y72+AA72+AC72+AE72+AG72+AI72+AK72+AM72</f>
        <v>0</v>
      </c>
      <c r="H72" s="173">
        <f>+AO72+AQ72+AS72+AW72+AY72+BA72+AU72</f>
        <v>0</v>
      </c>
      <c r="I72" s="174">
        <f t="shared" si="47"/>
        <v>0</v>
      </c>
      <c r="J72" s="174"/>
      <c r="K72" s="174"/>
      <c r="L72" s="174"/>
      <c r="M72" s="174"/>
      <c r="N72" s="174"/>
      <c r="O72" s="174"/>
      <c r="P72" s="174"/>
      <c r="Q72" s="174"/>
      <c r="R72" s="174"/>
      <c r="S72" s="174"/>
      <c r="T72" s="174"/>
      <c r="U72" s="174"/>
      <c r="V72" s="174"/>
      <c r="W72" s="174"/>
      <c r="X72" s="174"/>
      <c r="Y72" s="174"/>
      <c r="Z72" s="174"/>
      <c r="AA72" s="174"/>
      <c r="AB72" s="174"/>
      <c r="AC72" s="174"/>
      <c r="AD72" s="174"/>
      <c r="AE72" s="174"/>
      <c r="AF72" s="174"/>
      <c r="AG72" s="174"/>
      <c r="AH72" s="174"/>
      <c r="AI72" s="174"/>
      <c r="AJ72" s="174"/>
      <c r="AK72" s="174"/>
      <c r="AL72" s="174"/>
      <c r="AM72" s="174"/>
      <c r="AN72" s="174"/>
      <c r="AO72" s="174"/>
      <c r="AP72" s="174"/>
      <c r="AQ72" s="174"/>
      <c r="AR72" s="174"/>
      <c r="AS72" s="174"/>
      <c r="AT72" s="174"/>
      <c r="AU72" s="174"/>
      <c r="AV72" s="174"/>
      <c r="AW72" s="174"/>
      <c r="AX72" s="174"/>
      <c r="AY72" s="174"/>
    </row>
    <row r="73" spans="2:53" ht="25.5" x14ac:dyDescent="0.25">
      <c r="B73" s="176" t="s">
        <v>201</v>
      </c>
      <c r="C73" s="191" t="s">
        <v>202</v>
      </c>
      <c r="D73" s="172">
        <f t="shared" si="44"/>
        <v>0</v>
      </c>
      <c r="E73" s="173">
        <f t="shared" si="45"/>
        <v>0</v>
      </c>
      <c r="F73" s="174">
        <f t="shared" si="46"/>
        <v>0</v>
      </c>
      <c r="G73" s="172">
        <f>+K73+M73+O73+Q73+S73+U73+W73+Y73+AA73+AC73+AE73+AG73+AI73+AK73</f>
        <v>0</v>
      </c>
      <c r="H73" s="173">
        <f>+AM73+AO73+AQ73+AU73+AW73+AY73+AS73</f>
        <v>0</v>
      </c>
      <c r="I73" s="174">
        <f t="shared" si="47"/>
        <v>0</v>
      </c>
      <c r="J73" s="172"/>
      <c r="K73" s="172"/>
      <c r="L73" s="172"/>
      <c r="M73" s="172"/>
      <c r="N73" s="172"/>
      <c r="O73" s="172"/>
      <c r="P73" s="172"/>
      <c r="Q73" s="172"/>
      <c r="R73" s="172"/>
      <c r="S73" s="172"/>
      <c r="T73" s="172"/>
      <c r="U73" s="172"/>
      <c r="V73" s="172"/>
      <c r="W73" s="172"/>
      <c r="X73" s="172"/>
      <c r="Y73" s="172"/>
      <c r="Z73" s="172"/>
      <c r="AA73" s="172"/>
      <c r="AB73" s="172"/>
      <c r="AC73" s="172"/>
      <c r="AD73" s="172"/>
      <c r="AE73" s="172"/>
      <c r="AF73" s="172"/>
      <c r="AG73" s="172"/>
      <c r="AH73" s="172"/>
      <c r="AI73" s="172"/>
      <c r="AJ73" s="172"/>
      <c r="AK73" s="172"/>
      <c r="AL73" s="172"/>
      <c r="AM73" s="172"/>
      <c r="AN73" s="172"/>
      <c r="AO73" s="172"/>
      <c r="AP73" s="172"/>
      <c r="AQ73" s="172"/>
      <c r="AR73" s="172"/>
      <c r="AS73" s="172"/>
      <c r="AT73" s="172"/>
      <c r="AU73" s="172"/>
      <c r="AV73" s="172"/>
      <c r="AW73" s="172"/>
      <c r="AX73" s="172"/>
      <c r="AY73" s="172"/>
      <c r="BA73" s="384"/>
    </row>
    <row r="74" spans="2:53" s="177" customFormat="1" ht="12.75" x14ac:dyDescent="0.2">
      <c r="B74" s="181" t="s">
        <v>203</v>
      </c>
      <c r="C74" s="192" t="s">
        <v>204</v>
      </c>
      <c r="D74" s="180">
        <f t="shared" ref="D74:AY74" si="48">+D73+D72+D71+D70+D69+D68</f>
        <v>0</v>
      </c>
      <c r="E74" s="180">
        <f t="shared" si="48"/>
        <v>0</v>
      </c>
      <c r="F74" s="180">
        <f t="shared" si="48"/>
        <v>0</v>
      </c>
      <c r="G74" s="180">
        <f>+G73+G72+G71+G70+G69+G68</f>
        <v>0</v>
      </c>
      <c r="H74" s="180">
        <f>+H73+H72+H71+H70+H69+H68</f>
        <v>0</v>
      </c>
      <c r="I74" s="180">
        <f t="shared" si="48"/>
        <v>0</v>
      </c>
      <c r="J74" s="180">
        <f t="shared" si="48"/>
        <v>0</v>
      </c>
      <c r="K74" s="180">
        <f t="shared" si="48"/>
        <v>0</v>
      </c>
      <c r="L74" s="180">
        <f t="shared" si="48"/>
        <v>0</v>
      </c>
      <c r="M74" s="180">
        <f t="shared" si="48"/>
        <v>0</v>
      </c>
      <c r="N74" s="180">
        <f t="shared" si="48"/>
        <v>0</v>
      </c>
      <c r="O74" s="180">
        <f t="shared" si="48"/>
        <v>0</v>
      </c>
      <c r="P74" s="180">
        <f t="shared" si="48"/>
        <v>0</v>
      </c>
      <c r="Q74" s="180">
        <f t="shared" si="48"/>
        <v>0</v>
      </c>
      <c r="R74" s="180">
        <f t="shared" si="48"/>
        <v>0</v>
      </c>
      <c r="S74" s="180">
        <f t="shared" si="48"/>
        <v>0</v>
      </c>
      <c r="T74" s="180">
        <f t="shared" si="48"/>
        <v>0</v>
      </c>
      <c r="U74" s="180">
        <f t="shared" si="48"/>
        <v>0</v>
      </c>
      <c r="V74" s="180">
        <f t="shared" si="48"/>
        <v>0</v>
      </c>
      <c r="W74" s="180">
        <f t="shared" si="48"/>
        <v>0</v>
      </c>
      <c r="X74" s="180">
        <f t="shared" si="48"/>
        <v>0</v>
      </c>
      <c r="Y74" s="180">
        <f t="shared" si="48"/>
        <v>0</v>
      </c>
      <c r="Z74" s="180">
        <f t="shared" si="48"/>
        <v>0</v>
      </c>
      <c r="AA74" s="180">
        <f t="shared" si="48"/>
        <v>0</v>
      </c>
      <c r="AB74" s="180">
        <f t="shared" si="48"/>
        <v>0</v>
      </c>
      <c r="AC74" s="180">
        <f t="shared" si="48"/>
        <v>0</v>
      </c>
      <c r="AD74" s="180">
        <f t="shared" si="48"/>
        <v>0</v>
      </c>
      <c r="AE74" s="180">
        <f t="shared" si="48"/>
        <v>0</v>
      </c>
      <c r="AF74" s="180">
        <f t="shared" si="48"/>
        <v>0</v>
      </c>
      <c r="AG74" s="180">
        <f t="shared" si="48"/>
        <v>0</v>
      </c>
      <c r="AH74" s="180">
        <f t="shared" si="48"/>
        <v>0</v>
      </c>
      <c r="AI74" s="180">
        <f t="shared" si="48"/>
        <v>0</v>
      </c>
      <c r="AJ74" s="180">
        <f t="shared" si="48"/>
        <v>0</v>
      </c>
      <c r="AK74" s="180">
        <f t="shared" si="48"/>
        <v>0</v>
      </c>
      <c r="AL74" s="180">
        <f t="shared" si="48"/>
        <v>0</v>
      </c>
      <c r="AM74" s="180">
        <f t="shared" si="48"/>
        <v>0</v>
      </c>
      <c r="AN74" s="180">
        <f t="shared" si="48"/>
        <v>0</v>
      </c>
      <c r="AO74" s="180">
        <f t="shared" si="48"/>
        <v>0</v>
      </c>
      <c r="AP74" s="180">
        <f t="shared" si="48"/>
        <v>0</v>
      </c>
      <c r="AQ74" s="180">
        <f t="shared" si="48"/>
        <v>0</v>
      </c>
      <c r="AR74" s="180">
        <f t="shared" si="48"/>
        <v>0</v>
      </c>
      <c r="AS74" s="180">
        <f t="shared" si="48"/>
        <v>0</v>
      </c>
      <c r="AT74" s="180">
        <f t="shared" si="48"/>
        <v>0</v>
      </c>
      <c r="AU74" s="180">
        <f t="shared" si="48"/>
        <v>0</v>
      </c>
      <c r="AV74" s="180">
        <f t="shared" si="48"/>
        <v>0</v>
      </c>
      <c r="AW74" s="180">
        <f t="shared" si="48"/>
        <v>0</v>
      </c>
      <c r="AX74" s="180">
        <f t="shared" si="48"/>
        <v>0</v>
      </c>
      <c r="AY74" s="180">
        <f t="shared" si="48"/>
        <v>0</v>
      </c>
    </row>
    <row r="75" spans="2:53" s="177" customFormat="1" ht="12.75" x14ac:dyDescent="0.2">
      <c r="B75" s="181" t="s">
        <v>205</v>
      </c>
      <c r="C75" s="192" t="s">
        <v>206</v>
      </c>
      <c r="D75" s="182">
        <f t="shared" ref="D75:D81" si="49">+J75+L75+N75+P75+R75+T75+V75+X75+Z75+AB75+AD75+AF75+AH75+AJ75</f>
        <v>0</v>
      </c>
      <c r="E75" s="183">
        <f>+AL75+AN75+AP75+AT75+AV75+AX75+AR75</f>
        <v>0</v>
      </c>
      <c r="F75" s="180">
        <f t="shared" ref="F75:F81" si="50">+E75+D75</f>
        <v>0</v>
      </c>
      <c r="G75" s="172">
        <f>+K75+M75+O75+Q75+S75+U75+W75+Y75+AA75+AC75+AE75+AG75+AI75+AK75</f>
        <v>0</v>
      </c>
      <c r="H75" s="173">
        <f>+AM75+AO75+AQ75+AU75+AW75+AY75+AS75</f>
        <v>0</v>
      </c>
      <c r="I75" s="180">
        <f t="shared" ref="I75:I81" si="51">+H75+G75</f>
        <v>0</v>
      </c>
      <c r="J75" s="182"/>
      <c r="K75" s="182"/>
      <c r="L75" s="182"/>
      <c r="M75" s="182"/>
      <c r="N75" s="182"/>
      <c r="O75" s="182"/>
      <c r="P75" s="182"/>
      <c r="Q75" s="182"/>
      <c r="R75" s="182"/>
      <c r="S75" s="182"/>
      <c r="T75" s="182"/>
      <c r="U75" s="182"/>
      <c r="V75" s="182"/>
      <c r="W75" s="182"/>
      <c r="X75" s="182"/>
      <c r="Y75" s="182"/>
      <c r="Z75" s="182"/>
      <c r="AA75" s="182"/>
      <c r="AB75" s="182"/>
      <c r="AC75" s="182"/>
      <c r="AD75" s="182"/>
      <c r="AE75" s="182"/>
      <c r="AF75" s="182"/>
      <c r="AG75" s="182"/>
      <c r="AH75" s="182"/>
      <c r="AI75" s="182"/>
      <c r="AJ75" s="182"/>
      <c r="AK75" s="182"/>
      <c r="AL75" s="182"/>
      <c r="AM75" s="182"/>
      <c r="AN75" s="182"/>
      <c r="AO75" s="182"/>
      <c r="AP75" s="182"/>
      <c r="AQ75" s="182"/>
      <c r="AR75" s="182"/>
      <c r="AS75" s="182"/>
      <c r="AT75" s="182"/>
      <c r="AU75" s="182"/>
      <c r="AV75" s="182"/>
      <c r="AW75" s="182"/>
      <c r="AX75" s="182"/>
      <c r="AY75" s="182"/>
      <c r="BA75" s="384"/>
    </row>
    <row r="76" spans="2:53" ht="15" hidden="1" customHeight="1" x14ac:dyDescent="0.25">
      <c r="B76" s="176" t="s">
        <v>207</v>
      </c>
      <c r="C76" s="191" t="s">
        <v>208</v>
      </c>
      <c r="D76" s="172">
        <f t="shared" si="49"/>
        <v>0</v>
      </c>
      <c r="E76" s="173">
        <f t="shared" ref="E76:E81" si="52">+AL76+AN76+AP76+AT76+AV76+AX76+AR76</f>
        <v>0</v>
      </c>
      <c r="F76" s="174">
        <f t="shared" si="50"/>
        <v>0</v>
      </c>
      <c r="G76" s="172">
        <f t="shared" ref="G76:G81" si="53">+M76+O76+Q76+S76+U76+W76+Y76+AA76+AC76+AE76+AG76+AI76+AK76+AM76</f>
        <v>0</v>
      </c>
      <c r="H76" s="173">
        <f t="shared" ref="H76:H81" si="54">+AO76+AQ76+AS76+AW76+AY76+BA76+AU76</f>
        <v>0</v>
      </c>
      <c r="I76" s="174">
        <f t="shared" si="51"/>
        <v>0</v>
      </c>
      <c r="J76" s="172"/>
      <c r="K76" s="172"/>
      <c r="L76" s="172"/>
      <c r="M76" s="172"/>
      <c r="N76" s="172"/>
      <c r="O76" s="172"/>
      <c r="P76" s="172"/>
      <c r="Q76" s="172"/>
      <c r="R76" s="172"/>
      <c r="S76" s="172"/>
      <c r="T76" s="172"/>
      <c r="U76" s="172"/>
      <c r="V76" s="172"/>
      <c r="W76" s="172"/>
      <c r="X76" s="172"/>
      <c r="Y76" s="172"/>
      <c r="Z76" s="172"/>
      <c r="AA76" s="172"/>
      <c r="AB76" s="172"/>
      <c r="AC76" s="172"/>
      <c r="AD76" s="172"/>
      <c r="AE76" s="172"/>
      <c r="AF76" s="172"/>
      <c r="AG76" s="172"/>
      <c r="AH76" s="172"/>
      <c r="AI76" s="172"/>
      <c r="AJ76" s="172"/>
      <c r="AK76" s="172"/>
      <c r="AL76" s="172"/>
      <c r="AM76" s="172"/>
      <c r="AN76" s="172"/>
      <c r="AO76" s="172"/>
      <c r="AP76" s="172"/>
      <c r="AQ76" s="172"/>
      <c r="AR76" s="172"/>
      <c r="AS76" s="172"/>
      <c r="AT76" s="172"/>
      <c r="AU76" s="172"/>
      <c r="AV76" s="172"/>
      <c r="AW76" s="172"/>
      <c r="AX76" s="172"/>
      <c r="AY76" s="172"/>
    </row>
    <row r="77" spans="2:53" ht="15" hidden="1" customHeight="1" x14ac:dyDescent="0.25">
      <c r="B77" s="176" t="s">
        <v>209</v>
      </c>
      <c r="C77" s="191" t="s">
        <v>210</v>
      </c>
      <c r="D77" s="172">
        <f t="shared" si="49"/>
        <v>0</v>
      </c>
      <c r="E77" s="173">
        <f t="shared" si="52"/>
        <v>0</v>
      </c>
      <c r="F77" s="174">
        <f t="shared" si="50"/>
        <v>0</v>
      </c>
      <c r="G77" s="172">
        <f t="shared" si="53"/>
        <v>0</v>
      </c>
      <c r="H77" s="173">
        <f t="shared" si="54"/>
        <v>0</v>
      </c>
      <c r="I77" s="174">
        <f t="shared" si="51"/>
        <v>0</v>
      </c>
      <c r="J77" s="172"/>
      <c r="K77" s="172"/>
      <c r="L77" s="172"/>
      <c r="M77" s="172"/>
      <c r="N77" s="172"/>
      <c r="O77" s="172"/>
      <c r="P77" s="172"/>
      <c r="Q77" s="172"/>
      <c r="R77" s="172"/>
      <c r="S77" s="172"/>
      <c r="T77" s="172"/>
      <c r="U77" s="172"/>
      <c r="V77" s="172"/>
      <c r="W77" s="172"/>
      <c r="X77" s="172"/>
      <c r="Y77" s="172"/>
      <c r="Z77" s="172"/>
      <c r="AA77" s="172"/>
      <c r="AB77" s="172"/>
      <c r="AC77" s="172"/>
      <c r="AD77" s="172"/>
      <c r="AE77" s="172"/>
      <c r="AF77" s="172"/>
      <c r="AG77" s="172"/>
      <c r="AH77" s="172"/>
      <c r="AI77" s="172"/>
      <c r="AJ77" s="172"/>
      <c r="AK77" s="172"/>
      <c r="AL77" s="172"/>
      <c r="AM77" s="172"/>
      <c r="AN77" s="172"/>
      <c r="AO77" s="172"/>
      <c r="AP77" s="172"/>
      <c r="AQ77" s="172"/>
      <c r="AR77" s="172"/>
      <c r="AS77" s="172"/>
      <c r="AT77" s="172"/>
      <c r="AU77" s="172"/>
      <c r="AV77" s="172"/>
      <c r="AW77" s="172"/>
      <c r="AX77" s="172"/>
      <c r="AY77" s="172"/>
    </row>
    <row r="78" spans="2:53" ht="15" hidden="1" customHeight="1" x14ac:dyDescent="0.25">
      <c r="B78" s="176" t="s">
        <v>211</v>
      </c>
      <c r="C78" s="191" t="s">
        <v>212</v>
      </c>
      <c r="D78" s="172">
        <f t="shared" si="49"/>
        <v>0</v>
      </c>
      <c r="E78" s="173">
        <f t="shared" si="52"/>
        <v>0</v>
      </c>
      <c r="F78" s="174">
        <f t="shared" si="50"/>
        <v>0</v>
      </c>
      <c r="G78" s="172">
        <f t="shared" si="53"/>
        <v>0</v>
      </c>
      <c r="H78" s="173">
        <f t="shared" si="54"/>
        <v>0</v>
      </c>
      <c r="I78" s="174">
        <f t="shared" si="51"/>
        <v>0</v>
      </c>
      <c r="J78" s="172"/>
      <c r="K78" s="172"/>
      <c r="L78" s="172"/>
      <c r="M78" s="172"/>
      <c r="N78" s="172"/>
      <c r="O78" s="172"/>
      <c r="P78" s="172"/>
      <c r="Q78" s="172"/>
      <c r="R78" s="172"/>
      <c r="S78" s="172"/>
      <c r="T78" s="172"/>
      <c r="U78" s="172"/>
      <c r="V78" s="172"/>
      <c r="W78" s="172"/>
      <c r="X78" s="172"/>
      <c r="Y78" s="172"/>
      <c r="Z78" s="172"/>
      <c r="AA78" s="172"/>
      <c r="AB78" s="172"/>
      <c r="AC78" s="172"/>
      <c r="AD78" s="172"/>
      <c r="AE78" s="172"/>
      <c r="AF78" s="172"/>
      <c r="AG78" s="172"/>
      <c r="AH78" s="172"/>
      <c r="AI78" s="172"/>
      <c r="AJ78" s="172"/>
      <c r="AK78" s="172"/>
      <c r="AL78" s="172"/>
      <c r="AM78" s="172"/>
      <c r="AN78" s="172"/>
      <c r="AO78" s="172"/>
      <c r="AP78" s="172"/>
      <c r="AQ78" s="172"/>
      <c r="AR78" s="172"/>
      <c r="AS78" s="172"/>
      <c r="AT78" s="172"/>
      <c r="AU78" s="172"/>
      <c r="AV78" s="172"/>
      <c r="AW78" s="172"/>
      <c r="AX78" s="172"/>
      <c r="AY78" s="172"/>
    </row>
    <row r="79" spans="2:53" ht="15" hidden="1" customHeight="1" x14ac:dyDescent="0.25">
      <c r="B79" s="176" t="s">
        <v>213</v>
      </c>
      <c r="C79" s="191" t="s">
        <v>214</v>
      </c>
      <c r="D79" s="172">
        <f t="shared" si="49"/>
        <v>0</v>
      </c>
      <c r="E79" s="173">
        <f t="shared" si="52"/>
        <v>0</v>
      </c>
      <c r="F79" s="174">
        <f t="shared" si="50"/>
        <v>0</v>
      </c>
      <c r="G79" s="172">
        <f t="shared" si="53"/>
        <v>0</v>
      </c>
      <c r="H79" s="173">
        <f t="shared" si="54"/>
        <v>0</v>
      </c>
      <c r="I79" s="174">
        <f t="shared" si="51"/>
        <v>0</v>
      </c>
      <c r="J79" s="172"/>
      <c r="K79" s="172"/>
      <c r="L79" s="172"/>
      <c r="M79" s="172"/>
      <c r="N79" s="172"/>
      <c r="O79" s="172"/>
      <c r="P79" s="172"/>
      <c r="Q79" s="172"/>
      <c r="R79" s="172"/>
      <c r="S79" s="172"/>
      <c r="T79" s="172"/>
      <c r="U79" s="172"/>
      <c r="V79" s="172"/>
      <c r="W79" s="172"/>
      <c r="X79" s="172"/>
      <c r="Y79" s="172"/>
      <c r="Z79" s="172"/>
      <c r="AA79" s="172"/>
      <c r="AB79" s="172"/>
      <c r="AC79" s="172"/>
      <c r="AD79" s="172"/>
      <c r="AE79" s="172"/>
      <c r="AF79" s="172"/>
      <c r="AG79" s="172"/>
      <c r="AH79" s="172"/>
      <c r="AI79" s="172"/>
      <c r="AJ79" s="172"/>
      <c r="AK79" s="172"/>
      <c r="AL79" s="172"/>
      <c r="AM79" s="172"/>
      <c r="AN79" s="172"/>
      <c r="AO79" s="172"/>
      <c r="AP79" s="172"/>
      <c r="AQ79" s="172"/>
      <c r="AR79" s="172"/>
      <c r="AS79" s="172"/>
      <c r="AT79" s="172"/>
      <c r="AU79" s="172"/>
      <c r="AV79" s="172"/>
      <c r="AW79" s="172"/>
      <c r="AX79" s="172"/>
      <c r="AY79" s="172"/>
    </row>
    <row r="80" spans="2:53" ht="15" hidden="1" customHeight="1" x14ac:dyDescent="0.25">
      <c r="B80" s="176" t="s">
        <v>215</v>
      </c>
      <c r="C80" s="191" t="s">
        <v>216</v>
      </c>
      <c r="D80" s="172">
        <f t="shared" si="49"/>
        <v>0</v>
      </c>
      <c r="E80" s="173">
        <f t="shared" si="52"/>
        <v>0</v>
      </c>
      <c r="F80" s="174">
        <f t="shared" si="50"/>
        <v>0</v>
      </c>
      <c r="G80" s="172">
        <f t="shared" si="53"/>
        <v>0</v>
      </c>
      <c r="H80" s="173">
        <f t="shared" si="54"/>
        <v>0</v>
      </c>
      <c r="I80" s="174">
        <f t="shared" si="51"/>
        <v>0</v>
      </c>
      <c r="J80" s="172"/>
      <c r="K80" s="172"/>
      <c r="L80" s="172"/>
      <c r="M80" s="172"/>
      <c r="N80" s="172"/>
      <c r="O80" s="172"/>
      <c r="P80" s="172"/>
      <c r="Q80" s="172"/>
      <c r="R80" s="172"/>
      <c r="S80" s="172"/>
      <c r="T80" s="172"/>
      <c r="U80" s="172"/>
      <c r="V80" s="172"/>
      <c r="W80" s="172"/>
      <c r="X80" s="172"/>
      <c r="Y80" s="172"/>
      <c r="Z80" s="172"/>
      <c r="AA80" s="172"/>
      <c r="AB80" s="172"/>
      <c r="AC80" s="172"/>
      <c r="AD80" s="172"/>
      <c r="AE80" s="172"/>
      <c r="AF80" s="172"/>
      <c r="AG80" s="172"/>
      <c r="AH80" s="172"/>
      <c r="AI80" s="172"/>
      <c r="AJ80" s="172"/>
      <c r="AK80" s="172"/>
      <c r="AL80" s="172"/>
      <c r="AM80" s="172"/>
      <c r="AN80" s="172"/>
      <c r="AO80" s="172"/>
      <c r="AP80" s="172"/>
      <c r="AQ80" s="172"/>
      <c r="AR80" s="172"/>
      <c r="AS80" s="172"/>
      <c r="AT80" s="172"/>
      <c r="AU80" s="172"/>
      <c r="AV80" s="172"/>
      <c r="AW80" s="172"/>
      <c r="AX80" s="172"/>
      <c r="AY80" s="172"/>
    </row>
    <row r="81" spans="2:51" ht="15" hidden="1" customHeight="1" x14ac:dyDescent="0.25">
      <c r="B81" s="176" t="s">
        <v>217</v>
      </c>
      <c r="C81" s="191" t="s">
        <v>218</v>
      </c>
      <c r="D81" s="172">
        <f t="shared" si="49"/>
        <v>0</v>
      </c>
      <c r="E81" s="173">
        <f t="shared" si="52"/>
        <v>0</v>
      </c>
      <c r="F81" s="174">
        <f t="shared" si="50"/>
        <v>0</v>
      </c>
      <c r="G81" s="172">
        <f t="shared" si="53"/>
        <v>0</v>
      </c>
      <c r="H81" s="173">
        <f t="shared" si="54"/>
        <v>0</v>
      </c>
      <c r="I81" s="174">
        <f t="shared" si="51"/>
        <v>0</v>
      </c>
      <c r="J81" s="172"/>
      <c r="K81" s="172"/>
      <c r="L81" s="172"/>
      <c r="M81" s="172"/>
      <c r="N81" s="172"/>
      <c r="O81" s="172"/>
      <c r="P81" s="172"/>
      <c r="Q81" s="172"/>
      <c r="R81" s="172"/>
      <c r="S81" s="172"/>
      <c r="T81" s="172"/>
      <c r="U81" s="172"/>
      <c r="V81" s="172"/>
      <c r="W81" s="172"/>
      <c r="X81" s="172"/>
      <c r="Y81" s="172"/>
      <c r="Z81" s="172"/>
      <c r="AA81" s="172"/>
      <c r="AB81" s="172"/>
      <c r="AC81" s="172"/>
      <c r="AD81" s="172"/>
      <c r="AE81" s="172"/>
      <c r="AF81" s="172"/>
      <c r="AG81" s="172"/>
      <c r="AH81" s="172"/>
      <c r="AI81" s="172"/>
      <c r="AJ81" s="172"/>
      <c r="AK81" s="172"/>
      <c r="AL81" s="172"/>
      <c r="AM81" s="172"/>
      <c r="AN81" s="172"/>
      <c r="AO81" s="172"/>
      <c r="AP81" s="172"/>
      <c r="AQ81" s="172"/>
      <c r="AR81" s="172"/>
      <c r="AS81" s="172"/>
      <c r="AT81" s="172"/>
      <c r="AU81" s="172"/>
      <c r="AV81" s="172"/>
      <c r="AW81" s="172"/>
      <c r="AX81" s="172"/>
      <c r="AY81" s="172"/>
    </row>
    <row r="82" spans="2:51" s="177" customFormat="1" ht="12.75" x14ac:dyDescent="0.2">
      <c r="B82" s="181" t="s">
        <v>219</v>
      </c>
      <c r="C82" s="192" t="s">
        <v>220</v>
      </c>
      <c r="D82" s="180">
        <f t="shared" ref="D82:I82" si="55">SUM(D76:D81)</f>
        <v>0</v>
      </c>
      <c r="E82" s="180">
        <f t="shared" si="55"/>
        <v>0</v>
      </c>
      <c r="F82" s="180">
        <f t="shared" si="55"/>
        <v>0</v>
      </c>
      <c r="G82" s="180">
        <f t="shared" si="55"/>
        <v>0</v>
      </c>
      <c r="H82" s="180">
        <f t="shared" si="55"/>
        <v>0</v>
      </c>
      <c r="I82" s="180">
        <f t="shared" si="55"/>
        <v>0</v>
      </c>
      <c r="J82" s="180"/>
      <c r="K82" s="180"/>
      <c r="L82" s="180"/>
      <c r="M82" s="180"/>
      <c r="N82" s="180"/>
      <c r="O82" s="180"/>
      <c r="P82" s="180"/>
      <c r="Q82" s="180"/>
      <c r="R82" s="180"/>
      <c r="S82" s="180"/>
      <c r="T82" s="180"/>
      <c r="U82" s="180"/>
      <c r="V82" s="180"/>
      <c r="W82" s="180"/>
      <c r="X82" s="180"/>
      <c r="Y82" s="180"/>
      <c r="Z82" s="180"/>
      <c r="AA82" s="180"/>
      <c r="AB82" s="180"/>
      <c r="AC82" s="180"/>
      <c r="AD82" s="180"/>
      <c r="AE82" s="180"/>
      <c r="AF82" s="180"/>
      <c r="AG82" s="180"/>
      <c r="AH82" s="180"/>
      <c r="AI82" s="180"/>
      <c r="AJ82" s="180"/>
      <c r="AK82" s="180"/>
      <c r="AL82" s="180"/>
      <c r="AM82" s="180"/>
      <c r="AN82" s="180"/>
      <c r="AO82" s="180"/>
      <c r="AP82" s="180"/>
      <c r="AQ82" s="180"/>
      <c r="AR82" s="180"/>
      <c r="AS82" s="180"/>
      <c r="AT82" s="180"/>
      <c r="AU82" s="180"/>
      <c r="AV82" s="180"/>
      <c r="AW82" s="180"/>
      <c r="AX82" s="180"/>
      <c r="AY82" s="180"/>
    </row>
    <row r="83" spans="2:51" x14ac:dyDescent="0.25">
      <c r="B83" s="193" t="s">
        <v>607</v>
      </c>
      <c r="C83" s="191" t="s">
        <v>222</v>
      </c>
      <c r="D83" s="172">
        <f t="shared" ref="D83:D93" si="56">+J83+L83+N83+P83+R83+T83+V83+X83+Z83+AB83+AD83+AF83+AH83+AJ83</f>
        <v>0</v>
      </c>
      <c r="E83" s="173">
        <f t="shared" ref="E83:E93" si="57">+AL83+AN83+AP83+AT83+AV83+AX83+AR83</f>
        <v>0</v>
      </c>
      <c r="F83" s="174">
        <f t="shared" ref="F83:F93" si="58">+E83+D83</f>
        <v>0</v>
      </c>
      <c r="G83" s="172">
        <f t="shared" ref="G83:G93" si="59">+K83+M83+O83+Q83+S83+U83+W83+Y83+AA83+AC83+AE83+AG83+AI83+AK83</f>
        <v>0</v>
      </c>
      <c r="H83" s="173">
        <f t="shared" ref="H83:H93" si="60">+AM83+AO83+AQ83+AU83+AW83+AY83+AS83</f>
        <v>0</v>
      </c>
      <c r="I83" s="174">
        <f t="shared" ref="I83:I93" si="61">+H83+G83</f>
        <v>0</v>
      </c>
      <c r="J83" s="172"/>
      <c r="K83" s="172"/>
      <c r="L83" s="172"/>
      <c r="M83" s="172"/>
      <c r="N83" s="172"/>
      <c r="O83" s="172"/>
      <c r="P83" s="172"/>
      <c r="Q83" s="172"/>
      <c r="R83" s="172"/>
      <c r="S83" s="172"/>
      <c r="T83" s="172"/>
      <c r="U83" s="172"/>
      <c r="V83" s="172"/>
      <c r="W83" s="172"/>
      <c r="X83" s="172"/>
      <c r="Y83" s="172"/>
      <c r="Z83" s="172"/>
      <c r="AA83" s="172"/>
      <c r="AB83" s="172"/>
      <c r="AC83" s="172"/>
      <c r="AD83" s="172"/>
      <c r="AE83" s="172"/>
      <c r="AF83" s="172"/>
      <c r="AG83" s="172"/>
      <c r="AH83" s="172"/>
      <c r="AI83" s="172"/>
      <c r="AJ83" s="172"/>
      <c r="AK83" s="172"/>
      <c r="AL83" s="172"/>
      <c r="AM83" s="172"/>
      <c r="AN83" s="172"/>
      <c r="AO83" s="172"/>
      <c r="AP83" s="172"/>
      <c r="AQ83" s="172"/>
      <c r="AR83" s="172"/>
      <c r="AS83" s="172"/>
      <c r="AT83" s="172"/>
      <c r="AU83" s="172"/>
      <c r="AV83" s="172"/>
      <c r="AW83" s="172"/>
      <c r="AX83" s="172"/>
      <c r="AY83" s="172"/>
    </row>
    <row r="84" spans="2:51" x14ac:dyDescent="0.25">
      <c r="B84" s="193" t="s">
        <v>223</v>
      </c>
      <c r="C84" s="191" t="s">
        <v>224</v>
      </c>
      <c r="D84" s="172">
        <f t="shared" si="56"/>
        <v>2000000</v>
      </c>
      <c r="E84" s="173">
        <f t="shared" si="57"/>
        <v>0</v>
      </c>
      <c r="F84" s="174">
        <f t="shared" si="58"/>
        <v>2000000</v>
      </c>
      <c r="G84" s="172">
        <f t="shared" si="59"/>
        <v>16131225</v>
      </c>
      <c r="H84" s="173">
        <f t="shared" si="60"/>
        <v>0</v>
      </c>
      <c r="I84" s="174">
        <f t="shared" si="61"/>
        <v>16131225</v>
      </c>
      <c r="J84" s="172"/>
      <c r="K84" s="172">
        <f>400000+13731225</f>
        <v>14131225</v>
      </c>
      <c r="L84" s="172"/>
      <c r="M84" s="172"/>
      <c r="N84" s="172"/>
      <c r="O84" s="172"/>
      <c r="P84" s="172"/>
      <c r="Q84" s="172"/>
      <c r="R84" s="172"/>
      <c r="S84" s="172"/>
      <c r="T84" s="172"/>
      <c r="U84" s="172"/>
      <c r="V84" s="172">
        <f>1900000</f>
        <v>1900000</v>
      </c>
      <c r="W84" s="172">
        <f>1900000</f>
        <v>1900000</v>
      </c>
      <c r="X84" s="172"/>
      <c r="Y84" s="172"/>
      <c r="Z84" s="172"/>
      <c r="AA84" s="172"/>
      <c r="AB84" s="172"/>
      <c r="AC84" s="172"/>
      <c r="AD84" s="172">
        <v>100000</v>
      </c>
      <c r="AE84" s="172">
        <v>100000</v>
      </c>
      <c r="AF84" s="172"/>
      <c r="AG84" s="172"/>
      <c r="AH84" s="172"/>
      <c r="AI84" s="172"/>
      <c r="AJ84" s="172"/>
      <c r="AK84" s="172"/>
      <c r="AL84" s="172"/>
      <c r="AM84" s="172"/>
      <c r="AN84" s="172"/>
      <c r="AO84" s="172"/>
      <c r="AP84" s="172"/>
      <c r="AQ84" s="172"/>
      <c r="AR84" s="172"/>
      <c r="AS84" s="172"/>
      <c r="AT84" s="172"/>
      <c r="AU84" s="172"/>
      <c r="AV84" s="172"/>
      <c r="AW84" s="172"/>
      <c r="AX84" s="172"/>
      <c r="AY84" s="172"/>
    </row>
    <row r="85" spans="2:51" x14ac:dyDescent="0.25">
      <c r="B85" s="193" t="s">
        <v>225</v>
      </c>
      <c r="C85" s="191" t="s">
        <v>226</v>
      </c>
      <c r="D85" s="172">
        <f t="shared" si="56"/>
        <v>0</v>
      </c>
      <c r="E85" s="173">
        <f t="shared" si="57"/>
        <v>0</v>
      </c>
      <c r="F85" s="174">
        <f t="shared" si="58"/>
        <v>0</v>
      </c>
      <c r="G85" s="172">
        <f t="shared" si="59"/>
        <v>0</v>
      </c>
      <c r="H85" s="173">
        <f t="shared" si="60"/>
        <v>0</v>
      </c>
      <c r="I85" s="174">
        <f t="shared" si="61"/>
        <v>0</v>
      </c>
      <c r="J85" s="172"/>
      <c r="K85" s="172"/>
      <c r="L85" s="172"/>
      <c r="M85" s="172"/>
      <c r="N85" s="172"/>
      <c r="O85" s="172"/>
      <c r="P85" s="172"/>
      <c r="Q85" s="172"/>
      <c r="R85" s="172"/>
      <c r="S85" s="172"/>
      <c r="T85" s="172"/>
      <c r="U85" s="172"/>
      <c r="V85" s="172"/>
      <c r="W85" s="172"/>
      <c r="X85" s="172"/>
      <c r="Y85" s="172"/>
      <c r="Z85" s="172"/>
      <c r="AA85" s="172"/>
      <c r="AB85" s="172"/>
      <c r="AC85" s="172"/>
      <c r="AD85" s="172"/>
      <c r="AE85" s="172"/>
      <c r="AF85" s="172"/>
      <c r="AG85" s="172"/>
      <c r="AH85" s="172"/>
      <c r="AI85" s="172"/>
      <c r="AJ85" s="172"/>
      <c r="AK85" s="172"/>
      <c r="AL85" s="172"/>
      <c r="AM85" s="172"/>
      <c r="AN85" s="172"/>
      <c r="AO85" s="172"/>
      <c r="AP85" s="172"/>
      <c r="AQ85" s="172"/>
      <c r="AR85" s="172"/>
      <c r="AS85" s="172"/>
      <c r="AT85" s="172"/>
      <c r="AU85" s="172"/>
      <c r="AV85" s="172"/>
      <c r="AW85" s="172"/>
      <c r="AX85" s="172"/>
      <c r="AY85" s="172"/>
    </row>
    <row r="86" spans="2:51" ht="15" customHeight="1" x14ac:dyDescent="0.25">
      <c r="B86" s="193" t="s">
        <v>227</v>
      </c>
      <c r="C86" s="191" t="s">
        <v>228</v>
      </c>
      <c r="D86" s="172">
        <f t="shared" si="56"/>
        <v>6772999</v>
      </c>
      <c r="E86" s="173">
        <f t="shared" si="57"/>
        <v>0</v>
      </c>
      <c r="F86" s="174">
        <f t="shared" si="58"/>
        <v>6772999</v>
      </c>
      <c r="G86" s="172">
        <f t="shared" si="59"/>
        <v>6772999</v>
      </c>
      <c r="H86" s="173">
        <f t="shared" si="60"/>
        <v>0</v>
      </c>
      <c r="I86" s="174">
        <f t="shared" si="61"/>
        <v>6772999</v>
      </c>
      <c r="J86" s="172"/>
      <c r="K86" s="172"/>
      <c r="L86" s="172">
        <f>5828999+378000</f>
        <v>6206999</v>
      </c>
      <c r="M86" s="172">
        <f>5828999+378000</f>
        <v>6206999</v>
      </c>
      <c r="N86" s="172"/>
      <c r="O86" s="172"/>
      <c r="P86" s="172">
        <v>566000</v>
      </c>
      <c r="Q86" s="172">
        <v>566000</v>
      </c>
      <c r="R86" s="172"/>
      <c r="S86" s="172"/>
      <c r="T86" s="172"/>
      <c r="U86" s="172"/>
      <c r="V86" s="172"/>
      <c r="W86" s="172"/>
      <c r="X86" s="172"/>
      <c r="Y86" s="172"/>
      <c r="Z86" s="172"/>
      <c r="AA86" s="172"/>
      <c r="AB86" s="172"/>
      <c r="AC86" s="172"/>
      <c r="AD86" s="172"/>
      <c r="AE86" s="172"/>
      <c r="AF86" s="172"/>
      <c r="AG86" s="172"/>
      <c r="AH86" s="172"/>
      <c r="AI86" s="172"/>
      <c r="AJ86" s="172"/>
      <c r="AK86" s="172"/>
      <c r="AL86" s="172"/>
      <c r="AM86" s="172"/>
      <c r="AN86" s="172"/>
      <c r="AO86" s="172"/>
      <c r="AP86" s="172"/>
      <c r="AQ86" s="172"/>
      <c r="AR86" s="172"/>
      <c r="AS86" s="172"/>
      <c r="AT86" s="172"/>
      <c r="AU86" s="172"/>
      <c r="AV86" s="172"/>
      <c r="AW86" s="172"/>
      <c r="AX86" s="172"/>
      <c r="AY86" s="172"/>
    </row>
    <row r="87" spans="2:51" ht="15" customHeight="1" x14ac:dyDescent="0.25">
      <c r="B87" s="193" t="s">
        <v>229</v>
      </c>
      <c r="C87" s="191" t="s">
        <v>230</v>
      </c>
      <c r="D87" s="172">
        <f t="shared" si="56"/>
        <v>0</v>
      </c>
      <c r="E87" s="173">
        <f t="shared" si="57"/>
        <v>0</v>
      </c>
      <c r="F87" s="174">
        <f t="shared" si="58"/>
        <v>0</v>
      </c>
      <c r="G87" s="172">
        <f t="shared" si="59"/>
        <v>0</v>
      </c>
      <c r="H87" s="173">
        <f t="shared" si="60"/>
        <v>0</v>
      </c>
      <c r="I87" s="174">
        <f t="shared" si="61"/>
        <v>0</v>
      </c>
      <c r="J87" s="172"/>
      <c r="K87" s="172"/>
      <c r="L87" s="172"/>
      <c r="M87" s="172"/>
      <c r="N87" s="172"/>
      <c r="O87" s="172"/>
      <c r="P87" s="172"/>
      <c r="Q87" s="172"/>
      <c r="R87" s="172"/>
      <c r="S87" s="172"/>
      <c r="T87" s="172"/>
      <c r="U87" s="172"/>
      <c r="V87" s="172"/>
      <c r="W87" s="172"/>
      <c r="X87" s="172"/>
      <c r="Y87" s="172"/>
      <c r="Z87" s="172"/>
      <c r="AA87" s="172"/>
      <c r="AB87" s="172"/>
      <c r="AC87" s="172"/>
      <c r="AD87" s="172"/>
      <c r="AE87" s="172"/>
      <c r="AF87" s="172"/>
      <c r="AG87" s="172"/>
      <c r="AH87" s="172"/>
      <c r="AI87" s="172"/>
      <c r="AJ87" s="172"/>
      <c r="AK87" s="172"/>
      <c r="AL87" s="172"/>
      <c r="AM87" s="172"/>
      <c r="AN87" s="172"/>
      <c r="AO87" s="172"/>
      <c r="AP87" s="172"/>
      <c r="AQ87" s="172"/>
      <c r="AR87" s="172"/>
      <c r="AS87" s="172"/>
      <c r="AT87" s="172"/>
      <c r="AU87" s="172"/>
      <c r="AV87" s="172"/>
      <c r="AW87" s="172"/>
      <c r="AX87" s="172"/>
      <c r="AY87" s="172"/>
    </row>
    <row r="88" spans="2:51" x14ac:dyDescent="0.25">
      <c r="B88" s="193" t="s">
        <v>231</v>
      </c>
      <c r="C88" s="191" t="s">
        <v>232</v>
      </c>
      <c r="D88" s="172">
        <f t="shared" si="56"/>
        <v>1676000</v>
      </c>
      <c r="E88" s="173">
        <f t="shared" si="57"/>
        <v>0</v>
      </c>
      <c r="F88" s="174">
        <f t="shared" si="58"/>
        <v>1676000</v>
      </c>
      <c r="G88" s="172">
        <f t="shared" si="59"/>
        <v>5410431</v>
      </c>
      <c r="H88" s="173">
        <f t="shared" si="60"/>
        <v>0</v>
      </c>
      <c r="I88" s="174">
        <f t="shared" si="61"/>
        <v>5410431</v>
      </c>
      <c r="J88" s="172"/>
      <c r="K88" s="172">
        <f>27000+3707431</f>
        <v>3734431</v>
      </c>
      <c r="L88" s="172">
        <v>1676000</v>
      </c>
      <c r="M88" s="172">
        <v>1676000</v>
      </c>
      <c r="N88" s="172"/>
      <c r="O88" s="172"/>
      <c r="P88" s="172"/>
      <c r="Q88" s="172"/>
      <c r="R88" s="172"/>
      <c r="S88" s="172"/>
      <c r="T88" s="172"/>
      <c r="U88" s="172"/>
      <c r="V88" s="172"/>
      <c r="W88" s="172"/>
      <c r="X88" s="172"/>
      <c r="Y88" s="172"/>
      <c r="Z88" s="172"/>
      <c r="AA88" s="172"/>
      <c r="AB88" s="172"/>
      <c r="AC88" s="172"/>
      <c r="AD88" s="172"/>
      <c r="AE88" s="172"/>
      <c r="AF88" s="172"/>
      <c r="AG88" s="172"/>
      <c r="AH88" s="172"/>
      <c r="AI88" s="172"/>
      <c r="AJ88" s="172"/>
      <c r="AK88" s="172"/>
      <c r="AL88" s="172"/>
      <c r="AM88" s="172"/>
      <c r="AN88" s="172"/>
      <c r="AO88" s="172"/>
      <c r="AP88" s="172"/>
      <c r="AQ88" s="172"/>
      <c r="AR88" s="172"/>
      <c r="AS88" s="172"/>
      <c r="AT88" s="172"/>
      <c r="AU88" s="172"/>
      <c r="AV88" s="172"/>
      <c r="AW88" s="172"/>
      <c r="AX88" s="172"/>
      <c r="AY88" s="172"/>
    </row>
    <row r="89" spans="2:51" x14ac:dyDescent="0.25">
      <c r="B89" s="193" t="s">
        <v>233</v>
      </c>
      <c r="C89" s="191" t="s">
        <v>234</v>
      </c>
      <c r="D89" s="172">
        <f t="shared" si="56"/>
        <v>0</v>
      </c>
      <c r="E89" s="173">
        <f t="shared" si="57"/>
        <v>0</v>
      </c>
      <c r="F89" s="174">
        <f t="shared" si="58"/>
        <v>0</v>
      </c>
      <c r="G89" s="172">
        <f t="shared" si="59"/>
        <v>0</v>
      </c>
      <c r="H89" s="173">
        <f t="shared" si="60"/>
        <v>0</v>
      </c>
      <c r="I89" s="174">
        <f t="shared" si="61"/>
        <v>0</v>
      </c>
      <c r="J89" s="172"/>
      <c r="K89" s="172"/>
      <c r="L89" s="172"/>
      <c r="M89" s="172"/>
      <c r="N89" s="172"/>
      <c r="O89" s="172"/>
      <c r="P89" s="172"/>
      <c r="Q89" s="172"/>
      <c r="R89" s="172"/>
      <c r="S89" s="172"/>
      <c r="T89" s="172"/>
      <c r="U89" s="172"/>
      <c r="V89" s="172"/>
      <c r="W89" s="172"/>
      <c r="X89" s="172"/>
      <c r="Y89" s="172"/>
      <c r="Z89" s="172"/>
      <c r="AA89" s="172"/>
      <c r="AB89" s="172"/>
      <c r="AC89" s="172"/>
      <c r="AD89" s="172"/>
      <c r="AE89" s="172"/>
      <c r="AF89" s="172"/>
      <c r="AG89" s="172"/>
      <c r="AH89" s="172"/>
      <c r="AI89" s="172"/>
      <c r="AJ89" s="172"/>
      <c r="AK89" s="172"/>
      <c r="AL89" s="172"/>
      <c r="AM89" s="172"/>
      <c r="AN89" s="172"/>
      <c r="AO89" s="172"/>
      <c r="AP89" s="172"/>
      <c r="AQ89" s="172"/>
      <c r="AR89" s="172"/>
      <c r="AS89" s="172"/>
      <c r="AT89" s="172"/>
      <c r="AU89" s="172"/>
      <c r="AV89" s="172"/>
      <c r="AW89" s="172"/>
      <c r="AX89" s="172"/>
      <c r="AY89" s="172"/>
    </row>
    <row r="90" spans="2:51" x14ac:dyDescent="0.25">
      <c r="B90" s="193" t="s">
        <v>235</v>
      </c>
      <c r="C90" s="191" t="s">
        <v>236</v>
      </c>
      <c r="D90" s="172">
        <f t="shared" si="56"/>
        <v>0</v>
      </c>
      <c r="E90" s="173">
        <f t="shared" si="57"/>
        <v>0</v>
      </c>
      <c r="F90" s="174">
        <f t="shared" si="58"/>
        <v>0</v>
      </c>
      <c r="G90" s="172">
        <f t="shared" si="59"/>
        <v>0</v>
      </c>
      <c r="H90" s="173">
        <f t="shared" si="60"/>
        <v>0</v>
      </c>
      <c r="I90" s="174">
        <f t="shared" si="61"/>
        <v>0</v>
      </c>
      <c r="J90" s="172">
        <v>0</v>
      </c>
      <c r="K90" s="172"/>
      <c r="L90" s="172"/>
      <c r="M90" s="172"/>
      <c r="N90" s="172"/>
      <c r="O90" s="172"/>
      <c r="P90" s="172"/>
      <c r="Q90" s="172"/>
      <c r="R90" s="172"/>
      <c r="S90" s="172"/>
      <c r="T90" s="172"/>
      <c r="U90" s="172"/>
      <c r="V90" s="172"/>
      <c r="W90" s="172"/>
      <c r="X90" s="172"/>
      <c r="Y90" s="172"/>
      <c r="Z90" s="172"/>
      <c r="AA90" s="172"/>
      <c r="AB90" s="172"/>
      <c r="AC90" s="172"/>
      <c r="AD90" s="172"/>
      <c r="AE90" s="172"/>
      <c r="AF90" s="172"/>
      <c r="AG90" s="172"/>
      <c r="AH90" s="172"/>
      <c r="AI90" s="172"/>
      <c r="AJ90" s="172"/>
      <c r="AK90" s="172"/>
      <c r="AL90" s="172"/>
      <c r="AM90" s="172"/>
      <c r="AN90" s="172"/>
      <c r="AO90" s="172"/>
      <c r="AP90" s="172"/>
      <c r="AQ90" s="172"/>
      <c r="AR90" s="172"/>
      <c r="AS90" s="172"/>
      <c r="AT90" s="172"/>
      <c r="AU90" s="172"/>
      <c r="AV90" s="172"/>
      <c r="AW90" s="172"/>
      <c r="AX90" s="172"/>
      <c r="AY90" s="172"/>
    </row>
    <row r="91" spans="2:51" hidden="1" x14ac:dyDescent="0.25">
      <c r="B91" s="193" t="s">
        <v>237</v>
      </c>
      <c r="C91" s="191" t="s">
        <v>238</v>
      </c>
      <c r="D91" s="172">
        <f t="shared" si="56"/>
        <v>0</v>
      </c>
      <c r="E91" s="173">
        <f t="shared" si="57"/>
        <v>0</v>
      </c>
      <c r="F91" s="174">
        <f t="shared" si="58"/>
        <v>0</v>
      </c>
      <c r="G91" s="172">
        <f t="shared" si="59"/>
        <v>0</v>
      </c>
      <c r="H91" s="173">
        <f t="shared" si="60"/>
        <v>0</v>
      </c>
      <c r="I91" s="174">
        <f t="shared" si="61"/>
        <v>0</v>
      </c>
      <c r="J91" s="172"/>
      <c r="K91" s="172"/>
      <c r="L91" s="172"/>
      <c r="M91" s="172"/>
      <c r="N91" s="172"/>
      <c r="O91" s="172"/>
      <c r="P91" s="172"/>
      <c r="Q91" s="172"/>
      <c r="R91" s="172"/>
      <c r="S91" s="172"/>
      <c r="T91" s="172"/>
      <c r="U91" s="172"/>
      <c r="V91" s="172"/>
      <c r="W91" s="172"/>
      <c r="X91" s="172"/>
      <c r="Y91" s="172"/>
      <c r="Z91" s="172"/>
      <c r="AA91" s="172"/>
      <c r="AB91" s="172"/>
      <c r="AC91" s="172"/>
      <c r="AD91" s="172"/>
      <c r="AE91" s="172"/>
      <c r="AF91" s="172"/>
      <c r="AG91" s="172"/>
      <c r="AH91" s="172"/>
      <c r="AI91" s="172"/>
      <c r="AJ91" s="172"/>
      <c r="AK91" s="172"/>
      <c r="AL91" s="172"/>
      <c r="AM91" s="172"/>
      <c r="AN91" s="172"/>
      <c r="AO91" s="172"/>
      <c r="AP91" s="172"/>
      <c r="AQ91" s="172"/>
      <c r="AR91" s="172"/>
      <c r="AS91" s="172"/>
      <c r="AT91" s="172"/>
      <c r="AU91" s="172"/>
      <c r="AV91" s="172"/>
      <c r="AW91" s="172"/>
      <c r="AX91" s="172"/>
      <c r="AY91" s="172"/>
    </row>
    <row r="92" spans="2:51" hidden="1" x14ac:dyDescent="0.25">
      <c r="B92" s="193" t="s">
        <v>239</v>
      </c>
      <c r="C92" s="191" t="s">
        <v>240</v>
      </c>
      <c r="D92" s="172">
        <f t="shared" si="56"/>
        <v>0</v>
      </c>
      <c r="E92" s="173">
        <f t="shared" si="57"/>
        <v>0</v>
      </c>
      <c r="F92" s="174">
        <f t="shared" si="58"/>
        <v>0</v>
      </c>
      <c r="G92" s="172">
        <f t="shared" si="59"/>
        <v>0</v>
      </c>
      <c r="H92" s="173">
        <f t="shared" si="60"/>
        <v>0</v>
      </c>
      <c r="I92" s="174">
        <f t="shared" si="61"/>
        <v>0</v>
      </c>
      <c r="J92" s="172"/>
      <c r="K92" s="172"/>
      <c r="L92" s="172"/>
      <c r="M92" s="172">
        <v>0</v>
      </c>
      <c r="N92" s="172"/>
      <c r="O92" s="172"/>
      <c r="P92" s="172"/>
      <c r="Q92" s="172"/>
      <c r="R92" s="172"/>
      <c r="S92" s="172"/>
      <c r="T92" s="172"/>
      <c r="U92" s="172"/>
      <c r="V92" s="172"/>
      <c r="W92" s="172"/>
      <c r="X92" s="172"/>
      <c r="Y92" s="172"/>
      <c r="Z92" s="172"/>
      <c r="AA92" s="172"/>
      <c r="AB92" s="172"/>
      <c r="AC92" s="172"/>
      <c r="AD92" s="172"/>
      <c r="AE92" s="172"/>
      <c r="AF92" s="172"/>
      <c r="AG92" s="172"/>
      <c r="AH92" s="172"/>
      <c r="AI92" s="172"/>
      <c r="AJ92" s="172"/>
      <c r="AK92" s="172"/>
      <c r="AL92" s="172"/>
      <c r="AM92" s="172"/>
      <c r="AN92" s="172"/>
      <c r="AO92" s="172"/>
      <c r="AP92" s="172"/>
      <c r="AQ92" s="172"/>
      <c r="AR92" s="172"/>
      <c r="AS92" s="172"/>
      <c r="AT92" s="172"/>
      <c r="AU92" s="172"/>
      <c r="AV92" s="172"/>
      <c r="AW92" s="172"/>
      <c r="AX92" s="172"/>
      <c r="AY92" s="172"/>
    </row>
    <row r="93" spans="2:51" x14ac:dyDescent="0.25">
      <c r="B93" s="193" t="s">
        <v>241</v>
      </c>
      <c r="C93" s="191" t="s">
        <v>242</v>
      </c>
      <c r="D93" s="172">
        <f t="shared" si="56"/>
        <v>0</v>
      </c>
      <c r="E93" s="173">
        <f t="shared" si="57"/>
        <v>0</v>
      </c>
      <c r="F93" s="174">
        <f t="shared" si="58"/>
        <v>0</v>
      </c>
      <c r="G93" s="172">
        <f t="shared" si="59"/>
        <v>0</v>
      </c>
      <c r="H93" s="173">
        <f t="shared" si="60"/>
        <v>0</v>
      </c>
      <c r="I93" s="174">
        <f t="shared" si="61"/>
        <v>0</v>
      </c>
      <c r="J93" s="172">
        <v>0</v>
      </c>
      <c r="K93" s="172"/>
      <c r="L93" s="172">
        <v>0</v>
      </c>
      <c r="M93" s="172">
        <v>0</v>
      </c>
      <c r="N93" s="172"/>
      <c r="O93" s="172"/>
      <c r="P93" s="172"/>
      <c r="Q93" s="172"/>
      <c r="R93" s="172"/>
      <c r="S93" s="172"/>
      <c r="T93" s="172"/>
      <c r="U93" s="172"/>
      <c r="V93" s="172"/>
      <c r="W93" s="172"/>
      <c r="X93" s="172"/>
      <c r="Y93" s="172"/>
      <c r="Z93" s="172"/>
      <c r="AA93" s="172"/>
      <c r="AB93" s="172"/>
      <c r="AC93" s="172"/>
      <c r="AD93" s="172"/>
      <c r="AE93" s="172"/>
      <c r="AF93" s="172"/>
      <c r="AG93" s="172"/>
      <c r="AH93" s="172"/>
      <c r="AI93" s="172"/>
      <c r="AJ93" s="172"/>
      <c r="AK93" s="172"/>
      <c r="AL93" s="172"/>
      <c r="AM93" s="172"/>
      <c r="AN93" s="172"/>
      <c r="AO93" s="172"/>
      <c r="AP93" s="172"/>
      <c r="AQ93" s="172"/>
      <c r="AR93" s="172"/>
      <c r="AS93" s="172"/>
      <c r="AT93" s="172"/>
      <c r="AU93" s="172"/>
      <c r="AV93" s="172"/>
      <c r="AW93" s="172"/>
      <c r="AX93" s="172"/>
      <c r="AY93" s="172"/>
    </row>
    <row r="94" spans="2:51" s="177" customFormat="1" ht="12.75" x14ac:dyDescent="0.2">
      <c r="B94" s="184" t="s">
        <v>243</v>
      </c>
      <c r="C94" s="192" t="s">
        <v>244</v>
      </c>
      <c r="D94" s="180">
        <f t="shared" ref="D94:AI94" si="62">SUM(D83:D93)</f>
        <v>10448999</v>
      </c>
      <c r="E94" s="180">
        <f t="shared" si="62"/>
        <v>0</v>
      </c>
      <c r="F94" s="180">
        <f t="shared" si="62"/>
        <v>10448999</v>
      </c>
      <c r="G94" s="180">
        <f>SUM(G83:G93)</f>
        <v>28314655</v>
      </c>
      <c r="H94" s="180">
        <f>SUM(H83:H93)</f>
        <v>0</v>
      </c>
      <c r="I94" s="180">
        <f t="shared" si="62"/>
        <v>28314655</v>
      </c>
      <c r="J94" s="180">
        <f t="shared" si="62"/>
        <v>0</v>
      </c>
      <c r="K94" s="180">
        <f t="shared" si="62"/>
        <v>17865656</v>
      </c>
      <c r="L94" s="180">
        <f t="shared" si="62"/>
        <v>7882999</v>
      </c>
      <c r="M94" s="180">
        <f t="shared" si="62"/>
        <v>7882999</v>
      </c>
      <c r="N94" s="180">
        <f t="shared" si="62"/>
        <v>0</v>
      </c>
      <c r="O94" s="180">
        <f t="shared" si="62"/>
        <v>0</v>
      </c>
      <c r="P94" s="180">
        <f t="shared" si="62"/>
        <v>566000</v>
      </c>
      <c r="Q94" s="180">
        <f t="shared" si="62"/>
        <v>566000</v>
      </c>
      <c r="R94" s="180">
        <f t="shared" si="62"/>
        <v>0</v>
      </c>
      <c r="S94" s="180">
        <f t="shared" si="62"/>
        <v>0</v>
      </c>
      <c r="T94" s="180">
        <f t="shared" si="62"/>
        <v>0</v>
      </c>
      <c r="U94" s="180">
        <f t="shared" si="62"/>
        <v>0</v>
      </c>
      <c r="V94" s="180">
        <f t="shared" si="62"/>
        <v>1900000</v>
      </c>
      <c r="W94" s="180">
        <f t="shared" si="62"/>
        <v>1900000</v>
      </c>
      <c r="X94" s="180">
        <f t="shared" si="62"/>
        <v>0</v>
      </c>
      <c r="Y94" s="180">
        <f t="shared" si="62"/>
        <v>0</v>
      </c>
      <c r="Z94" s="180">
        <f t="shared" si="62"/>
        <v>0</v>
      </c>
      <c r="AA94" s="180">
        <f t="shared" si="62"/>
        <v>0</v>
      </c>
      <c r="AB94" s="180">
        <f t="shared" si="62"/>
        <v>0</v>
      </c>
      <c r="AC94" s="180">
        <f t="shared" si="62"/>
        <v>0</v>
      </c>
      <c r="AD94" s="180">
        <f t="shared" si="62"/>
        <v>100000</v>
      </c>
      <c r="AE94" s="180">
        <f t="shared" si="62"/>
        <v>100000</v>
      </c>
      <c r="AF94" s="180">
        <f t="shared" si="62"/>
        <v>0</v>
      </c>
      <c r="AG94" s="180">
        <f t="shared" si="62"/>
        <v>0</v>
      </c>
      <c r="AH94" s="180">
        <f t="shared" si="62"/>
        <v>0</v>
      </c>
      <c r="AI94" s="180">
        <f t="shared" si="62"/>
        <v>0</v>
      </c>
      <c r="AJ94" s="180">
        <f t="shared" ref="AJ94:AY94" si="63">SUM(AJ83:AJ93)</f>
        <v>0</v>
      </c>
      <c r="AK94" s="180">
        <f t="shared" si="63"/>
        <v>0</v>
      </c>
      <c r="AL94" s="180">
        <f t="shared" si="63"/>
        <v>0</v>
      </c>
      <c r="AM94" s="180">
        <f t="shared" si="63"/>
        <v>0</v>
      </c>
      <c r="AN94" s="180">
        <f t="shared" si="63"/>
        <v>0</v>
      </c>
      <c r="AO94" s="180">
        <f t="shared" si="63"/>
        <v>0</v>
      </c>
      <c r="AP94" s="180">
        <f t="shared" si="63"/>
        <v>0</v>
      </c>
      <c r="AQ94" s="180">
        <f t="shared" si="63"/>
        <v>0</v>
      </c>
      <c r="AR94" s="180">
        <f t="shared" si="63"/>
        <v>0</v>
      </c>
      <c r="AS94" s="180">
        <f t="shared" si="63"/>
        <v>0</v>
      </c>
      <c r="AT94" s="180">
        <f t="shared" si="63"/>
        <v>0</v>
      </c>
      <c r="AU94" s="180">
        <f t="shared" si="63"/>
        <v>0</v>
      </c>
      <c r="AV94" s="180">
        <f t="shared" si="63"/>
        <v>0</v>
      </c>
      <c r="AW94" s="180">
        <f t="shared" si="63"/>
        <v>0</v>
      </c>
      <c r="AX94" s="180">
        <f t="shared" si="63"/>
        <v>0</v>
      </c>
      <c r="AY94" s="180">
        <f t="shared" si="63"/>
        <v>0</v>
      </c>
    </row>
    <row r="95" spans="2:51" x14ac:dyDescent="0.25">
      <c r="B95" s="193" t="s">
        <v>245</v>
      </c>
      <c r="C95" s="191" t="s">
        <v>246</v>
      </c>
      <c r="D95" s="172">
        <f>+J95+L95+N95+P95+R95+T95+V95+X95+Z95+AB95+AD95+AF95+AH95+AJ95</f>
        <v>0</v>
      </c>
      <c r="E95" s="173">
        <f>+AL95+AN95+AP95+AT95+AV95+AX95+AR95</f>
        <v>0</v>
      </c>
      <c r="F95" s="174">
        <f>+E95+D95</f>
        <v>0</v>
      </c>
      <c r="G95" s="172">
        <f>+K95+M95+O95+Q95+S95+U95+W95+Y95+AA95+AC95+AE95+AG95+AI95+AK95</f>
        <v>0</v>
      </c>
      <c r="H95" s="173">
        <f>+AM95+AO95+AQ95+AU95+AW95+AY95+AS95</f>
        <v>0</v>
      </c>
      <c r="I95" s="174">
        <f>+H95+G95</f>
        <v>0</v>
      </c>
      <c r="J95" s="172"/>
      <c r="K95" s="172"/>
      <c r="L95" s="172"/>
      <c r="M95" s="172"/>
      <c r="N95" s="172"/>
      <c r="O95" s="172"/>
      <c r="P95" s="172"/>
      <c r="Q95" s="172"/>
      <c r="R95" s="172"/>
      <c r="S95" s="172"/>
      <c r="T95" s="172"/>
      <c r="U95" s="172"/>
      <c r="V95" s="172"/>
      <c r="W95" s="172"/>
      <c r="X95" s="172"/>
      <c r="Y95" s="172"/>
      <c r="Z95" s="172"/>
      <c r="AA95" s="172"/>
      <c r="AB95" s="172"/>
      <c r="AC95" s="172"/>
      <c r="AD95" s="172"/>
      <c r="AE95" s="172"/>
      <c r="AF95" s="172"/>
      <c r="AG95" s="172"/>
      <c r="AH95" s="172"/>
      <c r="AI95" s="172"/>
      <c r="AJ95" s="172"/>
      <c r="AK95" s="172"/>
      <c r="AL95" s="172"/>
      <c r="AM95" s="172"/>
      <c r="AN95" s="172"/>
      <c r="AO95" s="172"/>
      <c r="AP95" s="172"/>
      <c r="AQ95" s="172"/>
      <c r="AR95" s="172"/>
      <c r="AS95" s="172"/>
      <c r="AT95" s="172"/>
      <c r="AU95" s="172"/>
      <c r="AV95" s="172"/>
      <c r="AW95" s="172"/>
      <c r="AX95" s="172"/>
      <c r="AY95" s="172"/>
    </row>
    <row r="96" spans="2:51" x14ac:dyDescent="0.25">
      <c r="B96" s="193" t="s">
        <v>247</v>
      </c>
      <c r="C96" s="191" t="s">
        <v>248</v>
      </c>
      <c r="D96" s="172">
        <f>+J96+L96+N96+P96+R96+T96+V96+X96+Z96+AB96+AD96+AF96+AH96+AJ96</f>
        <v>0</v>
      </c>
      <c r="E96" s="173">
        <f>+AL96+AN96+AP96+AT96+AV96+AX96+AR96</f>
        <v>0</v>
      </c>
      <c r="F96" s="174">
        <f>+E96+D96</f>
        <v>0</v>
      </c>
      <c r="G96" s="172">
        <f>+K96+M96+O96+Q96+S96+U96+W96+Y96+AA96+AC96+AE96+AG96+AI96+AK96</f>
        <v>0</v>
      </c>
      <c r="H96" s="173">
        <f>+AM96+AO96+AQ96+AU96+AW96+AY96+AS96</f>
        <v>0</v>
      </c>
      <c r="I96" s="174">
        <f>+H96+G96</f>
        <v>0</v>
      </c>
      <c r="J96" s="172"/>
      <c r="K96" s="172"/>
      <c r="L96" s="172"/>
      <c r="M96" s="172"/>
      <c r="N96" s="172"/>
      <c r="O96" s="172"/>
      <c r="P96" s="172"/>
      <c r="Q96" s="172"/>
      <c r="R96" s="172"/>
      <c r="S96" s="172"/>
      <c r="T96" s="172"/>
      <c r="U96" s="172"/>
      <c r="V96" s="172"/>
      <c r="W96" s="172"/>
      <c r="X96" s="172"/>
      <c r="Y96" s="172"/>
      <c r="Z96" s="172"/>
      <c r="AA96" s="172"/>
      <c r="AB96" s="172"/>
      <c r="AC96" s="172"/>
      <c r="AD96" s="172"/>
      <c r="AE96" s="172"/>
      <c r="AF96" s="172"/>
      <c r="AG96" s="172"/>
      <c r="AH96" s="172"/>
      <c r="AI96" s="172"/>
      <c r="AJ96" s="172"/>
      <c r="AK96" s="172"/>
      <c r="AL96" s="172"/>
      <c r="AM96" s="172"/>
      <c r="AN96" s="172"/>
      <c r="AO96" s="172"/>
      <c r="AP96" s="172"/>
      <c r="AQ96" s="172"/>
      <c r="AR96" s="172"/>
      <c r="AS96" s="172"/>
      <c r="AT96" s="172"/>
      <c r="AU96" s="172"/>
      <c r="AV96" s="172"/>
      <c r="AW96" s="172"/>
      <c r="AX96" s="172"/>
      <c r="AY96" s="172"/>
    </row>
    <row r="97" spans="2:51" x14ac:dyDescent="0.25">
      <c r="B97" s="193" t="s">
        <v>249</v>
      </c>
      <c r="C97" s="191" t="s">
        <v>250</v>
      </c>
      <c r="D97" s="172">
        <f>+J97+L97+N97+P97+R97+T97+V97+X97+Z97+AB97+AD97+AF97+AH97+AJ97</f>
        <v>0</v>
      </c>
      <c r="E97" s="173">
        <f>+AL97+AN97+AP97+AT97+AV97+AX97+AR97</f>
        <v>0</v>
      </c>
      <c r="F97" s="174">
        <f>+E97+D97</f>
        <v>0</v>
      </c>
      <c r="G97" s="172">
        <f>+K97+M97+O97+Q97+S97+U97+W97+Y97+AA97+AC97+AE97+AG97+AI97+AK97</f>
        <v>0</v>
      </c>
      <c r="H97" s="173">
        <f>+AM97+AO97+AQ97+AU97+AW97+AY97+AS97</f>
        <v>0</v>
      </c>
      <c r="I97" s="174">
        <f>+H97+G97</f>
        <v>0</v>
      </c>
      <c r="J97" s="172"/>
      <c r="K97" s="172"/>
      <c r="L97" s="172"/>
      <c r="M97" s="172"/>
      <c r="N97" s="172"/>
      <c r="O97" s="172"/>
      <c r="P97" s="172"/>
      <c r="Q97" s="172"/>
      <c r="R97" s="172"/>
      <c r="S97" s="172"/>
      <c r="T97" s="172"/>
      <c r="U97" s="172"/>
      <c r="V97" s="172"/>
      <c r="W97" s="172"/>
      <c r="X97" s="172"/>
      <c r="Y97" s="172"/>
      <c r="Z97" s="172"/>
      <c r="AA97" s="172"/>
      <c r="AB97" s="172"/>
      <c r="AC97" s="172"/>
      <c r="AD97" s="172"/>
      <c r="AE97" s="172"/>
      <c r="AF97" s="172"/>
      <c r="AG97" s="172"/>
      <c r="AH97" s="172"/>
      <c r="AI97" s="172"/>
      <c r="AJ97" s="172"/>
      <c r="AK97" s="172"/>
      <c r="AL97" s="172"/>
      <c r="AM97" s="172"/>
      <c r="AN97" s="172"/>
      <c r="AO97" s="172"/>
      <c r="AP97" s="172"/>
      <c r="AQ97" s="172"/>
      <c r="AR97" s="172"/>
      <c r="AS97" s="172"/>
      <c r="AT97" s="172"/>
      <c r="AU97" s="172"/>
      <c r="AV97" s="172"/>
      <c r="AW97" s="172"/>
      <c r="AX97" s="172"/>
      <c r="AY97" s="172"/>
    </row>
    <row r="98" spans="2:51" hidden="1" x14ac:dyDescent="0.25">
      <c r="B98" s="193" t="s">
        <v>251</v>
      </c>
      <c r="C98" s="191" t="s">
        <v>252</v>
      </c>
      <c r="D98" s="172">
        <f>+J98+L98+N98+P98+R98+T98+V98+X98+Z98+AB98+AD98+AF98+AH98+AJ98</f>
        <v>0</v>
      </c>
      <c r="E98" s="173">
        <f>+AL98+AN98+AP98+AT98+AV98+AX98+AR98</f>
        <v>0</v>
      </c>
      <c r="F98" s="174">
        <f>+E98+D98</f>
        <v>0</v>
      </c>
      <c r="G98" s="172">
        <f>+M98+O98+Q98+S98+U98+W98+Y98+AA98+AC98+AE98+AG98+AI98+AK98+AM98</f>
        <v>0</v>
      </c>
      <c r="H98" s="173">
        <f>+AO98+AQ98+AS98+AW98+AY98+BA98+AU98</f>
        <v>0</v>
      </c>
      <c r="I98" s="174">
        <f>+H98+G98</f>
        <v>0</v>
      </c>
      <c r="J98" s="172"/>
      <c r="K98" s="172"/>
      <c r="L98" s="172"/>
      <c r="M98" s="172"/>
      <c r="N98" s="172"/>
      <c r="O98" s="172"/>
      <c r="P98" s="172"/>
      <c r="Q98" s="172"/>
      <c r="R98" s="172"/>
      <c r="S98" s="172"/>
      <c r="T98" s="172"/>
      <c r="U98" s="172"/>
      <c r="V98" s="172"/>
      <c r="W98" s="172"/>
      <c r="X98" s="172"/>
      <c r="Y98" s="172"/>
      <c r="Z98" s="172"/>
      <c r="AA98" s="172"/>
      <c r="AB98" s="172"/>
      <c r="AC98" s="172"/>
      <c r="AD98" s="172"/>
      <c r="AE98" s="172"/>
      <c r="AF98" s="172"/>
      <c r="AG98" s="172"/>
      <c r="AH98" s="172"/>
      <c r="AI98" s="172"/>
      <c r="AJ98" s="172"/>
      <c r="AK98" s="172"/>
      <c r="AL98" s="172"/>
      <c r="AM98" s="172"/>
      <c r="AN98" s="172"/>
      <c r="AO98" s="172"/>
      <c r="AP98" s="172"/>
      <c r="AQ98" s="172"/>
      <c r="AR98" s="172"/>
      <c r="AS98" s="172"/>
      <c r="AT98" s="172"/>
      <c r="AU98" s="172"/>
      <c r="AV98" s="172"/>
      <c r="AW98" s="172"/>
      <c r="AX98" s="172"/>
      <c r="AY98" s="172"/>
    </row>
    <row r="99" spans="2:51" hidden="1" x14ac:dyDescent="0.25">
      <c r="B99" s="193" t="s">
        <v>253</v>
      </c>
      <c r="C99" s="191" t="s">
        <v>254</v>
      </c>
      <c r="D99" s="172">
        <f>+J99+L99+N99+P99+R99+T99+V99+X99+Z99+AB99+AD99+AF99+AH99+AJ99</f>
        <v>0</v>
      </c>
      <c r="E99" s="173">
        <f>+AL99+AN99+AP99+AT99+AV99+AX99+AR99</f>
        <v>0</v>
      </c>
      <c r="F99" s="174">
        <f>+E99+D99</f>
        <v>0</v>
      </c>
      <c r="G99" s="172">
        <f>+M99+O99+Q99+S99+U99+W99+Y99+AA99+AC99+AE99+AG99+AI99+AK99+AM99</f>
        <v>0</v>
      </c>
      <c r="H99" s="173">
        <f>+AO99+AQ99+AS99+AW99+AY99+BA99+AU99</f>
        <v>0</v>
      </c>
      <c r="I99" s="174">
        <f>+H99+G99</f>
        <v>0</v>
      </c>
      <c r="J99" s="172"/>
      <c r="K99" s="172"/>
      <c r="L99" s="172"/>
      <c r="M99" s="172"/>
      <c r="N99" s="172"/>
      <c r="O99" s="172"/>
      <c r="P99" s="172"/>
      <c r="Q99" s="172"/>
      <c r="R99" s="172"/>
      <c r="S99" s="172"/>
      <c r="T99" s="172"/>
      <c r="U99" s="172"/>
      <c r="V99" s="172"/>
      <c r="W99" s="172"/>
      <c r="X99" s="172"/>
      <c r="Y99" s="172"/>
      <c r="Z99" s="172"/>
      <c r="AA99" s="172"/>
      <c r="AB99" s="172"/>
      <c r="AC99" s="172"/>
      <c r="AD99" s="172"/>
      <c r="AE99" s="172"/>
      <c r="AF99" s="172"/>
      <c r="AG99" s="172"/>
      <c r="AH99" s="172"/>
      <c r="AI99" s="172"/>
      <c r="AJ99" s="172"/>
      <c r="AK99" s="172"/>
      <c r="AL99" s="172"/>
      <c r="AM99" s="172"/>
      <c r="AN99" s="172"/>
      <c r="AO99" s="172"/>
      <c r="AP99" s="172"/>
      <c r="AQ99" s="172"/>
      <c r="AR99" s="172"/>
      <c r="AS99" s="172"/>
      <c r="AT99" s="172"/>
      <c r="AU99" s="172"/>
      <c r="AV99" s="172"/>
      <c r="AW99" s="172"/>
      <c r="AX99" s="172"/>
      <c r="AY99" s="172"/>
    </row>
    <row r="100" spans="2:51" s="177" customFormat="1" ht="12.75" x14ac:dyDescent="0.2">
      <c r="B100" s="181" t="s">
        <v>255</v>
      </c>
      <c r="C100" s="192" t="s">
        <v>256</v>
      </c>
      <c r="D100" s="180">
        <f t="shared" ref="D100:AI100" si="64">SUM(D95:D99)</f>
        <v>0</v>
      </c>
      <c r="E100" s="180">
        <f t="shared" si="64"/>
        <v>0</v>
      </c>
      <c r="F100" s="180">
        <f t="shared" si="64"/>
        <v>0</v>
      </c>
      <c r="G100" s="180">
        <f>SUM(G95:G99)</f>
        <v>0</v>
      </c>
      <c r="H100" s="180">
        <f>SUM(H95:H99)</f>
        <v>0</v>
      </c>
      <c r="I100" s="180">
        <f t="shared" si="64"/>
        <v>0</v>
      </c>
      <c r="J100" s="180">
        <f t="shared" si="64"/>
        <v>0</v>
      </c>
      <c r="K100" s="180">
        <f t="shared" si="64"/>
        <v>0</v>
      </c>
      <c r="L100" s="180">
        <f t="shared" si="64"/>
        <v>0</v>
      </c>
      <c r="M100" s="180">
        <f t="shared" si="64"/>
        <v>0</v>
      </c>
      <c r="N100" s="180">
        <f t="shared" si="64"/>
        <v>0</v>
      </c>
      <c r="O100" s="180">
        <f t="shared" si="64"/>
        <v>0</v>
      </c>
      <c r="P100" s="180">
        <f t="shared" si="64"/>
        <v>0</v>
      </c>
      <c r="Q100" s="180">
        <f t="shared" si="64"/>
        <v>0</v>
      </c>
      <c r="R100" s="180">
        <f t="shared" si="64"/>
        <v>0</v>
      </c>
      <c r="S100" s="180">
        <f t="shared" si="64"/>
        <v>0</v>
      </c>
      <c r="T100" s="180">
        <f t="shared" si="64"/>
        <v>0</v>
      </c>
      <c r="U100" s="180">
        <f t="shared" si="64"/>
        <v>0</v>
      </c>
      <c r="V100" s="180">
        <f t="shared" si="64"/>
        <v>0</v>
      </c>
      <c r="W100" s="180">
        <f t="shared" si="64"/>
        <v>0</v>
      </c>
      <c r="X100" s="180">
        <f t="shared" si="64"/>
        <v>0</v>
      </c>
      <c r="Y100" s="180">
        <f t="shared" si="64"/>
        <v>0</v>
      </c>
      <c r="Z100" s="180">
        <f t="shared" si="64"/>
        <v>0</v>
      </c>
      <c r="AA100" s="180">
        <f t="shared" si="64"/>
        <v>0</v>
      </c>
      <c r="AB100" s="180">
        <f t="shared" si="64"/>
        <v>0</v>
      </c>
      <c r="AC100" s="180">
        <f t="shared" si="64"/>
        <v>0</v>
      </c>
      <c r="AD100" s="180">
        <f t="shared" si="64"/>
        <v>0</v>
      </c>
      <c r="AE100" s="180">
        <f t="shared" si="64"/>
        <v>0</v>
      </c>
      <c r="AF100" s="180">
        <f t="shared" si="64"/>
        <v>0</v>
      </c>
      <c r="AG100" s="180">
        <f t="shared" si="64"/>
        <v>0</v>
      </c>
      <c r="AH100" s="180">
        <f t="shared" si="64"/>
        <v>0</v>
      </c>
      <c r="AI100" s="180">
        <f t="shared" si="64"/>
        <v>0</v>
      </c>
      <c r="AJ100" s="180">
        <f t="shared" ref="AJ100:AY100" si="65">SUM(AJ95:AJ99)</f>
        <v>0</v>
      </c>
      <c r="AK100" s="180">
        <f t="shared" si="65"/>
        <v>0</v>
      </c>
      <c r="AL100" s="180">
        <f t="shared" si="65"/>
        <v>0</v>
      </c>
      <c r="AM100" s="180">
        <f t="shared" si="65"/>
        <v>0</v>
      </c>
      <c r="AN100" s="180">
        <f t="shared" si="65"/>
        <v>0</v>
      </c>
      <c r="AO100" s="180">
        <f t="shared" si="65"/>
        <v>0</v>
      </c>
      <c r="AP100" s="180">
        <f t="shared" si="65"/>
        <v>0</v>
      </c>
      <c r="AQ100" s="180">
        <f t="shared" si="65"/>
        <v>0</v>
      </c>
      <c r="AR100" s="180">
        <f t="shared" si="65"/>
        <v>0</v>
      </c>
      <c r="AS100" s="180">
        <f t="shared" si="65"/>
        <v>0</v>
      </c>
      <c r="AT100" s="180">
        <f t="shared" si="65"/>
        <v>0</v>
      </c>
      <c r="AU100" s="180">
        <f t="shared" si="65"/>
        <v>0</v>
      </c>
      <c r="AV100" s="180">
        <f t="shared" si="65"/>
        <v>0</v>
      </c>
      <c r="AW100" s="180">
        <f t="shared" si="65"/>
        <v>0</v>
      </c>
      <c r="AX100" s="180">
        <f t="shared" si="65"/>
        <v>0</v>
      </c>
      <c r="AY100" s="180">
        <f t="shared" si="65"/>
        <v>0</v>
      </c>
    </row>
    <row r="101" spans="2:51" s="472" customFormat="1" ht="12.75" x14ac:dyDescent="0.2">
      <c r="B101" s="181" t="s">
        <v>257</v>
      </c>
      <c r="C101" s="192" t="s">
        <v>258</v>
      </c>
      <c r="D101" s="180">
        <f t="shared" ref="D101:D106" si="66">+J101+L101+N101+P101+R101+T101+V101+X101+Z101+AB101+AD101+AF101+AH101+AJ101</f>
        <v>22482500</v>
      </c>
      <c r="E101" s="207">
        <f t="shared" ref="E101:E106" si="67">+AL101+AN101+AP101+AT101+AV101+AX101+AR101</f>
        <v>0</v>
      </c>
      <c r="F101" s="180">
        <f t="shared" ref="F101:F106" si="68">+E101+D101</f>
        <v>22482500</v>
      </c>
      <c r="G101" s="391">
        <f t="shared" ref="G101" si="69">+K101+M101+O101+Q101+S101+U101+W101+Y101+AA101+AC101+AE101+AG101+AI101+AK101</f>
        <v>26301792</v>
      </c>
      <c r="H101" s="471">
        <f t="shared" ref="H101" si="70">+AM101+AO101+AQ101+AU101+AW101+AY101+AS101</f>
        <v>0</v>
      </c>
      <c r="I101" s="180">
        <f t="shared" ref="I101:I106" si="71">+H101+G101</f>
        <v>26301792</v>
      </c>
      <c r="J101" s="180"/>
      <c r="K101" s="180">
        <v>3819292</v>
      </c>
      <c r="L101" s="180"/>
      <c r="M101" s="180"/>
      <c r="N101" s="180"/>
      <c r="O101" s="180"/>
      <c r="P101" s="180"/>
      <c r="Q101" s="180"/>
      <c r="R101" s="180"/>
      <c r="S101" s="180"/>
      <c r="T101" s="180"/>
      <c r="U101" s="180"/>
      <c r="V101" s="180"/>
      <c r="W101" s="180"/>
      <c r="X101" s="180">
        <v>22482500</v>
      </c>
      <c r="Y101" s="180">
        <v>22482500</v>
      </c>
      <c r="Z101" s="180"/>
      <c r="AA101" s="180"/>
      <c r="AB101" s="180"/>
      <c r="AC101" s="180"/>
      <c r="AD101" s="180"/>
      <c r="AE101" s="180"/>
      <c r="AF101" s="180"/>
      <c r="AG101" s="180"/>
      <c r="AH101" s="180"/>
      <c r="AI101" s="180"/>
      <c r="AJ101" s="180"/>
      <c r="AK101" s="180"/>
      <c r="AL101" s="180"/>
      <c r="AM101" s="180"/>
      <c r="AN101" s="180"/>
      <c r="AO101" s="180"/>
      <c r="AP101" s="180"/>
      <c r="AQ101" s="180"/>
      <c r="AR101" s="180"/>
      <c r="AS101" s="180"/>
      <c r="AT101" s="180"/>
      <c r="AU101" s="180"/>
      <c r="AV101" s="180"/>
      <c r="AW101" s="180"/>
      <c r="AX101" s="180"/>
      <c r="AY101" s="180"/>
    </row>
    <row r="102" spans="2:51" ht="27" hidden="1" customHeight="1" x14ac:dyDescent="0.25">
      <c r="B102" s="193" t="s">
        <v>608</v>
      </c>
      <c r="C102" s="191" t="s">
        <v>260</v>
      </c>
      <c r="D102" s="172">
        <f t="shared" si="66"/>
        <v>0</v>
      </c>
      <c r="E102" s="173">
        <f t="shared" si="67"/>
        <v>0</v>
      </c>
      <c r="F102" s="174">
        <f t="shared" si="68"/>
        <v>0</v>
      </c>
      <c r="G102" s="172">
        <f>+M102+O102+Q102+S102+U102+W102+Y102+AA102+AC102+AE102+AG102+AI102+AK102+AM102</f>
        <v>0</v>
      </c>
      <c r="H102" s="173">
        <f>+AO102+AQ102+AS102+AW102+AY102+BA102+AU102</f>
        <v>0</v>
      </c>
      <c r="I102" s="174">
        <f t="shared" si="71"/>
        <v>0</v>
      </c>
      <c r="J102" s="172"/>
      <c r="K102" s="172"/>
      <c r="L102" s="172"/>
      <c r="M102" s="172"/>
      <c r="N102" s="172"/>
      <c r="O102" s="172"/>
      <c r="P102" s="172"/>
      <c r="Q102" s="172"/>
      <c r="R102" s="172"/>
      <c r="S102" s="172"/>
      <c r="T102" s="172"/>
      <c r="U102" s="172"/>
      <c r="V102" s="172"/>
      <c r="W102" s="172"/>
      <c r="X102" s="172"/>
      <c r="Y102" s="172"/>
      <c r="Z102" s="172"/>
      <c r="AA102" s="172"/>
      <c r="AB102" s="172"/>
      <c r="AC102" s="172"/>
      <c r="AD102" s="172"/>
      <c r="AE102" s="172"/>
      <c r="AF102" s="172"/>
      <c r="AG102" s="172"/>
      <c r="AH102" s="172"/>
      <c r="AI102" s="172"/>
      <c r="AJ102" s="172"/>
      <c r="AK102" s="172"/>
      <c r="AL102" s="172"/>
      <c r="AM102" s="172"/>
      <c r="AN102" s="172"/>
      <c r="AO102" s="172"/>
      <c r="AP102" s="172"/>
      <c r="AQ102" s="172"/>
      <c r="AR102" s="172"/>
      <c r="AS102" s="172"/>
      <c r="AT102" s="172"/>
      <c r="AU102" s="172"/>
      <c r="AV102" s="172"/>
      <c r="AW102" s="172"/>
      <c r="AX102" s="172"/>
      <c r="AY102" s="172"/>
    </row>
    <row r="103" spans="2:51" hidden="1" x14ac:dyDescent="0.25">
      <c r="B103" s="176" t="s">
        <v>609</v>
      </c>
      <c r="C103" s="191" t="s">
        <v>262</v>
      </c>
      <c r="D103" s="172">
        <f t="shared" si="66"/>
        <v>0</v>
      </c>
      <c r="E103" s="173">
        <f t="shared" si="67"/>
        <v>0</v>
      </c>
      <c r="F103" s="174">
        <f t="shared" si="68"/>
        <v>0</v>
      </c>
      <c r="G103" s="172">
        <f>+M103+O103+Q103+S103+U103+W103+Y103+AA103+AC103+AE103+AG103+AI103+AK103+AM103</f>
        <v>0</v>
      </c>
      <c r="H103" s="173">
        <f>+AO103+AQ103+AS103+AW103+AY103+BA103+AU103</f>
        <v>0</v>
      </c>
      <c r="I103" s="174">
        <f t="shared" si="71"/>
        <v>0</v>
      </c>
      <c r="J103" s="172"/>
      <c r="K103" s="172"/>
      <c r="L103" s="172"/>
      <c r="M103" s="172"/>
      <c r="N103" s="172"/>
      <c r="O103" s="172"/>
      <c r="P103" s="172"/>
      <c r="Q103" s="172"/>
      <c r="R103" s="172"/>
      <c r="S103" s="172"/>
      <c r="T103" s="172"/>
      <c r="U103" s="172"/>
      <c r="V103" s="172"/>
      <c r="W103" s="172"/>
      <c r="X103" s="172"/>
      <c r="Y103" s="172"/>
      <c r="Z103" s="172"/>
      <c r="AA103" s="172"/>
      <c r="AB103" s="172"/>
      <c r="AC103" s="172"/>
      <c r="AD103" s="172"/>
      <c r="AE103" s="172"/>
      <c r="AF103" s="172"/>
      <c r="AG103" s="172"/>
      <c r="AH103" s="172"/>
      <c r="AI103" s="172"/>
      <c r="AJ103" s="172"/>
      <c r="AK103" s="172"/>
      <c r="AL103" s="172"/>
      <c r="AM103" s="172"/>
      <c r="AN103" s="172"/>
      <c r="AO103" s="172"/>
      <c r="AP103" s="172"/>
      <c r="AQ103" s="172"/>
      <c r="AR103" s="172"/>
      <c r="AS103" s="172"/>
      <c r="AT103" s="172"/>
      <c r="AU103" s="172"/>
      <c r="AV103" s="172"/>
      <c r="AW103" s="172"/>
      <c r="AX103" s="172"/>
      <c r="AY103" s="172"/>
    </row>
    <row r="104" spans="2:51" ht="27" hidden="1" customHeight="1" x14ac:dyDescent="0.25">
      <c r="B104" s="193" t="s">
        <v>263</v>
      </c>
      <c r="C104" s="191" t="s">
        <v>264</v>
      </c>
      <c r="D104" s="172">
        <f t="shared" si="66"/>
        <v>0</v>
      </c>
      <c r="E104" s="173">
        <f t="shared" si="67"/>
        <v>0</v>
      </c>
      <c r="F104" s="174">
        <f t="shared" si="68"/>
        <v>0</v>
      </c>
      <c r="G104" s="172">
        <f>+M104+O104+Q104+S104+U104+W104+Y104+AA104+AC104+AE104+AG104+AI104+AK104+AM104</f>
        <v>0</v>
      </c>
      <c r="H104" s="173">
        <f>+AO104+AQ104+AS104+AW104+AY104+BA104+AU104</f>
        <v>0</v>
      </c>
      <c r="I104" s="174">
        <f t="shared" si="71"/>
        <v>0</v>
      </c>
      <c r="J104" s="172"/>
      <c r="K104" s="172"/>
      <c r="L104" s="172"/>
      <c r="M104" s="172"/>
      <c r="N104" s="172"/>
      <c r="O104" s="172"/>
      <c r="P104" s="172"/>
      <c r="Q104" s="172"/>
      <c r="R104" s="172"/>
      <c r="S104" s="172"/>
      <c r="T104" s="172"/>
      <c r="U104" s="172"/>
      <c r="V104" s="172"/>
      <c r="W104" s="172"/>
      <c r="X104" s="172"/>
      <c r="Y104" s="172"/>
      <c r="Z104" s="172"/>
      <c r="AA104" s="172"/>
      <c r="AB104" s="172"/>
      <c r="AC104" s="172"/>
      <c r="AD104" s="172"/>
      <c r="AE104" s="172"/>
      <c r="AF104" s="172"/>
      <c r="AG104" s="172"/>
      <c r="AH104" s="172"/>
      <c r="AI104" s="172"/>
      <c r="AJ104" s="172"/>
      <c r="AK104" s="172"/>
      <c r="AL104" s="172"/>
      <c r="AM104" s="172"/>
      <c r="AN104" s="172"/>
      <c r="AO104" s="172"/>
      <c r="AP104" s="172"/>
      <c r="AQ104" s="172"/>
      <c r="AR104" s="172"/>
      <c r="AS104" s="172"/>
      <c r="AT104" s="172"/>
      <c r="AU104" s="172"/>
      <c r="AV104" s="172"/>
      <c r="AW104" s="172"/>
      <c r="AX104" s="172"/>
      <c r="AY104" s="172"/>
    </row>
    <row r="105" spans="2:51" ht="27" hidden="1" customHeight="1" x14ac:dyDescent="0.25">
      <c r="B105" s="193" t="s">
        <v>610</v>
      </c>
      <c r="C105" s="191" t="s">
        <v>266</v>
      </c>
      <c r="D105" s="172">
        <f t="shared" si="66"/>
        <v>0</v>
      </c>
      <c r="E105" s="173">
        <f t="shared" si="67"/>
        <v>0</v>
      </c>
      <c r="F105" s="174">
        <f t="shared" si="68"/>
        <v>0</v>
      </c>
      <c r="G105" s="172">
        <f>+M105+O105+Q105+S105+U105+W105+Y105+AA105+AC105+AE105+AG105+AI105+AK105+AM105</f>
        <v>0</v>
      </c>
      <c r="H105" s="173">
        <f>+AO105+AQ105+AS105+AW105+AY105+BA105+AU105</f>
        <v>0</v>
      </c>
      <c r="I105" s="174">
        <f t="shared" si="71"/>
        <v>0</v>
      </c>
      <c r="J105" s="172"/>
      <c r="K105" s="172"/>
      <c r="L105" s="172"/>
      <c r="M105" s="172"/>
      <c r="N105" s="172"/>
      <c r="O105" s="172"/>
      <c r="P105" s="172"/>
      <c r="Q105" s="172"/>
      <c r="R105" s="172"/>
      <c r="S105" s="172"/>
      <c r="T105" s="172"/>
      <c r="U105" s="172"/>
      <c r="V105" s="172"/>
      <c r="W105" s="172"/>
      <c r="X105" s="172"/>
      <c r="Y105" s="172"/>
      <c r="Z105" s="172"/>
      <c r="AA105" s="172"/>
      <c r="AB105" s="172"/>
      <c r="AC105" s="172"/>
      <c r="AD105" s="172"/>
      <c r="AE105" s="172"/>
      <c r="AF105" s="172"/>
      <c r="AG105" s="172"/>
      <c r="AH105" s="172"/>
      <c r="AI105" s="172"/>
      <c r="AJ105" s="172"/>
      <c r="AK105" s="172"/>
      <c r="AL105" s="172"/>
      <c r="AM105" s="172"/>
      <c r="AN105" s="172"/>
      <c r="AO105" s="172"/>
      <c r="AP105" s="172"/>
      <c r="AQ105" s="172"/>
      <c r="AR105" s="172"/>
      <c r="AS105" s="172"/>
      <c r="AT105" s="172"/>
      <c r="AU105" s="172"/>
      <c r="AV105" s="172"/>
      <c r="AW105" s="172"/>
      <c r="AX105" s="172"/>
      <c r="AY105" s="172"/>
    </row>
    <row r="106" spans="2:51" ht="15" customHeight="1" x14ac:dyDescent="0.25">
      <c r="B106" s="193" t="s">
        <v>267</v>
      </c>
      <c r="C106" s="191" t="s">
        <v>268</v>
      </c>
      <c r="D106" s="172">
        <f t="shared" si="66"/>
        <v>25400000</v>
      </c>
      <c r="E106" s="173">
        <f t="shared" si="67"/>
        <v>0</v>
      </c>
      <c r="F106" s="174">
        <f t="shared" si="68"/>
        <v>25400000</v>
      </c>
      <c r="G106" s="172">
        <f>+K106+M106+O106+Q106+S106+U106+W106+Y106+AA106+AC106+AE106+AG106+AI106+AK106</f>
        <v>25400000</v>
      </c>
      <c r="H106" s="173">
        <f>+AM106+AO106+AQ106+AU106+AW106+AY106+AS106</f>
        <v>0</v>
      </c>
      <c r="I106" s="174">
        <f t="shared" si="71"/>
        <v>25400000</v>
      </c>
      <c r="J106" s="172"/>
      <c r="K106" s="172"/>
      <c r="L106" s="172"/>
      <c r="M106" s="172"/>
      <c r="N106" s="172"/>
      <c r="O106" s="172"/>
      <c r="P106" s="172"/>
      <c r="Q106" s="172"/>
      <c r="R106" s="172"/>
      <c r="S106" s="172"/>
      <c r="T106" s="172"/>
      <c r="U106" s="172"/>
      <c r="V106" s="172"/>
      <c r="W106" s="172"/>
      <c r="X106" s="172">
        <v>25400000</v>
      </c>
      <c r="Y106" s="172">
        <v>25400000</v>
      </c>
      <c r="Z106" s="172"/>
      <c r="AA106" s="172"/>
      <c r="AB106" s="172"/>
      <c r="AC106" s="172"/>
      <c r="AD106" s="172"/>
      <c r="AE106" s="172"/>
      <c r="AF106" s="172"/>
      <c r="AG106" s="172"/>
      <c r="AH106" s="172"/>
      <c r="AI106" s="172"/>
      <c r="AJ106" s="172"/>
      <c r="AK106" s="172"/>
      <c r="AL106" s="172"/>
      <c r="AM106" s="172"/>
      <c r="AN106" s="172"/>
      <c r="AO106" s="172"/>
      <c r="AP106" s="172"/>
      <c r="AQ106" s="172"/>
      <c r="AR106" s="172"/>
      <c r="AS106" s="172"/>
      <c r="AT106" s="172"/>
      <c r="AU106" s="172"/>
      <c r="AV106" s="172"/>
      <c r="AW106" s="172"/>
      <c r="AX106" s="172"/>
      <c r="AY106" s="172"/>
    </row>
    <row r="107" spans="2:51" s="177" customFormat="1" ht="12.75" x14ac:dyDescent="0.2">
      <c r="B107" s="181" t="s">
        <v>269</v>
      </c>
      <c r="C107" s="192" t="s">
        <v>270</v>
      </c>
      <c r="D107" s="180">
        <f t="shared" ref="D107:AI107" si="72">SUM(D102:D106)</f>
        <v>25400000</v>
      </c>
      <c r="E107" s="180">
        <f t="shared" si="72"/>
        <v>0</v>
      </c>
      <c r="F107" s="180">
        <f t="shared" si="72"/>
        <v>25400000</v>
      </c>
      <c r="G107" s="180">
        <f>SUM(G102:G106)</f>
        <v>25400000</v>
      </c>
      <c r="H107" s="180">
        <f>SUM(H102:H106)</f>
        <v>0</v>
      </c>
      <c r="I107" s="180">
        <f t="shared" si="72"/>
        <v>25400000</v>
      </c>
      <c r="J107" s="180">
        <f t="shared" si="72"/>
        <v>0</v>
      </c>
      <c r="K107" s="180">
        <f t="shared" si="72"/>
        <v>0</v>
      </c>
      <c r="L107" s="180">
        <f t="shared" si="72"/>
        <v>0</v>
      </c>
      <c r="M107" s="180">
        <f t="shared" si="72"/>
        <v>0</v>
      </c>
      <c r="N107" s="180">
        <f t="shared" si="72"/>
        <v>0</v>
      </c>
      <c r="O107" s="180">
        <f t="shared" si="72"/>
        <v>0</v>
      </c>
      <c r="P107" s="180">
        <f t="shared" si="72"/>
        <v>0</v>
      </c>
      <c r="Q107" s="180">
        <f t="shared" si="72"/>
        <v>0</v>
      </c>
      <c r="R107" s="180">
        <f t="shared" si="72"/>
        <v>0</v>
      </c>
      <c r="S107" s="180">
        <f t="shared" si="72"/>
        <v>0</v>
      </c>
      <c r="T107" s="180">
        <f t="shared" si="72"/>
        <v>0</v>
      </c>
      <c r="U107" s="180">
        <f t="shared" si="72"/>
        <v>0</v>
      </c>
      <c r="V107" s="180">
        <f t="shared" si="72"/>
        <v>0</v>
      </c>
      <c r="W107" s="180">
        <f t="shared" si="72"/>
        <v>0</v>
      </c>
      <c r="X107" s="180">
        <f t="shared" si="72"/>
        <v>25400000</v>
      </c>
      <c r="Y107" s="180">
        <f t="shared" si="72"/>
        <v>25400000</v>
      </c>
      <c r="Z107" s="180">
        <f t="shared" si="72"/>
        <v>0</v>
      </c>
      <c r="AA107" s="180">
        <f t="shared" si="72"/>
        <v>0</v>
      </c>
      <c r="AB107" s="180">
        <f t="shared" si="72"/>
        <v>0</v>
      </c>
      <c r="AC107" s="180">
        <f t="shared" si="72"/>
        <v>0</v>
      </c>
      <c r="AD107" s="180">
        <f t="shared" si="72"/>
        <v>0</v>
      </c>
      <c r="AE107" s="180">
        <f t="shared" si="72"/>
        <v>0</v>
      </c>
      <c r="AF107" s="180">
        <f t="shared" si="72"/>
        <v>0</v>
      </c>
      <c r="AG107" s="180">
        <f t="shared" si="72"/>
        <v>0</v>
      </c>
      <c r="AH107" s="180">
        <f t="shared" si="72"/>
        <v>0</v>
      </c>
      <c r="AI107" s="180">
        <f t="shared" si="72"/>
        <v>0</v>
      </c>
      <c r="AJ107" s="180">
        <f t="shared" ref="AJ107:AY107" si="73">SUM(AJ102:AJ106)</f>
        <v>0</v>
      </c>
      <c r="AK107" s="180">
        <f t="shared" si="73"/>
        <v>0</v>
      </c>
      <c r="AL107" s="180">
        <f t="shared" si="73"/>
        <v>0</v>
      </c>
      <c r="AM107" s="180">
        <f t="shared" si="73"/>
        <v>0</v>
      </c>
      <c r="AN107" s="180">
        <f t="shared" si="73"/>
        <v>0</v>
      </c>
      <c r="AO107" s="180">
        <f t="shared" si="73"/>
        <v>0</v>
      </c>
      <c r="AP107" s="180">
        <f t="shared" si="73"/>
        <v>0</v>
      </c>
      <c r="AQ107" s="180">
        <f t="shared" si="73"/>
        <v>0</v>
      </c>
      <c r="AR107" s="180">
        <f t="shared" si="73"/>
        <v>0</v>
      </c>
      <c r="AS107" s="180">
        <f t="shared" si="73"/>
        <v>0</v>
      </c>
      <c r="AT107" s="180">
        <f t="shared" si="73"/>
        <v>0</v>
      </c>
      <c r="AU107" s="180">
        <f t="shared" si="73"/>
        <v>0</v>
      </c>
      <c r="AV107" s="180">
        <f t="shared" si="73"/>
        <v>0</v>
      </c>
      <c r="AW107" s="180">
        <f t="shared" si="73"/>
        <v>0</v>
      </c>
      <c r="AX107" s="180">
        <f t="shared" si="73"/>
        <v>0</v>
      </c>
      <c r="AY107" s="180">
        <f t="shared" si="73"/>
        <v>0</v>
      </c>
    </row>
    <row r="108" spans="2:51" x14ac:dyDescent="0.25">
      <c r="B108" s="208" t="s">
        <v>271</v>
      </c>
      <c r="C108" s="194" t="s">
        <v>272</v>
      </c>
      <c r="D108" s="196">
        <f t="shared" ref="D108:AI108" si="74">+D107+D101+D100+D94+D82+D75+D74</f>
        <v>58331499</v>
      </c>
      <c r="E108" s="196">
        <f t="shared" si="74"/>
        <v>0</v>
      </c>
      <c r="F108" s="196">
        <f t="shared" si="74"/>
        <v>58331499</v>
      </c>
      <c r="G108" s="196">
        <f>+G107+G101+G100+G94+G82+G75+G74</f>
        <v>80016447</v>
      </c>
      <c r="H108" s="196">
        <f>+H107+H101+H100+H94+H82+H75+H74</f>
        <v>0</v>
      </c>
      <c r="I108" s="196">
        <f t="shared" si="74"/>
        <v>80016447</v>
      </c>
      <c r="J108" s="196">
        <f t="shared" si="74"/>
        <v>0</v>
      </c>
      <c r="K108" s="196">
        <f t="shared" si="74"/>
        <v>21684948</v>
      </c>
      <c r="L108" s="196">
        <f t="shared" si="74"/>
        <v>7882999</v>
      </c>
      <c r="M108" s="196">
        <f t="shared" si="74"/>
        <v>7882999</v>
      </c>
      <c r="N108" s="196">
        <f t="shared" si="74"/>
        <v>0</v>
      </c>
      <c r="O108" s="196">
        <f t="shared" si="74"/>
        <v>0</v>
      </c>
      <c r="P108" s="196">
        <f t="shared" si="74"/>
        <v>566000</v>
      </c>
      <c r="Q108" s="196">
        <f t="shared" si="74"/>
        <v>566000</v>
      </c>
      <c r="R108" s="196">
        <f t="shared" si="74"/>
        <v>0</v>
      </c>
      <c r="S108" s="196">
        <f t="shared" si="74"/>
        <v>0</v>
      </c>
      <c r="T108" s="196">
        <f t="shared" si="74"/>
        <v>0</v>
      </c>
      <c r="U108" s="196">
        <f t="shared" si="74"/>
        <v>0</v>
      </c>
      <c r="V108" s="196">
        <f t="shared" si="74"/>
        <v>1900000</v>
      </c>
      <c r="W108" s="196">
        <f t="shared" si="74"/>
        <v>1900000</v>
      </c>
      <c r="X108" s="196">
        <f t="shared" si="74"/>
        <v>47882500</v>
      </c>
      <c r="Y108" s="196">
        <f t="shared" si="74"/>
        <v>47882500</v>
      </c>
      <c r="Z108" s="196">
        <f t="shared" si="74"/>
        <v>0</v>
      </c>
      <c r="AA108" s="196">
        <f t="shared" si="74"/>
        <v>0</v>
      </c>
      <c r="AB108" s="196">
        <f t="shared" si="74"/>
        <v>0</v>
      </c>
      <c r="AC108" s="196">
        <f t="shared" si="74"/>
        <v>0</v>
      </c>
      <c r="AD108" s="196">
        <f t="shared" si="74"/>
        <v>100000</v>
      </c>
      <c r="AE108" s="196">
        <f t="shared" si="74"/>
        <v>100000</v>
      </c>
      <c r="AF108" s="196">
        <f t="shared" si="74"/>
        <v>0</v>
      </c>
      <c r="AG108" s="196">
        <f t="shared" si="74"/>
        <v>0</v>
      </c>
      <c r="AH108" s="196">
        <f t="shared" si="74"/>
        <v>0</v>
      </c>
      <c r="AI108" s="196">
        <f t="shared" si="74"/>
        <v>0</v>
      </c>
      <c r="AJ108" s="196">
        <f t="shared" ref="AJ108:AY108" si="75">+AJ107+AJ101+AJ100+AJ94+AJ82+AJ75+AJ74</f>
        <v>0</v>
      </c>
      <c r="AK108" s="196">
        <f t="shared" si="75"/>
        <v>0</v>
      </c>
      <c r="AL108" s="196">
        <f t="shared" si="75"/>
        <v>0</v>
      </c>
      <c r="AM108" s="196">
        <f t="shared" si="75"/>
        <v>0</v>
      </c>
      <c r="AN108" s="196">
        <f t="shared" si="75"/>
        <v>0</v>
      </c>
      <c r="AO108" s="196">
        <f t="shared" si="75"/>
        <v>0</v>
      </c>
      <c r="AP108" s="196">
        <f t="shared" si="75"/>
        <v>0</v>
      </c>
      <c r="AQ108" s="196">
        <f t="shared" si="75"/>
        <v>0</v>
      </c>
      <c r="AR108" s="196">
        <f t="shared" si="75"/>
        <v>0</v>
      </c>
      <c r="AS108" s="196">
        <f t="shared" si="75"/>
        <v>0</v>
      </c>
      <c r="AT108" s="196">
        <f t="shared" si="75"/>
        <v>0</v>
      </c>
      <c r="AU108" s="196">
        <f t="shared" si="75"/>
        <v>0</v>
      </c>
      <c r="AV108" s="196">
        <f t="shared" si="75"/>
        <v>0</v>
      </c>
      <c r="AW108" s="196">
        <f t="shared" si="75"/>
        <v>0</v>
      </c>
      <c r="AX108" s="196">
        <f t="shared" si="75"/>
        <v>0</v>
      </c>
      <c r="AY108" s="196">
        <f t="shared" si="75"/>
        <v>0</v>
      </c>
    </row>
    <row r="109" spans="2:51" x14ac:dyDescent="0.25">
      <c r="B109" s="209" t="s">
        <v>273</v>
      </c>
      <c r="C109" s="210"/>
      <c r="D109" s="211">
        <f>+D101+D94+D82+D74-D33</f>
        <v>-218722832</v>
      </c>
      <c r="E109" s="211">
        <f>+E101+E94+E82+E74-E33</f>
        <v>-36450000</v>
      </c>
      <c r="F109" s="211">
        <f t="shared" ref="F109:F116" si="76">+E109+D109</f>
        <v>-255172832</v>
      </c>
      <c r="G109" s="211">
        <f>+G101+G94+G82+G74-G33</f>
        <v>-246870445</v>
      </c>
      <c r="H109" s="211">
        <f>+H101+H94+H82+H74-H33</f>
        <v>-40873584</v>
      </c>
      <c r="I109" s="211">
        <f t="shared" ref="I109:I116" si="77">+H109+G109</f>
        <v>-287744029</v>
      </c>
      <c r="J109" s="211">
        <f t="shared" ref="J109:AY109" si="78">+J101+J94+J82+J74-J33</f>
        <v>-92999831</v>
      </c>
      <c r="K109" s="211">
        <f t="shared" si="78"/>
        <v>-75141789</v>
      </c>
      <c r="L109" s="211">
        <f t="shared" si="78"/>
        <v>-4617001</v>
      </c>
      <c r="M109" s="211">
        <f t="shared" si="78"/>
        <v>-4617001</v>
      </c>
      <c r="N109" s="211">
        <f t="shared" si="78"/>
        <v>-6500000</v>
      </c>
      <c r="O109" s="211">
        <f t="shared" si="78"/>
        <v>-823455</v>
      </c>
      <c r="P109" s="211">
        <f t="shared" si="78"/>
        <v>566000</v>
      </c>
      <c r="Q109" s="211">
        <f t="shared" si="78"/>
        <v>566000</v>
      </c>
      <c r="R109" s="211">
        <f t="shared" si="78"/>
        <v>-21844000</v>
      </c>
      <c r="S109" s="211">
        <f t="shared" si="78"/>
        <v>-21844000</v>
      </c>
      <c r="T109" s="211">
        <f t="shared" si="78"/>
        <v>-10859000</v>
      </c>
      <c r="U109" s="211">
        <f t="shared" si="78"/>
        <v>-10859000</v>
      </c>
      <c r="V109" s="211">
        <f t="shared" si="78"/>
        <v>-6228000</v>
      </c>
      <c r="W109" s="211">
        <f t="shared" si="78"/>
        <v>-6228000</v>
      </c>
      <c r="X109" s="211">
        <f t="shared" si="78"/>
        <v>-7074000</v>
      </c>
      <c r="Y109" s="211">
        <f t="shared" si="78"/>
        <v>-58756200</v>
      </c>
      <c r="Z109" s="211">
        <f t="shared" si="78"/>
        <v>-24321000</v>
      </c>
      <c r="AA109" s="211">
        <f t="shared" si="78"/>
        <v>-24321000</v>
      </c>
      <c r="AB109" s="211">
        <f t="shared" si="78"/>
        <v>-39459000</v>
      </c>
      <c r="AC109" s="211">
        <f t="shared" si="78"/>
        <v>-39459000</v>
      </c>
      <c r="AD109" s="211">
        <f t="shared" si="78"/>
        <v>-2031000</v>
      </c>
      <c r="AE109" s="211">
        <f t="shared" si="78"/>
        <v>-2031000</v>
      </c>
      <c r="AF109" s="211">
        <f t="shared" si="78"/>
        <v>-711000</v>
      </c>
      <c r="AG109" s="211">
        <f t="shared" si="78"/>
        <v>-711000</v>
      </c>
      <c r="AH109" s="211">
        <f t="shared" si="78"/>
        <v>-495000</v>
      </c>
      <c r="AI109" s="211">
        <f t="shared" si="78"/>
        <v>-495000</v>
      </c>
      <c r="AJ109" s="211">
        <f t="shared" si="78"/>
        <v>-2150000</v>
      </c>
      <c r="AK109" s="211">
        <f t="shared" si="78"/>
        <v>-2150000</v>
      </c>
      <c r="AL109" s="211">
        <f t="shared" si="78"/>
        <v>-12000000</v>
      </c>
      <c r="AM109" s="211">
        <f t="shared" si="78"/>
        <v>-12000000</v>
      </c>
      <c r="AN109" s="211">
        <f t="shared" si="78"/>
        <v>0</v>
      </c>
      <c r="AO109" s="211">
        <f t="shared" si="78"/>
        <v>0</v>
      </c>
      <c r="AP109" s="211">
        <f t="shared" si="78"/>
        <v>-19200000</v>
      </c>
      <c r="AQ109" s="211">
        <f t="shared" si="78"/>
        <v>-21850000</v>
      </c>
      <c r="AR109" s="211">
        <f t="shared" si="78"/>
        <v>0</v>
      </c>
      <c r="AS109" s="211">
        <f t="shared" si="78"/>
        <v>0</v>
      </c>
      <c r="AT109" s="211">
        <f t="shared" si="78"/>
        <v>-2000000</v>
      </c>
      <c r="AU109" s="211">
        <f t="shared" si="78"/>
        <v>-2000000</v>
      </c>
      <c r="AV109" s="211">
        <f t="shared" si="78"/>
        <v>-2800000</v>
      </c>
      <c r="AW109" s="211">
        <f t="shared" si="78"/>
        <v>-4573584</v>
      </c>
      <c r="AX109" s="211">
        <f t="shared" si="78"/>
        <v>-450000</v>
      </c>
      <c r="AY109" s="211">
        <f t="shared" si="78"/>
        <v>-450000</v>
      </c>
    </row>
    <row r="110" spans="2:51" x14ac:dyDescent="0.25">
      <c r="B110" s="209" t="s">
        <v>274</v>
      </c>
      <c r="C110" s="210"/>
      <c r="D110" s="211">
        <f>+D107+D100+D75-D57</f>
        <v>0</v>
      </c>
      <c r="E110" s="211">
        <f>+E107+E100+E75-E57</f>
        <v>0</v>
      </c>
      <c r="F110" s="211">
        <f t="shared" si="76"/>
        <v>0</v>
      </c>
      <c r="G110" s="211">
        <f>+G107+G100+G75-G57</f>
        <v>-5798285</v>
      </c>
      <c r="H110" s="211">
        <f>+H107+H100+H75-H57</f>
        <v>0</v>
      </c>
      <c r="I110" s="211">
        <f t="shared" si="77"/>
        <v>-5798285</v>
      </c>
      <c r="J110" s="211">
        <f t="shared" ref="J110:AY110" si="79">+J107+J100+J75-J57</f>
        <v>0</v>
      </c>
      <c r="K110" s="211">
        <f t="shared" si="79"/>
        <v>-121740</v>
      </c>
      <c r="L110" s="211">
        <f t="shared" si="79"/>
        <v>0</v>
      </c>
      <c r="M110" s="211">
        <f t="shared" si="79"/>
        <v>0</v>
      </c>
      <c r="N110" s="211">
        <f t="shared" si="79"/>
        <v>0</v>
      </c>
      <c r="O110" s="211">
        <f t="shared" si="79"/>
        <v>-5676545</v>
      </c>
      <c r="P110" s="211">
        <f t="shared" si="79"/>
        <v>0</v>
      </c>
      <c r="Q110" s="211">
        <f t="shared" si="79"/>
        <v>0</v>
      </c>
      <c r="R110" s="211">
        <f t="shared" si="79"/>
        <v>0</v>
      </c>
      <c r="S110" s="211">
        <f t="shared" si="79"/>
        <v>0</v>
      </c>
      <c r="T110" s="211">
        <f t="shared" si="79"/>
        <v>0</v>
      </c>
      <c r="U110" s="211">
        <f t="shared" si="79"/>
        <v>0</v>
      </c>
      <c r="V110" s="211">
        <f t="shared" si="79"/>
        <v>0</v>
      </c>
      <c r="W110" s="211">
        <f t="shared" si="79"/>
        <v>0</v>
      </c>
      <c r="X110" s="211">
        <f t="shared" si="79"/>
        <v>0</v>
      </c>
      <c r="Y110" s="211">
        <f t="shared" si="79"/>
        <v>0</v>
      </c>
      <c r="Z110" s="211">
        <f t="shared" si="79"/>
        <v>0</v>
      </c>
      <c r="AA110" s="211">
        <f t="shared" si="79"/>
        <v>0</v>
      </c>
      <c r="AB110" s="211">
        <f t="shared" si="79"/>
        <v>0</v>
      </c>
      <c r="AC110" s="211">
        <f t="shared" si="79"/>
        <v>0</v>
      </c>
      <c r="AD110" s="211">
        <f t="shared" si="79"/>
        <v>0</v>
      </c>
      <c r="AE110" s="211">
        <f t="shared" si="79"/>
        <v>0</v>
      </c>
      <c r="AF110" s="211">
        <f t="shared" si="79"/>
        <v>0</v>
      </c>
      <c r="AG110" s="211">
        <f t="shared" si="79"/>
        <v>0</v>
      </c>
      <c r="AH110" s="211">
        <f t="shared" si="79"/>
        <v>0</v>
      </c>
      <c r="AI110" s="211">
        <f t="shared" si="79"/>
        <v>0</v>
      </c>
      <c r="AJ110" s="211">
        <f t="shared" si="79"/>
        <v>0</v>
      </c>
      <c r="AK110" s="211">
        <f t="shared" si="79"/>
        <v>0</v>
      </c>
      <c r="AL110" s="211">
        <f t="shared" si="79"/>
        <v>0</v>
      </c>
      <c r="AM110" s="211">
        <f t="shared" si="79"/>
        <v>0</v>
      </c>
      <c r="AN110" s="211">
        <f t="shared" si="79"/>
        <v>0</v>
      </c>
      <c r="AO110" s="211">
        <f t="shared" si="79"/>
        <v>0</v>
      </c>
      <c r="AP110" s="211">
        <f t="shared" si="79"/>
        <v>0</v>
      </c>
      <c r="AQ110" s="211">
        <f t="shared" si="79"/>
        <v>0</v>
      </c>
      <c r="AR110" s="211">
        <f t="shared" si="79"/>
        <v>0</v>
      </c>
      <c r="AS110" s="211">
        <f t="shared" si="79"/>
        <v>0</v>
      </c>
      <c r="AT110" s="211">
        <f t="shared" si="79"/>
        <v>0</v>
      </c>
      <c r="AU110" s="211">
        <f t="shared" si="79"/>
        <v>0</v>
      </c>
      <c r="AV110" s="211">
        <f t="shared" si="79"/>
        <v>0</v>
      </c>
      <c r="AW110" s="211">
        <f t="shared" si="79"/>
        <v>0</v>
      </c>
      <c r="AX110" s="211">
        <f t="shared" si="79"/>
        <v>0</v>
      </c>
      <c r="AY110" s="211">
        <f t="shared" si="79"/>
        <v>0</v>
      </c>
    </row>
    <row r="111" spans="2:51" hidden="1" x14ac:dyDescent="0.25">
      <c r="B111" s="212" t="s">
        <v>611</v>
      </c>
      <c r="C111" s="213" t="s">
        <v>282</v>
      </c>
      <c r="D111" s="172">
        <f t="shared" ref="D111:D116" si="80">+J111+L111+N111+P111+R111+T111+V111+X111+Z111+AB111+AD111+AF111+AH111+AJ111</f>
        <v>0</v>
      </c>
      <c r="E111" s="173">
        <f>+AL111+AN111+AP111+AT111+AV111+AX111+AR111</f>
        <v>0</v>
      </c>
      <c r="F111" s="174">
        <f t="shared" si="76"/>
        <v>0</v>
      </c>
      <c r="G111" s="172">
        <f>+M111+O111+Q111+S111+U111+W111+Y111+AA111+AC111+AE111+AG111+AI111+AK111+AM111</f>
        <v>0</v>
      </c>
      <c r="H111" s="173">
        <f>+AO111+AQ111+AS111+AW111+AY111+BA111+AU111</f>
        <v>0</v>
      </c>
      <c r="I111" s="174">
        <f t="shared" si="77"/>
        <v>0</v>
      </c>
      <c r="J111" s="174"/>
      <c r="K111" s="174"/>
      <c r="L111" s="174"/>
      <c r="M111" s="174"/>
      <c r="N111" s="174"/>
      <c r="O111" s="174"/>
      <c r="P111" s="174"/>
      <c r="Q111" s="174"/>
      <c r="R111" s="174"/>
      <c r="S111" s="174"/>
      <c r="T111" s="174"/>
      <c r="U111" s="174"/>
      <c r="V111" s="174"/>
      <c r="W111" s="174"/>
      <c r="X111" s="174"/>
      <c r="Y111" s="174"/>
      <c r="Z111" s="174"/>
      <c r="AA111" s="174"/>
      <c r="AB111" s="174"/>
      <c r="AC111" s="174"/>
      <c r="AD111" s="174"/>
      <c r="AE111" s="174"/>
      <c r="AF111" s="174"/>
      <c r="AG111" s="174"/>
      <c r="AH111" s="174"/>
      <c r="AI111" s="174"/>
      <c r="AJ111" s="174"/>
      <c r="AK111" s="174"/>
      <c r="AL111" s="174"/>
      <c r="AM111" s="174"/>
      <c r="AN111" s="174"/>
      <c r="AO111" s="174"/>
      <c r="AP111" s="174"/>
      <c r="AQ111" s="174"/>
      <c r="AR111" s="174"/>
      <c r="AS111" s="174"/>
      <c r="AT111" s="174"/>
      <c r="AU111" s="174"/>
      <c r="AV111" s="174"/>
      <c r="AW111" s="174"/>
      <c r="AX111" s="174"/>
      <c r="AY111" s="174"/>
    </row>
    <row r="112" spans="2:51" hidden="1" x14ac:dyDescent="0.25">
      <c r="B112" s="214" t="s">
        <v>612</v>
      </c>
      <c r="C112" s="213" t="s">
        <v>292</v>
      </c>
      <c r="D112" s="172">
        <f t="shared" si="80"/>
        <v>0</v>
      </c>
      <c r="E112" s="173">
        <f>+AL112+AN112+AP112+AT112+AV112+AX112+AR112</f>
        <v>0</v>
      </c>
      <c r="F112" s="174">
        <f t="shared" si="76"/>
        <v>0</v>
      </c>
      <c r="G112" s="172">
        <f>+M112+O112+Q112+S112+U112+W112+Y112+AA112+AC112+AE112+AG112+AI112+AK112+AM112</f>
        <v>0</v>
      </c>
      <c r="H112" s="173">
        <f>+AO112+AQ112+AS112+AW112+AY112+BA112+AU112</f>
        <v>0</v>
      </c>
      <c r="I112" s="174">
        <f t="shared" si="77"/>
        <v>0</v>
      </c>
      <c r="J112" s="174"/>
      <c r="K112" s="174"/>
      <c r="L112" s="174"/>
      <c r="M112" s="174"/>
      <c r="N112" s="174"/>
      <c r="O112" s="174"/>
      <c r="P112" s="174"/>
      <c r="Q112" s="174"/>
      <c r="R112" s="174"/>
      <c r="S112" s="174"/>
      <c r="T112" s="174"/>
      <c r="U112" s="174"/>
      <c r="V112" s="174"/>
      <c r="W112" s="174"/>
      <c r="X112" s="174"/>
      <c r="Y112" s="174"/>
      <c r="Z112" s="174"/>
      <c r="AA112" s="174"/>
      <c r="AB112" s="174"/>
      <c r="AC112" s="174"/>
      <c r="AD112" s="174"/>
      <c r="AE112" s="174"/>
      <c r="AF112" s="174"/>
      <c r="AG112" s="174"/>
      <c r="AH112" s="174"/>
      <c r="AI112" s="174"/>
      <c r="AJ112" s="174"/>
      <c r="AK112" s="174"/>
      <c r="AL112" s="174"/>
      <c r="AM112" s="174"/>
      <c r="AN112" s="174"/>
      <c r="AO112" s="174"/>
      <c r="AP112" s="174"/>
      <c r="AQ112" s="174"/>
      <c r="AR112" s="174"/>
      <c r="AS112" s="174"/>
      <c r="AT112" s="174"/>
      <c r="AU112" s="174"/>
      <c r="AV112" s="174"/>
      <c r="AW112" s="174"/>
      <c r="AX112" s="174"/>
      <c r="AY112" s="174"/>
    </row>
    <row r="113" spans="2:53" ht="25.5" x14ac:dyDescent="0.25">
      <c r="B113" s="176" t="s">
        <v>293</v>
      </c>
      <c r="C113" s="176" t="s">
        <v>294</v>
      </c>
      <c r="D113" s="172">
        <f>+J113+L113+N113+P113+R113+T113+V113+X113+Z113+AB113+AD113+AF113+AH113+AJ113-E113</f>
        <v>76528876</v>
      </c>
      <c r="E113" s="173">
        <f>26062619+16999986</f>
        <v>43062605</v>
      </c>
      <c r="F113" s="174">
        <f t="shared" si="76"/>
        <v>119591481</v>
      </c>
      <c r="G113" s="172">
        <f>+K113+M113+O113+Q113+S113+U113+W113+Y113+AA113+AC113+AE113+AG113+AI113+AK113-H113</f>
        <v>78105104</v>
      </c>
      <c r="H113" s="173">
        <f>26062619+16999986</f>
        <v>43062605</v>
      </c>
      <c r="I113" s="174">
        <f t="shared" si="77"/>
        <v>121167709</v>
      </c>
      <c r="J113" s="172">
        <f>73419141+251309+1173930+1072343+24780+8000+122648+16999986+456725+26062619</f>
        <v>119591481</v>
      </c>
      <c r="K113" s="172">
        <f>73419141+251309+1173930+1072343+24780+8000+122648+16999986+456725+26062619+1576228</f>
        <v>121167709</v>
      </c>
      <c r="L113" s="172"/>
      <c r="M113" s="172"/>
      <c r="N113" s="172"/>
      <c r="O113" s="172"/>
      <c r="P113" s="172"/>
      <c r="Q113" s="172"/>
      <c r="R113" s="172"/>
      <c r="S113" s="172"/>
      <c r="T113" s="172"/>
      <c r="U113" s="172"/>
      <c r="V113" s="172"/>
      <c r="W113" s="172"/>
      <c r="X113" s="172"/>
      <c r="Y113" s="172"/>
      <c r="Z113" s="172"/>
      <c r="AA113" s="172"/>
      <c r="AB113" s="172"/>
      <c r="AC113" s="172"/>
      <c r="AD113" s="172"/>
      <c r="AE113" s="172"/>
      <c r="AF113" s="172"/>
      <c r="AG113" s="172"/>
      <c r="AH113" s="172"/>
      <c r="AI113" s="172"/>
      <c r="AJ113" s="172"/>
      <c r="AK113" s="172"/>
      <c r="AL113" s="172"/>
      <c r="AM113" s="172"/>
      <c r="AN113" s="172"/>
      <c r="AO113" s="172"/>
      <c r="AP113" s="172"/>
      <c r="AQ113" s="172"/>
      <c r="AR113" s="172"/>
      <c r="AS113" s="172"/>
      <c r="AT113" s="172"/>
      <c r="AU113" s="172"/>
      <c r="AV113" s="172"/>
      <c r="AW113" s="172"/>
      <c r="AX113" s="172"/>
      <c r="AY113" s="172"/>
      <c r="BA113" s="384"/>
    </row>
    <row r="114" spans="2:53" ht="21.75" customHeight="1" x14ac:dyDescent="0.25">
      <c r="B114" s="176" t="s">
        <v>613</v>
      </c>
      <c r="C114" s="176" t="s">
        <v>294</v>
      </c>
      <c r="D114" s="172">
        <f t="shared" si="80"/>
        <v>16354137</v>
      </c>
      <c r="E114" s="173">
        <f>+AL114+AN114+AP114+AT114+AV114+AX114+AR114</f>
        <v>0</v>
      </c>
      <c r="F114" s="174">
        <f t="shared" si="76"/>
        <v>16354137</v>
      </c>
      <c r="G114" s="172">
        <f>+K114+M114+O114+Q114+S114+U114+W114+Y114+AA114+AC114+AE114+AG114+AI114+AK114</f>
        <v>16354137</v>
      </c>
      <c r="H114" s="173">
        <f>+AM114+AO114+AQ114+AU114+AW114+AY114+AS114</f>
        <v>0</v>
      </c>
      <c r="I114" s="174">
        <f t="shared" si="77"/>
        <v>16354137</v>
      </c>
      <c r="J114" s="172">
        <f>16354137</f>
        <v>16354137</v>
      </c>
      <c r="K114" s="172">
        <f>16354137</f>
        <v>16354137</v>
      </c>
      <c r="L114" s="172"/>
      <c r="M114" s="172"/>
      <c r="N114" s="172"/>
      <c r="O114" s="172"/>
      <c r="P114" s="172"/>
      <c r="Q114" s="172"/>
      <c r="R114" s="172"/>
      <c r="S114" s="172"/>
      <c r="T114" s="172"/>
      <c r="U114" s="172"/>
      <c r="V114" s="172"/>
      <c r="W114" s="172"/>
      <c r="X114" s="172"/>
      <c r="Y114" s="172"/>
      <c r="Z114" s="172"/>
      <c r="AA114" s="172"/>
      <c r="AB114" s="172"/>
      <c r="AC114" s="172"/>
      <c r="AD114" s="172"/>
      <c r="AE114" s="172"/>
      <c r="AF114" s="172"/>
      <c r="AG114" s="172"/>
      <c r="AH114" s="172"/>
      <c r="AI114" s="172"/>
      <c r="AJ114" s="172"/>
      <c r="AK114" s="172"/>
      <c r="AL114" s="172"/>
      <c r="AM114" s="172"/>
      <c r="AN114" s="172"/>
      <c r="AO114" s="172"/>
      <c r="AP114" s="172"/>
      <c r="AQ114" s="172"/>
      <c r="AR114" s="172"/>
      <c r="AS114" s="172"/>
      <c r="AT114" s="172"/>
      <c r="AU114" s="172"/>
      <c r="AV114" s="172"/>
      <c r="AW114" s="172"/>
      <c r="AX114" s="172"/>
      <c r="AY114" s="172"/>
      <c r="BA114" s="384"/>
    </row>
    <row r="115" spans="2:53" hidden="1" x14ac:dyDescent="0.25">
      <c r="B115" s="176" t="s">
        <v>296</v>
      </c>
      <c r="C115" s="176" t="s">
        <v>297</v>
      </c>
      <c r="D115" s="172">
        <f t="shared" si="80"/>
        <v>0</v>
      </c>
      <c r="E115" s="173">
        <f t="shared" ref="E115:E129" si="81">+AL115+AN115+AP115+AT115+AV115+AX115+AR115</f>
        <v>0</v>
      </c>
      <c r="F115" s="174">
        <f t="shared" si="76"/>
        <v>0</v>
      </c>
      <c r="G115" s="172">
        <f>+M115+O115+Q115+S115+U115+W115+Y115+AA115+AC115+AE115+AG115+AI115+AK115+AM115</f>
        <v>0</v>
      </c>
      <c r="H115" s="173">
        <f>+AO115+AQ115+AS115+AW115+AY115+BA115+AU115</f>
        <v>0</v>
      </c>
      <c r="I115" s="174">
        <f t="shared" si="77"/>
        <v>0</v>
      </c>
      <c r="J115" s="172"/>
      <c r="K115" s="172"/>
      <c r="L115" s="172"/>
      <c r="M115" s="172"/>
      <c r="N115" s="172"/>
      <c r="O115" s="172"/>
      <c r="P115" s="172"/>
      <c r="Q115" s="172"/>
      <c r="R115" s="172"/>
      <c r="S115" s="172"/>
      <c r="T115" s="172"/>
      <c r="U115" s="172"/>
      <c r="V115" s="172"/>
      <c r="W115" s="172"/>
      <c r="X115" s="172"/>
      <c r="Y115" s="172"/>
      <c r="Z115" s="172"/>
      <c r="AA115" s="172"/>
      <c r="AB115" s="172"/>
      <c r="AC115" s="172"/>
      <c r="AD115" s="172"/>
      <c r="AE115" s="172"/>
      <c r="AF115" s="172"/>
      <c r="AG115" s="172"/>
      <c r="AH115" s="172"/>
      <c r="AI115" s="172"/>
      <c r="AJ115" s="172"/>
      <c r="AK115" s="172"/>
      <c r="AL115" s="172"/>
      <c r="AM115" s="172"/>
      <c r="AN115" s="172"/>
      <c r="AO115" s="172"/>
      <c r="AP115" s="172"/>
      <c r="AQ115" s="172"/>
      <c r="AR115" s="172"/>
      <c r="AS115" s="172"/>
      <c r="AT115" s="172"/>
      <c r="AU115" s="172"/>
      <c r="AV115" s="172"/>
      <c r="AW115" s="172"/>
      <c r="AX115" s="172"/>
      <c r="AY115" s="172"/>
    </row>
    <row r="116" spans="2:53" hidden="1" x14ac:dyDescent="0.25">
      <c r="B116" s="176" t="s">
        <v>614</v>
      </c>
      <c r="C116" s="176" t="s">
        <v>297</v>
      </c>
      <c r="D116" s="172">
        <f t="shared" si="80"/>
        <v>0</v>
      </c>
      <c r="E116" s="173">
        <f t="shared" si="81"/>
        <v>0</v>
      </c>
      <c r="F116" s="174">
        <f t="shared" si="76"/>
        <v>0</v>
      </c>
      <c r="G116" s="172">
        <f>+M116+O116+Q116+S116+U116+W116+Y116+AA116+AC116+AE116+AG116+AI116+AK116+AM116</f>
        <v>0</v>
      </c>
      <c r="H116" s="173">
        <f>+AO116+AQ116+AS116+AW116+AY116+BA116+AU116</f>
        <v>0</v>
      </c>
      <c r="I116" s="174">
        <f t="shared" si="77"/>
        <v>0</v>
      </c>
      <c r="J116" s="172"/>
      <c r="K116" s="172"/>
      <c r="L116" s="172"/>
      <c r="M116" s="172"/>
      <c r="N116" s="172"/>
      <c r="O116" s="172"/>
      <c r="P116" s="172"/>
      <c r="Q116" s="172"/>
      <c r="R116" s="172"/>
      <c r="S116" s="172"/>
      <c r="T116" s="172"/>
      <c r="U116" s="172"/>
      <c r="V116" s="172"/>
      <c r="W116" s="172"/>
      <c r="X116" s="172"/>
      <c r="Y116" s="172"/>
      <c r="Z116" s="172"/>
      <c r="AA116" s="172"/>
      <c r="AB116" s="172"/>
      <c r="AC116" s="172"/>
      <c r="AD116" s="172"/>
      <c r="AE116" s="172"/>
      <c r="AF116" s="172"/>
      <c r="AG116" s="172"/>
      <c r="AH116" s="172"/>
      <c r="AI116" s="172"/>
      <c r="AJ116" s="172"/>
      <c r="AK116" s="172"/>
      <c r="AL116" s="172"/>
      <c r="AM116" s="172"/>
      <c r="AN116" s="172"/>
      <c r="AO116" s="172"/>
      <c r="AP116" s="172"/>
      <c r="AQ116" s="172"/>
      <c r="AR116" s="172"/>
      <c r="AS116" s="172"/>
      <c r="AT116" s="172"/>
      <c r="AU116" s="172"/>
      <c r="AV116" s="172"/>
      <c r="AW116" s="172"/>
      <c r="AX116" s="172"/>
      <c r="AY116" s="172"/>
    </row>
    <row r="117" spans="2:53" x14ac:dyDescent="0.25">
      <c r="B117" s="213" t="s">
        <v>299</v>
      </c>
      <c r="C117" s="213" t="s">
        <v>300</v>
      </c>
      <c r="D117" s="174">
        <f>SUM(D113:D116)</f>
        <v>92883013</v>
      </c>
      <c r="E117" s="174">
        <f>SUM(E113:E116)</f>
        <v>43062605</v>
      </c>
      <c r="F117" s="174">
        <f>SUM(F113:F116)</f>
        <v>135945618</v>
      </c>
      <c r="G117" s="174">
        <f>SUM(G113:G116)</f>
        <v>94459241</v>
      </c>
      <c r="H117" s="174">
        <f>SUM(H113:H116)</f>
        <v>43062605</v>
      </c>
      <c r="I117" s="174">
        <f t="shared" ref="I117:AY117" si="82">SUM(I113:I116)</f>
        <v>137521846</v>
      </c>
      <c r="J117" s="174">
        <f t="shared" si="82"/>
        <v>135945618</v>
      </c>
      <c r="K117" s="174">
        <f t="shared" si="82"/>
        <v>137521846</v>
      </c>
      <c r="L117" s="174">
        <f t="shared" si="82"/>
        <v>0</v>
      </c>
      <c r="M117" s="174">
        <f t="shared" si="82"/>
        <v>0</v>
      </c>
      <c r="N117" s="174">
        <f t="shared" si="82"/>
        <v>0</v>
      </c>
      <c r="O117" s="174">
        <f t="shared" si="82"/>
        <v>0</v>
      </c>
      <c r="P117" s="174">
        <f t="shared" si="82"/>
        <v>0</v>
      </c>
      <c r="Q117" s="174">
        <f t="shared" si="82"/>
        <v>0</v>
      </c>
      <c r="R117" s="174">
        <f t="shared" si="82"/>
        <v>0</v>
      </c>
      <c r="S117" s="174">
        <f t="shared" si="82"/>
        <v>0</v>
      </c>
      <c r="T117" s="174">
        <f t="shared" si="82"/>
        <v>0</v>
      </c>
      <c r="U117" s="174">
        <f t="shared" si="82"/>
        <v>0</v>
      </c>
      <c r="V117" s="174">
        <f t="shared" si="82"/>
        <v>0</v>
      </c>
      <c r="W117" s="174">
        <f t="shared" si="82"/>
        <v>0</v>
      </c>
      <c r="X117" s="174">
        <f t="shared" si="82"/>
        <v>0</v>
      </c>
      <c r="Y117" s="174">
        <f t="shared" si="82"/>
        <v>0</v>
      </c>
      <c r="Z117" s="174">
        <f t="shared" si="82"/>
        <v>0</v>
      </c>
      <c r="AA117" s="174">
        <f t="shared" si="82"/>
        <v>0</v>
      </c>
      <c r="AB117" s="174">
        <f t="shared" si="82"/>
        <v>0</v>
      </c>
      <c r="AC117" s="174">
        <f t="shared" si="82"/>
        <v>0</v>
      </c>
      <c r="AD117" s="174">
        <f t="shared" si="82"/>
        <v>0</v>
      </c>
      <c r="AE117" s="174">
        <f t="shared" si="82"/>
        <v>0</v>
      </c>
      <c r="AF117" s="174">
        <f t="shared" si="82"/>
        <v>0</v>
      </c>
      <c r="AG117" s="174">
        <f t="shared" si="82"/>
        <v>0</v>
      </c>
      <c r="AH117" s="174">
        <f t="shared" si="82"/>
        <v>0</v>
      </c>
      <c r="AI117" s="174">
        <f t="shared" si="82"/>
        <v>0</v>
      </c>
      <c r="AJ117" s="174">
        <f t="shared" si="82"/>
        <v>0</v>
      </c>
      <c r="AK117" s="174">
        <f t="shared" si="82"/>
        <v>0</v>
      </c>
      <c r="AL117" s="174">
        <f t="shared" si="82"/>
        <v>0</v>
      </c>
      <c r="AM117" s="174">
        <f t="shared" si="82"/>
        <v>0</v>
      </c>
      <c r="AN117" s="174">
        <f t="shared" si="82"/>
        <v>0</v>
      </c>
      <c r="AO117" s="174">
        <f t="shared" si="82"/>
        <v>0</v>
      </c>
      <c r="AP117" s="174">
        <f t="shared" si="82"/>
        <v>0</v>
      </c>
      <c r="AQ117" s="174">
        <f t="shared" si="82"/>
        <v>0</v>
      </c>
      <c r="AR117" s="174">
        <f t="shared" si="82"/>
        <v>0</v>
      </c>
      <c r="AS117" s="174">
        <f t="shared" si="82"/>
        <v>0</v>
      </c>
      <c r="AT117" s="174">
        <f t="shared" si="82"/>
        <v>0</v>
      </c>
      <c r="AU117" s="174">
        <f t="shared" si="82"/>
        <v>0</v>
      </c>
      <c r="AV117" s="174">
        <f t="shared" si="82"/>
        <v>0</v>
      </c>
      <c r="AW117" s="174">
        <f t="shared" si="82"/>
        <v>0</v>
      </c>
      <c r="AX117" s="174">
        <f t="shared" si="82"/>
        <v>0</v>
      </c>
      <c r="AY117" s="174">
        <f t="shared" si="82"/>
        <v>0</v>
      </c>
    </row>
    <row r="118" spans="2:53" hidden="1" x14ac:dyDescent="0.25">
      <c r="B118" s="197" t="s">
        <v>301</v>
      </c>
      <c r="C118" s="176" t="s">
        <v>302</v>
      </c>
      <c r="D118" s="172">
        <f>+J118+L118+N118+P118+R118+T118+V118+X118+Z118+AB118+AD118+AF118+AH118+AJ118</f>
        <v>0</v>
      </c>
      <c r="E118" s="173">
        <f t="shared" si="81"/>
        <v>0</v>
      </c>
      <c r="F118" s="174">
        <f t="shared" ref="F118:F125" si="83">+E118+D118</f>
        <v>0</v>
      </c>
      <c r="G118" s="172">
        <f>+M118+O118+Q118+S118+U118+W118+Y118+AA118+AC118+AE118+AG118+AI118+AK118+AM118</f>
        <v>0</v>
      </c>
      <c r="H118" s="173">
        <f t="shared" ref="H118:H125" si="84">+AO118+AQ118+AS118+AW118+AY118+BA118+AU118</f>
        <v>0</v>
      </c>
      <c r="I118" s="174">
        <f t="shared" ref="I118:I125" si="85">+H118+G118</f>
        <v>0</v>
      </c>
      <c r="J118" s="172"/>
      <c r="K118" s="172"/>
      <c r="L118" s="172"/>
      <c r="M118" s="172"/>
      <c r="N118" s="172"/>
      <c r="O118" s="172"/>
      <c r="P118" s="172"/>
      <c r="Q118" s="172"/>
      <c r="R118" s="172"/>
      <c r="S118" s="172"/>
      <c r="T118" s="172"/>
      <c r="U118" s="172"/>
      <c r="V118" s="172"/>
      <c r="W118" s="172"/>
      <c r="X118" s="172"/>
      <c r="Y118" s="172"/>
      <c r="Z118" s="172"/>
      <c r="AA118" s="172"/>
      <c r="AB118" s="172"/>
      <c r="AC118" s="172"/>
      <c r="AD118" s="172"/>
      <c r="AE118" s="172"/>
      <c r="AF118" s="172"/>
      <c r="AG118" s="172"/>
      <c r="AH118" s="172"/>
      <c r="AI118" s="172"/>
      <c r="AJ118" s="172"/>
      <c r="AK118" s="172"/>
      <c r="AL118" s="172"/>
      <c r="AM118" s="172"/>
      <c r="AN118" s="172"/>
      <c r="AO118" s="172"/>
      <c r="AP118" s="172"/>
      <c r="AQ118" s="172"/>
      <c r="AR118" s="172"/>
      <c r="AS118" s="172"/>
      <c r="AT118" s="172"/>
      <c r="AU118" s="172"/>
      <c r="AV118" s="172"/>
      <c r="AW118" s="172"/>
      <c r="AX118" s="172"/>
      <c r="AY118" s="172"/>
    </row>
    <row r="119" spans="2:53" hidden="1" x14ac:dyDescent="0.25">
      <c r="B119" s="197" t="s">
        <v>303</v>
      </c>
      <c r="C119" s="176" t="s">
        <v>304</v>
      </c>
      <c r="D119" s="172">
        <f>+J119+L119+N119+P119+R119+T119+V119+X119+Z119+AB119+AD119+AF119+AH119+AJ119</f>
        <v>0</v>
      </c>
      <c r="E119" s="173">
        <f t="shared" si="81"/>
        <v>0</v>
      </c>
      <c r="F119" s="174">
        <f t="shared" si="83"/>
        <v>0</v>
      </c>
      <c r="G119" s="172">
        <f>+M119+O119+Q119+S119+U119+W119+Y119+AA119+AC119+AE119+AG119+AI119+AK119+AM119</f>
        <v>0</v>
      </c>
      <c r="H119" s="173">
        <f t="shared" si="84"/>
        <v>0</v>
      </c>
      <c r="I119" s="174">
        <f t="shared" si="85"/>
        <v>0</v>
      </c>
      <c r="J119" s="172"/>
      <c r="K119" s="172"/>
      <c r="L119" s="172"/>
      <c r="M119" s="172"/>
      <c r="N119" s="172"/>
      <c r="O119" s="172"/>
      <c r="P119" s="172"/>
      <c r="Q119" s="172"/>
      <c r="R119" s="172"/>
      <c r="S119" s="172"/>
      <c r="T119" s="172"/>
      <c r="U119" s="172"/>
      <c r="V119" s="172"/>
      <c r="W119" s="172"/>
      <c r="X119" s="172"/>
      <c r="Y119" s="172"/>
      <c r="Z119" s="172"/>
      <c r="AA119" s="172"/>
      <c r="AB119" s="172"/>
      <c r="AC119" s="172"/>
      <c r="AD119" s="172"/>
      <c r="AE119" s="172"/>
      <c r="AF119" s="172"/>
      <c r="AG119" s="172"/>
      <c r="AH119" s="172"/>
      <c r="AI119" s="172"/>
      <c r="AJ119" s="172"/>
      <c r="AK119" s="172"/>
      <c r="AL119" s="172"/>
      <c r="AM119" s="172"/>
      <c r="AN119" s="172"/>
      <c r="AO119" s="172"/>
      <c r="AP119" s="172"/>
      <c r="AQ119" s="172"/>
      <c r="AR119" s="172"/>
      <c r="AS119" s="172"/>
      <c r="AT119" s="172"/>
      <c r="AU119" s="172"/>
      <c r="AV119" s="172"/>
      <c r="AW119" s="172"/>
      <c r="AX119" s="172"/>
      <c r="AY119" s="172"/>
    </row>
    <row r="120" spans="2:53" hidden="1" x14ac:dyDescent="0.25">
      <c r="B120" s="197" t="s">
        <v>305</v>
      </c>
      <c r="C120" s="176" t="s">
        <v>306</v>
      </c>
      <c r="D120" s="172">
        <f>+J120+L120+N120+P120+R120+T120+V120+X120+Z120+AB120+AD120+AF120+AH120+AJ120</f>
        <v>0</v>
      </c>
      <c r="E120" s="173">
        <f t="shared" si="81"/>
        <v>0</v>
      </c>
      <c r="F120" s="174">
        <f t="shared" si="83"/>
        <v>0</v>
      </c>
      <c r="G120" s="172">
        <f>+M120+O120+Q120+S120+U120+W120+Y120+AA120+AC120+AE120+AG120+AI120+AK120+AM120</f>
        <v>0</v>
      </c>
      <c r="H120" s="173">
        <f t="shared" si="84"/>
        <v>0</v>
      </c>
      <c r="I120" s="174">
        <f t="shared" si="85"/>
        <v>0</v>
      </c>
      <c r="J120" s="172"/>
      <c r="K120" s="172"/>
      <c r="L120" s="172"/>
      <c r="M120" s="172"/>
      <c r="N120" s="172"/>
      <c r="O120" s="172"/>
      <c r="P120" s="172"/>
      <c r="Q120" s="172"/>
      <c r="R120" s="172"/>
      <c r="S120" s="172"/>
      <c r="T120" s="172"/>
      <c r="U120" s="172"/>
      <c r="V120" s="172"/>
      <c r="W120" s="172"/>
      <c r="X120" s="172"/>
      <c r="Y120" s="172"/>
      <c r="Z120" s="172"/>
      <c r="AA120" s="172"/>
      <c r="AB120" s="172"/>
      <c r="AC120" s="172"/>
      <c r="AD120" s="172"/>
      <c r="AE120" s="172"/>
      <c r="AF120" s="172"/>
      <c r="AG120" s="172"/>
      <c r="AH120" s="172"/>
      <c r="AI120" s="172"/>
      <c r="AJ120" s="172"/>
      <c r="AK120" s="172"/>
      <c r="AL120" s="172"/>
      <c r="AM120" s="172"/>
      <c r="AN120" s="172"/>
      <c r="AO120" s="172"/>
      <c r="AP120" s="172"/>
      <c r="AQ120" s="172"/>
      <c r="AR120" s="172"/>
      <c r="AS120" s="172"/>
      <c r="AT120" s="172"/>
      <c r="AU120" s="172"/>
      <c r="AV120" s="172"/>
      <c r="AW120" s="172"/>
      <c r="AX120" s="172"/>
      <c r="AY120" s="172"/>
    </row>
    <row r="121" spans="2:53" hidden="1" x14ac:dyDescent="0.25">
      <c r="B121" s="215" t="s">
        <v>615</v>
      </c>
      <c r="C121" s="176"/>
      <c r="D121" s="172"/>
      <c r="E121" s="173">
        <f t="shared" si="81"/>
        <v>0</v>
      </c>
      <c r="F121" s="174">
        <f t="shared" si="83"/>
        <v>0</v>
      </c>
      <c r="G121" s="172"/>
      <c r="H121" s="173">
        <f t="shared" si="84"/>
        <v>0</v>
      </c>
      <c r="I121" s="174">
        <f t="shared" si="85"/>
        <v>0</v>
      </c>
      <c r="J121" s="172"/>
      <c r="K121" s="172"/>
      <c r="L121" s="172"/>
      <c r="M121" s="172"/>
      <c r="N121" s="172"/>
      <c r="O121" s="172"/>
      <c r="P121" s="172"/>
      <c r="Q121" s="172"/>
      <c r="R121" s="172"/>
      <c r="S121" s="172"/>
      <c r="T121" s="172"/>
      <c r="U121" s="172"/>
      <c r="V121" s="172"/>
      <c r="W121" s="172"/>
      <c r="X121" s="172"/>
      <c r="Y121" s="172"/>
      <c r="Z121" s="172"/>
      <c r="AA121" s="172"/>
      <c r="AB121" s="172"/>
      <c r="AC121" s="172"/>
      <c r="AD121" s="172"/>
      <c r="AE121" s="172"/>
      <c r="AF121" s="172"/>
      <c r="AG121" s="172"/>
      <c r="AH121" s="172"/>
      <c r="AI121" s="172"/>
      <c r="AJ121" s="172"/>
      <c r="AK121" s="172"/>
      <c r="AL121" s="172"/>
      <c r="AM121" s="172"/>
      <c r="AN121" s="172"/>
      <c r="AO121" s="172"/>
      <c r="AP121" s="172"/>
      <c r="AQ121" s="172"/>
      <c r="AR121" s="172"/>
      <c r="AS121" s="172"/>
      <c r="AT121" s="172"/>
      <c r="AU121" s="172"/>
      <c r="AV121" s="172"/>
      <c r="AW121" s="172"/>
      <c r="AX121" s="172"/>
      <c r="AY121" s="172"/>
    </row>
    <row r="122" spans="2:53" hidden="1" x14ac:dyDescent="0.25">
      <c r="B122" s="216" t="s">
        <v>616</v>
      </c>
      <c r="C122" s="176"/>
      <c r="D122" s="172">
        <f>+D120-D121</f>
        <v>0</v>
      </c>
      <c r="E122" s="173">
        <f t="shared" si="81"/>
        <v>0</v>
      </c>
      <c r="F122" s="174">
        <f t="shared" si="83"/>
        <v>0</v>
      </c>
      <c r="G122" s="172">
        <f>+G120-G121</f>
        <v>0</v>
      </c>
      <c r="H122" s="173">
        <f t="shared" si="84"/>
        <v>0</v>
      </c>
      <c r="I122" s="174">
        <f t="shared" si="85"/>
        <v>0</v>
      </c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72"/>
      <c r="V122" s="172"/>
      <c r="W122" s="172"/>
      <c r="X122" s="172"/>
      <c r="Y122" s="172"/>
      <c r="Z122" s="172"/>
      <c r="AA122" s="172"/>
      <c r="AB122" s="172"/>
      <c r="AC122" s="172"/>
      <c r="AD122" s="172"/>
      <c r="AE122" s="172"/>
      <c r="AF122" s="172"/>
      <c r="AG122" s="172"/>
      <c r="AH122" s="172"/>
      <c r="AI122" s="172"/>
      <c r="AJ122" s="172"/>
      <c r="AK122" s="172"/>
      <c r="AL122" s="172"/>
      <c r="AM122" s="172"/>
      <c r="AN122" s="172"/>
      <c r="AO122" s="172"/>
      <c r="AP122" s="172"/>
      <c r="AQ122" s="172"/>
      <c r="AR122" s="172"/>
      <c r="AS122" s="172"/>
      <c r="AT122" s="172"/>
      <c r="AU122" s="172"/>
      <c r="AV122" s="172"/>
      <c r="AW122" s="172"/>
      <c r="AX122" s="172"/>
      <c r="AY122" s="172"/>
    </row>
    <row r="123" spans="2:53" hidden="1" x14ac:dyDescent="0.25">
      <c r="B123" s="197" t="s">
        <v>307</v>
      </c>
      <c r="C123" s="176" t="s">
        <v>308</v>
      </c>
      <c r="D123" s="172">
        <f>+J123+L123+N123+P123+R123+T123+V123+X123+Z123+AB123+AD123+AF123+AH123+AJ123</f>
        <v>0</v>
      </c>
      <c r="E123" s="173">
        <f t="shared" si="81"/>
        <v>0</v>
      </c>
      <c r="F123" s="174">
        <f t="shared" si="83"/>
        <v>0</v>
      </c>
      <c r="G123" s="172">
        <f>+M123+O123+Q123+S123+U123+W123+Y123+AA123+AC123+AE123+AG123+AI123+AK123+AM123</f>
        <v>0</v>
      </c>
      <c r="H123" s="173">
        <f t="shared" si="84"/>
        <v>0</v>
      </c>
      <c r="I123" s="174">
        <f t="shared" si="85"/>
        <v>0</v>
      </c>
      <c r="J123" s="172"/>
      <c r="K123" s="172"/>
      <c r="L123" s="172"/>
      <c r="M123" s="172"/>
      <c r="N123" s="172"/>
      <c r="O123" s="172"/>
      <c r="P123" s="172"/>
      <c r="Q123" s="172"/>
      <c r="R123" s="172"/>
      <c r="S123" s="172"/>
      <c r="T123" s="172"/>
      <c r="U123" s="172"/>
      <c r="V123" s="172"/>
      <c r="W123" s="172"/>
      <c r="X123" s="172"/>
      <c r="Y123" s="172"/>
      <c r="Z123" s="172"/>
      <c r="AA123" s="172"/>
      <c r="AB123" s="172"/>
      <c r="AC123" s="172"/>
      <c r="AD123" s="172"/>
      <c r="AE123" s="172"/>
      <c r="AF123" s="172"/>
      <c r="AG123" s="172"/>
      <c r="AH123" s="172"/>
      <c r="AI123" s="172"/>
      <c r="AJ123" s="172"/>
      <c r="AK123" s="172"/>
      <c r="AL123" s="172"/>
      <c r="AM123" s="172"/>
      <c r="AN123" s="172"/>
      <c r="AO123" s="172"/>
      <c r="AP123" s="172"/>
      <c r="AQ123" s="172"/>
      <c r="AR123" s="172"/>
      <c r="AS123" s="172"/>
      <c r="AT123" s="172"/>
      <c r="AU123" s="172"/>
      <c r="AV123" s="172"/>
      <c r="AW123" s="172"/>
      <c r="AX123" s="172"/>
      <c r="AY123" s="172"/>
    </row>
    <row r="124" spans="2:53" hidden="1" x14ac:dyDescent="0.25">
      <c r="B124" s="193" t="s">
        <v>309</v>
      </c>
      <c r="C124" s="176" t="s">
        <v>310</v>
      </c>
      <c r="D124" s="172">
        <f>+J124+L124+N124+P124+R124+T124+V124+X124+Z124+AB124+AD124+AF124+AH124+AJ124</f>
        <v>0</v>
      </c>
      <c r="E124" s="173">
        <f t="shared" si="81"/>
        <v>0</v>
      </c>
      <c r="F124" s="174">
        <f t="shared" si="83"/>
        <v>0</v>
      </c>
      <c r="G124" s="172">
        <f>+M124+O124+Q124+S124+U124+W124+Y124+AA124+AC124+AE124+AG124+AI124+AK124+AM124</f>
        <v>0</v>
      </c>
      <c r="H124" s="173">
        <f t="shared" si="84"/>
        <v>0</v>
      </c>
      <c r="I124" s="174">
        <f t="shared" si="85"/>
        <v>0</v>
      </c>
      <c r="J124" s="172"/>
      <c r="K124" s="172"/>
      <c r="L124" s="172"/>
      <c r="M124" s="172"/>
      <c r="N124" s="172"/>
      <c r="O124" s="172"/>
      <c r="P124" s="172"/>
      <c r="Q124" s="172"/>
      <c r="R124" s="172"/>
      <c r="S124" s="172"/>
      <c r="T124" s="172"/>
      <c r="U124" s="172"/>
      <c r="V124" s="172"/>
      <c r="W124" s="172"/>
      <c r="X124" s="172"/>
      <c r="Y124" s="172"/>
      <c r="Z124" s="172"/>
      <c r="AA124" s="172"/>
      <c r="AB124" s="172"/>
      <c r="AC124" s="172"/>
      <c r="AD124" s="172"/>
      <c r="AE124" s="172"/>
      <c r="AF124" s="172"/>
      <c r="AG124" s="172"/>
      <c r="AH124" s="172"/>
      <c r="AI124" s="172"/>
      <c r="AJ124" s="172"/>
      <c r="AK124" s="172"/>
      <c r="AL124" s="172"/>
      <c r="AM124" s="172"/>
      <c r="AN124" s="172"/>
      <c r="AO124" s="172"/>
      <c r="AP124" s="172"/>
      <c r="AQ124" s="172"/>
      <c r="AR124" s="172"/>
      <c r="AS124" s="172"/>
      <c r="AT124" s="172"/>
      <c r="AU124" s="172"/>
      <c r="AV124" s="172"/>
      <c r="AW124" s="172"/>
      <c r="AX124" s="172"/>
      <c r="AY124" s="172"/>
    </row>
    <row r="125" spans="2:53" hidden="1" x14ac:dyDescent="0.25">
      <c r="B125" s="193" t="s">
        <v>311</v>
      </c>
      <c r="C125" s="176" t="s">
        <v>312</v>
      </c>
      <c r="D125" s="172">
        <f>+J125+L125+N125+P125+R125+T125+V125+X125+Z125+AB125+AD125+AF125+AH125+AJ125</f>
        <v>0</v>
      </c>
      <c r="E125" s="173">
        <f t="shared" si="81"/>
        <v>0</v>
      </c>
      <c r="F125" s="174">
        <f t="shared" si="83"/>
        <v>0</v>
      </c>
      <c r="G125" s="172">
        <f>+M125+O125+Q125+S125+U125+W125+Y125+AA125+AC125+AE125+AG125+AI125+AK125+AM125</f>
        <v>0</v>
      </c>
      <c r="H125" s="173">
        <f t="shared" si="84"/>
        <v>0</v>
      </c>
      <c r="I125" s="174">
        <f t="shared" si="85"/>
        <v>0</v>
      </c>
      <c r="J125" s="172"/>
      <c r="K125" s="172"/>
      <c r="L125" s="172"/>
      <c r="M125" s="172"/>
      <c r="N125" s="172"/>
      <c r="O125" s="172"/>
      <c r="P125" s="172"/>
      <c r="Q125" s="172"/>
      <c r="R125" s="172"/>
      <c r="S125" s="172"/>
      <c r="T125" s="172"/>
      <c r="U125" s="172"/>
      <c r="V125" s="172"/>
      <c r="W125" s="172"/>
      <c r="X125" s="172"/>
      <c r="Y125" s="172"/>
      <c r="Z125" s="172"/>
      <c r="AA125" s="172"/>
      <c r="AB125" s="172"/>
      <c r="AC125" s="172"/>
      <c r="AD125" s="172"/>
      <c r="AE125" s="172"/>
      <c r="AF125" s="172"/>
      <c r="AG125" s="172"/>
      <c r="AH125" s="172"/>
      <c r="AI125" s="172"/>
      <c r="AJ125" s="172"/>
      <c r="AK125" s="172"/>
      <c r="AL125" s="172"/>
      <c r="AM125" s="172"/>
      <c r="AN125" s="172"/>
      <c r="AO125" s="172"/>
      <c r="AP125" s="172"/>
      <c r="AQ125" s="172"/>
      <c r="AR125" s="172"/>
      <c r="AS125" s="172"/>
      <c r="AT125" s="172"/>
      <c r="AU125" s="172"/>
      <c r="AV125" s="172"/>
      <c r="AW125" s="172"/>
      <c r="AX125" s="172"/>
      <c r="AY125" s="172"/>
    </row>
    <row r="126" spans="2:53" s="177" customFormat="1" ht="12.75" x14ac:dyDescent="0.2">
      <c r="B126" s="184" t="s">
        <v>313</v>
      </c>
      <c r="C126" s="181" t="s">
        <v>314</v>
      </c>
      <c r="D126" s="180">
        <f t="shared" ref="D126:I126" si="86">SUM(D118:D125)+D117+D112+D111</f>
        <v>92883013</v>
      </c>
      <c r="E126" s="180">
        <f t="shared" si="86"/>
        <v>43062605</v>
      </c>
      <c r="F126" s="180">
        <f t="shared" si="86"/>
        <v>135945618</v>
      </c>
      <c r="G126" s="180">
        <f>SUM(G118:G125)+G117+G112+G111</f>
        <v>94459241</v>
      </c>
      <c r="H126" s="180">
        <f>SUM(H118:H125)+H117+H112+H111</f>
        <v>43062605</v>
      </c>
      <c r="I126" s="180">
        <f t="shared" si="86"/>
        <v>137521846</v>
      </c>
      <c r="J126" s="180">
        <f t="shared" ref="J126:AY126" si="87">SUM(J118:J124)+J117+J112+J111</f>
        <v>135945618</v>
      </c>
      <c r="K126" s="180">
        <f t="shared" si="87"/>
        <v>137521846</v>
      </c>
      <c r="L126" s="180">
        <f t="shared" si="87"/>
        <v>0</v>
      </c>
      <c r="M126" s="180">
        <f t="shared" si="87"/>
        <v>0</v>
      </c>
      <c r="N126" s="180">
        <f t="shared" si="87"/>
        <v>0</v>
      </c>
      <c r="O126" s="180">
        <f t="shared" si="87"/>
        <v>0</v>
      </c>
      <c r="P126" s="180">
        <f t="shared" si="87"/>
        <v>0</v>
      </c>
      <c r="Q126" s="180">
        <f t="shared" si="87"/>
        <v>0</v>
      </c>
      <c r="R126" s="180">
        <f t="shared" si="87"/>
        <v>0</v>
      </c>
      <c r="S126" s="180">
        <f t="shared" si="87"/>
        <v>0</v>
      </c>
      <c r="T126" s="180">
        <f t="shared" si="87"/>
        <v>0</v>
      </c>
      <c r="U126" s="180">
        <f t="shared" si="87"/>
        <v>0</v>
      </c>
      <c r="V126" s="180">
        <f t="shared" si="87"/>
        <v>0</v>
      </c>
      <c r="W126" s="180">
        <f t="shared" si="87"/>
        <v>0</v>
      </c>
      <c r="X126" s="180">
        <f t="shared" si="87"/>
        <v>0</v>
      </c>
      <c r="Y126" s="180">
        <f t="shared" si="87"/>
        <v>0</v>
      </c>
      <c r="Z126" s="180">
        <f t="shared" si="87"/>
        <v>0</v>
      </c>
      <c r="AA126" s="180">
        <f t="shared" si="87"/>
        <v>0</v>
      </c>
      <c r="AB126" s="180">
        <f t="shared" si="87"/>
        <v>0</v>
      </c>
      <c r="AC126" s="180">
        <f t="shared" si="87"/>
        <v>0</v>
      </c>
      <c r="AD126" s="180">
        <f t="shared" si="87"/>
        <v>0</v>
      </c>
      <c r="AE126" s="180">
        <f t="shared" si="87"/>
        <v>0</v>
      </c>
      <c r="AF126" s="180">
        <f t="shared" si="87"/>
        <v>0</v>
      </c>
      <c r="AG126" s="180">
        <f t="shared" si="87"/>
        <v>0</v>
      </c>
      <c r="AH126" s="180">
        <f t="shared" si="87"/>
        <v>0</v>
      </c>
      <c r="AI126" s="180">
        <f t="shared" si="87"/>
        <v>0</v>
      </c>
      <c r="AJ126" s="180">
        <f t="shared" si="87"/>
        <v>0</v>
      </c>
      <c r="AK126" s="180">
        <f t="shared" si="87"/>
        <v>0</v>
      </c>
      <c r="AL126" s="180">
        <f t="shared" si="87"/>
        <v>0</v>
      </c>
      <c r="AM126" s="180">
        <f t="shared" si="87"/>
        <v>0</v>
      </c>
      <c r="AN126" s="180">
        <f t="shared" si="87"/>
        <v>0</v>
      </c>
      <c r="AO126" s="180">
        <f t="shared" si="87"/>
        <v>0</v>
      </c>
      <c r="AP126" s="180">
        <f t="shared" si="87"/>
        <v>0</v>
      </c>
      <c r="AQ126" s="180">
        <f t="shared" si="87"/>
        <v>0</v>
      </c>
      <c r="AR126" s="180">
        <f t="shared" si="87"/>
        <v>0</v>
      </c>
      <c r="AS126" s="180">
        <f t="shared" si="87"/>
        <v>0</v>
      </c>
      <c r="AT126" s="180">
        <f t="shared" si="87"/>
        <v>0</v>
      </c>
      <c r="AU126" s="180">
        <f t="shared" si="87"/>
        <v>0</v>
      </c>
      <c r="AV126" s="180">
        <f t="shared" si="87"/>
        <v>0</v>
      </c>
      <c r="AW126" s="180">
        <f t="shared" si="87"/>
        <v>0</v>
      </c>
      <c r="AX126" s="180">
        <f t="shared" si="87"/>
        <v>0</v>
      </c>
      <c r="AY126" s="180">
        <f t="shared" si="87"/>
        <v>0</v>
      </c>
    </row>
    <row r="127" spans="2:53" hidden="1" x14ac:dyDescent="0.25">
      <c r="B127" s="197" t="s">
        <v>315</v>
      </c>
      <c r="C127" s="176" t="s">
        <v>316</v>
      </c>
      <c r="D127" s="172">
        <f>+J127+L127+N127+P127+R127+T127+V127+X127+Z127+AB127+AD127+AF127+AH127+AJ127</f>
        <v>0</v>
      </c>
      <c r="E127" s="173">
        <f t="shared" si="81"/>
        <v>0</v>
      </c>
      <c r="F127" s="174">
        <f>+E127+D127</f>
        <v>0</v>
      </c>
      <c r="G127" s="172">
        <f>+M127+O127+Q127+S127+U127+W127+Y127+AA127+AC127+AE127+AG127+AI127+AK127+AM127</f>
        <v>0</v>
      </c>
      <c r="H127" s="173">
        <f>+AO127+AQ127+AS127+AW127+AY127+BA127+AU127</f>
        <v>0</v>
      </c>
      <c r="I127" s="174">
        <f>+H127+G127</f>
        <v>0</v>
      </c>
      <c r="J127" s="172"/>
      <c r="K127" s="172"/>
      <c r="L127" s="172"/>
      <c r="M127" s="172"/>
      <c r="N127" s="172"/>
      <c r="O127" s="172"/>
      <c r="P127" s="172"/>
      <c r="Q127" s="172"/>
      <c r="R127" s="172"/>
      <c r="S127" s="172"/>
      <c r="T127" s="172"/>
      <c r="U127" s="172"/>
      <c r="V127" s="172"/>
      <c r="W127" s="172"/>
      <c r="X127" s="172"/>
      <c r="Y127" s="172"/>
      <c r="Z127" s="172"/>
      <c r="AA127" s="172"/>
      <c r="AB127" s="172"/>
      <c r="AC127" s="172"/>
      <c r="AD127" s="172"/>
      <c r="AE127" s="172"/>
      <c r="AF127" s="172"/>
      <c r="AG127" s="172"/>
      <c r="AH127" s="172"/>
      <c r="AI127" s="172"/>
      <c r="AJ127" s="172"/>
      <c r="AK127" s="172"/>
      <c r="AL127" s="172"/>
      <c r="AM127" s="172"/>
      <c r="AN127" s="172"/>
      <c r="AO127" s="172"/>
      <c r="AP127" s="172"/>
      <c r="AQ127" s="172"/>
      <c r="AR127" s="172"/>
      <c r="AS127" s="172"/>
      <c r="AT127" s="172"/>
      <c r="AU127" s="172"/>
      <c r="AV127" s="172"/>
      <c r="AW127" s="172"/>
      <c r="AX127" s="172"/>
      <c r="AY127" s="172"/>
    </row>
    <row r="128" spans="2:53" hidden="1" x14ac:dyDescent="0.25">
      <c r="B128" s="193" t="s">
        <v>317</v>
      </c>
      <c r="C128" s="176" t="s">
        <v>318</v>
      </c>
      <c r="D128" s="172">
        <f>+J128+L128+N128+P128+R128+T128+V128+X128+Z128+AB128+AD128+AF128+AH128+AJ128</f>
        <v>0</v>
      </c>
      <c r="E128" s="173">
        <f t="shared" si="81"/>
        <v>0</v>
      </c>
      <c r="F128" s="174">
        <f>+E128+D128</f>
        <v>0</v>
      </c>
      <c r="G128" s="172">
        <f>+M128+O128+Q128+S128+U128+W128+Y128+AA128+AC128+AE128+AG128+AI128+AK128+AM128</f>
        <v>0</v>
      </c>
      <c r="H128" s="173">
        <f>+AO128+AQ128+AS128+AW128+AY128+BA128+AU128</f>
        <v>0</v>
      </c>
      <c r="I128" s="174">
        <f>+H128+G128</f>
        <v>0</v>
      </c>
      <c r="J128" s="172"/>
      <c r="K128" s="172"/>
      <c r="L128" s="172"/>
      <c r="M128" s="172"/>
      <c r="N128" s="172"/>
      <c r="O128" s="172"/>
      <c r="P128" s="172"/>
      <c r="Q128" s="172"/>
      <c r="R128" s="172"/>
      <c r="S128" s="172"/>
      <c r="T128" s="172"/>
      <c r="U128" s="172"/>
      <c r="V128" s="172"/>
      <c r="W128" s="172"/>
      <c r="X128" s="172"/>
      <c r="Y128" s="172"/>
      <c r="Z128" s="172"/>
      <c r="AA128" s="172"/>
      <c r="AB128" s="172"/>
      <c r="AC128" s="172"/>
      <c r="AD128" s="172"/>
      <c r="AE128" s="172"/>
      <c r="AF128" s="172"/>
      <c r="AG128" s="172"/>
      <c r="AH128" s="172"/>
      <c r="AI128" s="172"/>
      <c r="AJ128" s="172"/>
      <c r="AK128" s="172"/>
      <c r="AL128" s="172"/>
      <c r="AM128" s="172"/>
      <c r="AN128" s="172"/>
      <c r="AO128" s="172"/>
      <c r="AP128" s="172"/>
      <c r="AQ128" s="172"/>
      <c r="AR128" s="172"/>
      <c r="AS128" s="172"/>
      <c r="AT128" s="172"/>
      <c r="AU128" s="172"/>
      <c r="AV128" s="172"/>
      <c r="AW128" s="172"/>
      <c r="AX128" s="172"/>
      <c r="AY128" s="172"/>
    </row>
    <row r="129" spans="2:58" hidden="1" x14ac:dyDescent="0.25">
      <c r="B129" s="193" t="s">
        <v>319</v>
      </c>
      <c r="C129" s="176" t="s">
        <v>320</v>
      </c>
      <c r="D129" s="172">
        <f>+J129+L129+N129+P129+R129+T129+V129+X129+Z129+AB129+AD129+AF129+AH129+AJ129</f>
        <v>0</v>
      </c>
      <c r="E129" s="173">
        <f t="shared" si="81"/>
        <v>0</v>
      </c>
      <c r="F129" s="174">
        <f>+E129+D129</f>
        <v>0</v>
      </c>
      <c r="G129" s="172">
        <f>+M129+O129+Q129+S129+U129+W129+Y129+AA129+AC129+AE129+AG129+AI129+AK129+AM129</f>
        <v>0</v>
      </c>
      <c r="H129" s="173">
        <f>+AO129+AQ129+AS129+AW129+AY129+BA129+AU129</f>
        <v>0</v>
      </c>
      <c r="I129" s="174">
        <f>+H129+G129</f>
        <v>0</v>
      </c>
      <c r="J129" s="172"/>
      <c r="K129" s="172"/>
      <c r="L129" s="172"/>
      <c r="M129" s="172"/>
      <c r="N129" s="172"/>
      <c r="O129" s="172"/>
      <c r="P129" s="172"/>
      <c r="Q129" s="172"/>
      <c r="R129" s="172"/>
      <c r="S129" s="172"/>
      <c r="T129" s="172"/>
      <c r="U129" s="172"/>
      <c r="V129" s="172"/>
      <c r="W129" s="172"/>
      <c r="X129" s="172"/>
      <c r="Y129" s="172"/>
      <c r="Z129" s="172"/>
      <c r="AA129" s="172"/>
      <c r="AB129" s="172"/>
      <c r="AC129" s="172"/>
      <c r="AD129" s="172"/>
      <c r="AE129" s="172"/>
      <c r="AF129" s="172"/>
      <c r="AG129" s="172"/>
      <c r="AH129" s="172"/>
      <c r="AI129" s="172"/>
      <c r="AJ129" s="172"/>
      <c r="AK129" s="172"/>
      <c r="AL129" s="172"/>
      <c r="AM129" s="172"/>
      <c r="AN129" s="172"/>
      <c r="AO129" s="172"/>
      <c r="AP129" s="172"/>
      <c r="AQ129" s="172"/>
      <c r="AR129" s="172"/>
      <c r="AS129" s="172"/>
      <c r="AT129" s="172"/>
      <c r="AU129" s="172"/>
      <c r="AV129" s="172"/>
      <c r="AW129" s="172"/>
      <c r="AX129" s="172"/>
      <c r="AY129" s="172"/>
    </row>
    <row r="130" spans="2:58" x14ac:dyDescent="0.25">
      <c r="B130" s="200" t="s">
        <v>321</v>
      </c>
      <c r="C130" s="201" t="s">
        <v>322</v>
      </c>
      <c r="D130" s="196">
        <f t="shared" ref="D130:I130" si="88">+D128+D127+D126+D129</f>
        <v>92883013</v>
      </c>
      <c r="E130" s="196">
        <f t="shared" si="88"/>
        <v>43062605</v>
      </c>
      <c r="F130" s="196">
        <f t="shared" si="88"/>
        <v>135945618</v>
      </c>
      <c r="G130" s="196">
        <f>+G128+G127+G126+G129</f>
        <v>94459241</v>
      </c>
      <c r="H130" s="196">
        <f>+H128+H127+H126+H129</f>
        <v>43062605</v>
      </c>
      <c r="I130" s="196">
        <f t="shared" si="88"/>
        <v>137521846</v>
      </c>
      <c r="J130" s="196">
        <f t="shared" ref="J130:AY130" si="89">+J128+J127+J126</f>
        <v>135945618</v>
      </c>
      <c r="K130" s="196">
        <f t="shared" si="89"/>
        <v>137521846</v>
      </c>
      <c r="L130" s="196">
        <f t="shared" si="89"/>
        <v>0</v>
      </c>
      <c r="M130" s="196">
        <f t="shared" si="89"/>
        <v>0</v>
      </c>
      <c r="N130" s="196">
        <f t="shared" si="89"/>
        <v>0</v>
      </c>
      <c r="O130" s="196">
        <f t="shared" si="89"/>
        <v>0</v>
      </c>
      <c r="P130" s="196">
        <f t="shared" si="89"/>
        <v>0</v>
      </c>
      <c r="Q130" s="196">
        <f t="shared" si="89"/>
        <v>0</v>
      </c>
      <c r="R130" s="196">
        <f t="shared" si="89"/>
        <v>0</v>
      </c>
      <c r="S130" s="196">
        <f t="shared" si="89"/>
        <v>0</v>
      </c>
      <c r="T130" s="196">
        <f t="shared" si="89"/>
        <v>0</v>
      </c>
      <c r="U130" s="196">
        <f t="shared" si="89"/>
        <v>0</v>
      </c>
      <c r="V130" s="196">
        <f t="shared" si="89"/>
        <v>0</v>
      </c>
      <c r="W130" s="196">
        <f t="shared" si="89"/>
        <v>0</v>
      </c>
      <c r="X130" s="196">
        <f t="shared" si="89"/>
        <v>0</v>
      </c>
      <c r="Y130" s="196">
        <f t="shared" si="89"/>
        <v>0</v>
      </c>
      <c r="Z130" s="196">
        <f t="shared" si="89"/>
        <v>0</v>
      </c>
      <c r="AA130" s="196">
        <f t="shared" si="89"/>
        <v>0</v>
      </c>
      <c r="AB130" s="196">
        <f t="shared" si="89"/>
        <v>0</v>
      </c>
      <c r="AC130" s="196">
        <f t="shared" si="89"/>
        <v>0</v>
      </c>
      <c r="AD130" s="196">
        <f t="shared" si="89"/>
        <v>0</v>
      </c>
      <c r="AE130" s="196">
        <f t="shared" si="89"/>
        <v>0</v>
      </c>
      <c r="AF130" s="196">
        <f t="shared" si="89"/>
        <v>0</v>
      </c>
      <c r="AG130" s="196">
        <f t="shared" si="89"/>
        <v>0</v>
      </c>
      <c r="AH130" s="196">
        <f t="shared" si="89"/>
        <v>0</v>
      </c>
      <c r="AI130" s="196">
        <f t="shared" si="89"/>
        <v>0</v>
      </c>
      <c r="AJ130" s="196">
        <f t="shared" si="89"/>
        <v>0</v>
      </c>
      <c r="AK130" s="196">
        <f t="shared" si="89"/>
        <v>0</v>
      </c>
      <c r="AL130" s="196">
        <f t="shared" si="89"/>
        <v>0</v>
      </c>
      <c r="AM130" s="196">
        <f t="shared" si="89"/>
        <v>0</v>
      </c>
      <c r="AN130" s="196">
        <f t="shared" si="89"/>
        <v>0</v>
      </c>
      <c r="AO130" s="196">
        <f t="shared" si="89"/>
        <v>0</v>
      </c>
      <c r="AP130" s="196">
        <f t="shared" si="89"/>
        <v>0</v>
      </c>
      <c r="AQ130" s="196">
        <f t="shared" si="89"/>
        <v>0</v>
      </c>
      <c r="AR130" s="196">
        <f t="shared" si="89"/>
        <v>0</v>
      </c>
      <c r="AS130" s="196">
        <f t="shared" si="89"/>
        <v>0</v>
      </c>
      <c r="AT130" s="196">
        <f t="shared" si="89"/>
        <v>0</v>
      </c>
      <c r="AU130" s="196">
        <f t="shared" si="89"/>
        <v>0</v>
      </c>
      <c r="AV130" s="196">
        <f t="shared" si="89"/>
        <v>0</v>
      </c>
      <c r="AW130" s="196">
        <f t="shared" si="89"/>
        <v>0</v>
      </c>
      <c r="AX130" s="196">
        <f t="shared" si="89"/>
        <v>0</v>
      </c>
      <c r="AY130" s="196">
        <f t="shared" si="89"/>
        <v>0</v>
      </c>
    </row>
    <row r="131" spans="2:58" s="159" customFormat="1" ht="12.75" x14ac:dyDescent="0.2">
      <c r="B131" s="203" t="s">
        <v>323</v>
      </c>
      <c r="C131" s="203" t="s">
        <v>324</v>
      </c>
      <c r="D131" s="204">
        <f t="shared" ref="D131:AI131" si="90">+D108+D130</f>
        <v>151214512</v>
      </c>
      <c r="E131" s="204">
        <f t="shared" si="90"/>
        <v>43062605</v>
      </c>
      <c r="F131" s="204">
        <f t="shared" si="90"/>
        <v>194277117</v>
      </c>
      <c r="G131" s="204">
        <f>+G108+G130</f>
        <v>174475688</v>
      </c>
      <c r="H131" s="204">
        <f>+H108+H130</f>
        <v>43062605</v>
      </c>
      <c r="I131" s="204">
        <f t="shared" si="90"/>
        <v>217538293</v>
      </c>
      <c r="J131" s="204">
        <f t="shared" si="90"/>
        <v>135945618</v>
      </c>
      <c r="K131" s="204">
        <f t="shared" si="90"/>
        <v>159206794</v>
      </c>
      <c r="L131" s="204">
        <f t="shared" si="90"/>
        <v>7882999</v>
      </c>
      <c r="M131" s="204">
        <f t="shared" si="90"/>
        <v>7882999</v>
      </c>
      <c r="N131" s="204">
        <f t="shared" si="90"/>
        <v>0</v>
      </c>
      <c r="O131" s="204">
        <f t="shared" si="90"/>
        <v>0</v>
      </c>
      <c r="P131" s="204">
        <f t="shared" si="90"/>
        <v>566000</v>
      </c>
      <c r="Q131" s="204">
        <f t="shared" si="90"/>
        <v>566000</v>
      </c>
      <c r="R131" s="204">
        <f t="shared" si="90"/>
        <v>0</v>
      </c>
      <c r="S131" s="204">
        <f t="shared" si="90"/>
        <v>0</v>
      </c>
      <c r="T131" s="204">
        <f t="shared" si="90"/>
        <v>0</v>
      </c>
      <c r="U131" s="204">
        <f t="shared" si="90"/>
        <v>0</v>
      </c>
      <c r="V131" s="204">
        <f t="shared" si="90"/>
        <v>1900000</v>
      </c>
      <c r="W131" s="204">
        <f t="shared" si="90"/>
        <v>1900000</v>
      </c>
      <c r="X131" s="204">
        <f t="shared" si="90"/>
        <v>47882500</v>
      </c>
      <c r="Y131" s="204">
        <f t="shared" si="90"/>
        <v>47882500</v>
      </c>
      <c r="Z131" s="204">
        <f t="shared" si="90"/>
        <v>0</v>
      </c>
      <c r="AA131" s="204">
        <f t="shared" si="90"/>
        <v>0</v>
      </c>
      <c r="AB131" s="204">
        <f t="shared" si="90"/>
        <v>0</v>
      </c>
      <c r="AC131" s="204">
        <f t="shared" si="90"/>
        <v>0</v>
      </c>
      <c r="AD131" s="204">
        <f t="shared" si="90"/>
        <v>100000</v>
      </c>
      <c r="AE131" s="204">
        <f t="shared" si="90"/>
        <v>100000</v>
      </c>
      <c r="AF131" s="204">
        <f t="shared" si="90"/>
        <v>0</v>
      </c>
      <c r="AG131" s="204">
        <f t="shared" si="90"/>
        <v>0</v>
      </c>
      <c r="AH131" s="204">
        <f t="shared" si="90"/>
        <v>0</v>
      </c>
      <c r="AI131" s="204">
        <f t="shared" si="90"/>
        <v>0</v>
      </c>
      <c r="AJ131" s="204">
        <f t="shared" ref="AJ131:AY131" si="91">+AJ108+AJ130</f>
        <v>0</v>
      </c>
      <c r="AK131" s="204">
        <f t="shared" si="91"/>
        <v>0</v>
      </c>
      <c r="AL131" s="204">
        <f t="shared" si="91"/>
        <v>0</v>
      </c>
      <c r="AM131" s="204">
        <f t="shared" si="91"/>
        <v>0</v>
      </c>
      <c r="AN131" s="204">
        <f t="shared" si="91"/>
        <v>0</v>
      </c>
      <c r="AO131" s="204">
        <f t="shared" si="91"/>
        <v>0</v>
      </c>
      <c r="AP131" s="204">
        <f t="shared" si="91"/>
        <v>0</v>
      </c>
      <c r="AQ131" s="204">
        <f t="shared" si="91"/>
        <v>0</v>
      </c>
      <c r="AR131" s="204">
        <f t="shared" si="91"/>
        <v>0</v>
      </c>
      <c r="AS131" s="204">
        <f t="shared" si="91"/>
        <v>0</v>
      </c>
      <c r="AT131" s="204">
        <f t="shared" si="91"/>
        <v>0</v>
      </c>
      <c r="AU131" s="204">
        <f t="shared" si="91"/>
        <v>0</v>
      </c>
      <c r="AV131" s="204">
        <f t="shared" si="91"/>
        <v>0</v>
      </c>
      <c r="AW131" s="204">
        <f t="shared" si="91"/>
        <v>0</v>
      </c>
      <c r="AX131" s="204">
        <f t="shared" si="91"/>
        <v>0</v>
      </c>
      <c r="AY131" s="204">
        <f t="shared" si="91"/>
        <v>0</v>
      </c>
    </row>
    <row r="132" spans="2:58" s="159" customFormat="1" ht="12.75" x14ac:dyDescent="0.2">
      <c r="BA132" s="384"/>
    </row>
    <row r="133" spans="2:58" s="159" customFormat="1" ht="12.75" x14ac:dyDescent="0.2">
      <c r="BA133" s="384"/>
    </row>
    <row r="134" spans="2:58" s="159" customFormat="1" ht="12.75" x14ac:dyDescent="0.2"/>
    <row r="135" spans="2:58" s="159" customFormat="1" ht="12.75" x14ac:dyDescent="0.2">
      <c r="BA135" s="384"/>
      <c r="BB135" s="384"/>
      <c r="BC135" s="384"/>
      <c r="BD135" s="384"/>
      <c r="BE135" s="384"/>
      <c r="BF135" s="384"/>
    </row>
    <row r="136" spans="2:58" s="159" customFormat="1" ht="12.75" x14ac:dyDescent="0.2">
      <c r="BA136" s="384"/>
      <c r="BB136" s="384"/>
      <c r="BC136" s="384"/>
      <c r="BD136" s="384"/>
      <c r="BE136" s="384"/>
      <c r="BF136" s="384"/>
    </row>
    <row r="137" spans="2:58" s="159" customFormat="1" ht="12.75" x14ac:dyDescent="0.2"/>
    <row r="138" spans="2:58" s="159" customFormat="1" ht="12.75" x14ac:dyDescent="0.2"/>
    <row r="139" spans="2:58" s="159" customFormat="1" ht="12.75" x14ac:dyDescent="0.2"/>
    <row r="140" spans="2:58" s="159" customFormat="1" ht="12.75" x14ac:dyDescent="0.2"/>
    <row r="141" spans="2:58" s="159" customFormat="1" ht="12.75" x14ac:dyDescent="0.2"/>
    <row r="142" spans="2:58" s="159" customFormat="1" ht="12.75" x14ac:dyDescent="0.2"/>
    <row r="143" spans="2:58" s="159" customFormat="1" ht="12.75" x14ac:dyDescent="0.2"/>
    <row r="144" spans="2:58" s="159" customFormat="1" ht="12.75" x14ac:dyDescent="0.2"/>
    <row r="145" s="159" customFormat="1" ht="12.75" x14ac:dyDescent="0.2"/>
    <row r="146" s="159" customFormat="1" ht="12.75" x14ac:dyDescent="0.2"/>
    <row r="147" s="159" customFormat="1" ht="12.75" x14ac:dyDescent="0.2"/>
    <row r="148" s="159" customFormat="1" ht="12.75" x14ac:dyDescent="0.2"/>
    <row r="149" s="159" customFormat="1" ht="12.75" x14ac:dyDescent="0.2"/>
    <row r="150" s="159" customFormat="1" ht="12.75" x14ac:dyDescent="0.2"/>
    <row r="151" s="159" customFormat="1" ht="12.75" x14ac:dyDescent="0.2"/>
    <row r="152" s="159" customFormat="1" ht="12.75" x14ac:dyDescent="0.2"/>
    <row r="153" s="159" customFormat="1" ht="12.75" x14ac:dyDescent="0.2"/>
    <row r="154" s="159" customFormat="1" ht="12.75" x14ac:dyDescent="0.2"/>
    <row r="155" s="159" customFormat="1" ht="12.75" x14ac:dyDescent="0.2"/>
    <row r="156" s="159" customFormat="1" ht="12.75" x14ac:dyDescent="0.2"/>
    <row r="157" s="159" customFormat="1" ht="12.75" x14ac:dyDescent="0.2"/>
    <row r="158" s="159" customFormat="1" ht="12.75" x14ac:dyDescent="0.2"/>
    <row r="159" s="159" customFormat="1" ht="12.75" x14ac:dyDescent="0.2"/>
    <row r="160" s="159" customFormat="1" ht="12.75" x14ac:dyDescent="0.2"/>
    <row r="161" s="159" customFormat="1" ht="12.75" x14ac:dyDescent="0.2"/>
    <row r="162" s="159" customFormat="1" ht="12.75" x14ac:dyDescent="0.2"/>
    <row r="163" s="159" customFormat="1" ht="12.75" x14ac:dyDescent="0.2"/>
    <row r="164" s="159" customFormat="1" ht="12.75" x14ac:dyDescent="0.2"/>
    <row r="165" s="159" customFormat="1" ht="12.75" x14ac:dyDescent="0.2"/>
    <row r="166" s="159" customFormat="1" ht="12.75" x14ac:dyDescent="0.2"/>
    <row r="167" s="159" customFormat="1" ht="12.75" x14ac:dyDescent="0.2"/>
    <row r="168" s="159" customFormat="1" ht="12.75" x14ac:dyDescent="0.2"/>
    <row r="169" s="159" customFormat="1" ht="12.75" x14ac:dyDescent="0.2"/>
    <row r="170" s="159" customFormat="1" ht="12.75" x14ac:dyDescent="0.2"/>
    <row r="171" s="159" customFormat="1" ht="12.75" x14ac:dyDescent="0.2"/>
    <row r="172" s="159" customFormat="1" ht="12.75" x14ac:dyDescent="0.2"/>
    <row r="173" s="159" customFormat="1" ht="12.75" x14ac:dyDescent="0.2"/>
    <row r="174" s="159" customFormat="1" ht="12.75" x14ac:dyDescent="0.2"/>
    <row r="175" s="159" customFormat="1" ht="12.75" x14ac:dyDescent="0.2"/>
    <row r="176" s="159" customFormat="1" ht="12.75" x14ac:dyDescent="0.2"/>
    <row r="177" s="159" customFormat="1" ht="12.75" x14ac:dyDescent="0.2"/>
    <row r="178" s="159" customFormat="1" ht="12.75" x14ac:dyDescent="0.2"/>
    <row r="179" s="159" customFormat="1" ht="12.75" x14ac:dyDescent="0.2"/>
    <row r="180" s="159" customFormat="1" ht="12.75" x14ac:dyDescent="0.2"/>
    <row r="181" s="159" customFormat="1" ht="12.75" x14ac:dyDescent="0.2"/>
    <row r="182" s="159" customFormat="1" ht="12.75" x14ac:dyDescent="0.2"/>
    <row r="183" s="159" customFormat="1" ht="12.75" x14ac:dyDescent="0.2"/>
    <row r="184" s="159" customFormat="1" ht="12.75" x14ac:dyDescent="0.2"/>
    <row r="185" s="159" customFormat="1" ht="12.75" x14ac:dyDescent="0.2"/>
    <row r="186" s="159" customFormat="1" ht="12.75" x14ac:dyDescent="0.2"/>
    <row r="187" s="159" customFormat="1" ht="12.75" x14ac:dyDescent="0.2"/>
    <row r="188" s="159" customFormat="1" ht="12.75" x14ac:dyDescent="0.2"/>
    <row r="189" s="159" customFormat="1" ht="12.75" x14ac:dyDescent="0.2"/>
    <row r="190" s="159" customFormat="1" ht="12.75" x14ac:dyDescent="0.2"/>
    <row r="191" s="159" customFormat="1" ht="12.75" x14ac:dyDescent="0.2"/>
    <row r="192" s="159" customFormat="1" ht="12.75" x14ac:dyDescent="0.2"/>
    <row r="193" s="159" customFormat="1" ht="12.75" x14ac:dyDescent="0.2"/>
    <row r="194" s="159" customFormat="1" ht="12.75" x14ac:dyDescent="0.2"/>
    <row r="195" s="159" customFormat="1" ht="12.75" x14ac:dyDescent="0.2"/>
    <row r="196" s="159" customFormat="1" ht="12.75" x14ac:dyDescent="0.2"/>
    <row r="197" s="159" customFormat="1" ht="12.75" x14ac:dyDescent="0.2"/>
    <row r="198" s="159" customFormat="1" ht="12.75" x14ac:dyDescent="0.2"/>
    <row r="199" s="159" customFormat="1" ht="12.75" x14ac:dyDescent="0.2"/>
    <row r="200" s="159" customFormat="1" ht="12.75" x14ac:dyDescent="0.2"/>
    <row r="201" s="159" customFormat="1" ht="12.75" x14ac:dyDescent="0.2"/>
    <row r="202" s="159" customFormat="1" ht="12.75" x14ac:dyDescent="0.2"/>
    <row r="203" s="159" customFormat="1" ht="12.75" x14ac:dyDescent="0.2"/>
    <row r="204" s="159" customFormat="1" ht="12.75" x14ac:dyDescent="0.2"/>
    <row r="205" s="159" customFormat="1" ht="12.75" x14ac:dyDescent="0.2"/>
    <row r="206" s="159" customFormat="1" ht="12.75" x14ac:dyDescent="0.2"/>
    <row r="207" s="159" customFormat="1" ht="12.75" x14ac:dyDescent="0.2"/>
    <row r="208" s="159" customFormat="1" ht="12.75" x14ac:dyDescent="0.2"/>
    <row r="209" s="159" customFormat="1" ht="12.75" x14ac:dyDescent="0.2"/>
    <row r="210" s="159" customFormat="1" ht="12.75" x14ac:dyDescent="0.2"/>
    <row r="211" s="159" customFormat="1" ht="12.75" x14ac:dyDescent="0.2"/>
    <row r="212" s="159" customFormat="1" ht="12.75" x14ac:dyDescent="0.2"/>
    <row r="213" s="159" customFormat="1" ht="12.75" x14ac:dyDescent="0.2"/>
    <row r="214" s="159" customFormat="1" ht="12.75" x14ac:dyDescent="0.2"/>
    <row r="215" s="159" customFormat="1" ht="12.75" x14ac:dyDescent="0.2"/>
    <row r="216" s="159" customFormat="1" ht="12.75" x14ac:dyDescent="0.2"/>
    <row r="217" s="159" customFormat="1" ht="12.75" x14ac:dyDescent="0.2"/>
    <row r="218" s="159" customFormat="1" ht="12.75" x14ac:dyDescent="0.2"/>
    <row r="219" s="159" customFormat="1" ht="12.75" x14ac:dyDescent="0.2"/>
    <row r="220" s="159" customFormat="1" ht="12.75" x14ac:dyDescent="0.2"/>
    <row r="221" s="159" customFormat="1" ht="12.75" x14ac:dyDescent="0.2"/>
    <row r="222" s="159" customFormat="1" ht="12.75" x14ac:dyDescent="0.2"/>
    <row r="223" s="159" customFormat="1" ht="12.75" x14ac:dyDescent="0.2"/>
    <row r="224" s="159" customFormat="1" ht="12.75" x14ac:dyDescent="0.2"/>
    <row r="225" s="159" customFormat="1" ht="12.75" x14ac:dyDescent="0.2"/>
    <row r="226" s="159" customFormat="1" ht="12.75" x14ac:dyDescent="0.2"/>
    <row r="227" s="159" customFormat="1" ht="12.75" x14ac:dyDescent="0.2"/>
    <row r="228" s="159" customFormat="1" ht="12.75" x14ac:dyDescent="0.2"/>
    <row r="229" s="159" customFormat="1" ht="12.75" x14ac:dyDescent="0.2"/>
    <row r="230" s="159" customFormat="1" ht="12.75" x14ac:dyDescent="0.2"/>
    <row r="231" s="159" customFormat="1" ht="12.75" x14ac:dyDescent="0.2"/>
    <row r="232" s="159" customFormat="1" ht="12.75" x14ac:dyDescent="0.2"/>
    <row r="233" s="159" customFormat="1" ht="12.75" x14ac:dyDescent="0.2"/>
    <row r="234" s="159" customFormat="1" ht="12.75" x14ac:dyDescent="0.2"/>
    <row r="235" s="159" customFormat="1" ht="12.75" x14ac:dyDescent="0.2"/>
    <row r="236" s="159" customFormat="1" ht="12.75" x14ac:dyDescent="0.2"/>
    <row r="237" s="159" customFormat="1" ht="12.75" x14ac:dyDescent="0.2"/>
    <row r="238" s="159" customFormat="1" ht="12.75" x14ac:dyDescent="0.2"/>
    <row r="239" s="159" customFormat="1" ht="12.75" x14ac:dyDescent="0.2"/>
    <row r="240" s="159" customFormat="1" ht="12.75" x14ac:dyDescent="0.2"/>
    <row r="241" s="159" customFormat="1" ht="12.75" x14ac:dyDescent="0.2"/>
    <row r="242" s="159" customFormat="1" ht="12.75" x14ac:dyDescent="0.2"/>
    <row r="243" s="159" customFormat="1" ht="12.75" x14ac:dyDescent="0.2"/>
    <row r="244" s="159" customFormat="1" ht="12.75" x14ac:dyDescent="0.2"/>
    <row r="245" s="159" customFormat="1" ht="12.75" x14ac:dyDescent="0.2"/>
    <row r="246" s="159" customFormat="1" ht="12.75" x14ac:dyDescent="0.2"/>
    <row r="247" s="159" customFormat="1" ht="12.75" x14ac:dyDescent="0.2"/>
    <row r="248" s="159" customFormat="1" ht="12.75" x14ac:dyDescent="0.2"/>
    <row r="249" s="159" customFormat="1" ht="12.75" x14ac:dyDescent="0.2"/>
    <row r="250" s="159" customFormat="1" ht="12.75" x14ac:dyDescent="0.2"/>
    <row r="251" s="159" customFormat="1" ht="12.75" x14ac:dyDescent="0.2"/>
    <row r="252" s="159" customFormat="1" ht="12.75" x14ac:dyDescent="0.2"/>
    <row r="253" s="159" customFormat="1" ht="12.75" x14ac:dyDescent="0.2"/>
    <row r="254" s="159" customFormat="1" ht="12.75" x14ac:dyDescent="0.2"/>
    <row r="255" s="159" customFormat="1" ht="12.75" x14ac:dyDescent="0.2"/>
    <row r="256" s="159" customFormat="1" ht="12.75" x14ac:dyDescent="0.2"/>
    <row r="257" spans="2:9" s="159" customFormat="1" ht="12.75" x14ac:dyDescent="0.2"/>
    <row r="258" spans="2:9" s="159" customFormat="1" x14ac:dyDescent="0.25">
      <c r="B258"/>
      <c r="C258"/>
      <c r="D258"/>
      <c r="E258"/>
      <c r="F258"/>
      <c r="G258"/>
      <c r="H258"/>
      <c r="I258"/>
    </row>
    <row r="259" spans="2:9" s="159" customFormat="1" x14ac:dyDescent="0.25">
      <c r="B259"/>
      <c r="C259"/>
      <c r="D259"/>
      <c r="E259"/>
      <c r="F259"/>
      <c r="G259"/>
      <c r="H259"/>
      <c r="I259"/>
    </row>
  </sheetData>
  <sheetProtection selectLockedCells="1" selectUnlockedCells="1"/>
  <mergeCells count="55">
    <mergeCell ref="AR67:AS67"/>
    <mergeCell ref="AT67:AU67"/>
    <mergeCell ref="AV67:AW67"/>
    <mergeCell ref="AX67:AY67"/>
    <mergeCell ref="AH67:AI67"/>
    <mergeCell ref="AJ67:AK67"/>
    <mergeCell ref="AL67:AM67"/>
    <mergeCell ref="AN67:AO67"/>
    <mergeCell ref="AP67:AQ67"/>
    <mergeCell ref="AF67:AG67"/>
    <mergeCell ref="J67:K67"/>
    <mergeCell ref="L67:M67"/>
    <mergeCell ref="N67:O67"/>
    <mergeCell ref="P67:Q67"/>
    <mergeCell ref="R67:S67"/>
    <mergeCell ref="T67:U67"/>
    <mergeCell ref="V67:W67"/>
    <mergeCell ref="X67:Y67"/>
    <mergeCell ref="Z67:AA67"/>
    <mergeCell ref="AB67:AC67"/>
    <mergeCell ref="AD67:AE67"/>
    <mergeCell ref="J66:N66"/>
    <mergeCell ref="AL66:AN66"/>
    <mergeCell ref="AP66:AX66"/>
    <mergeCell ref="AH6:AI6"/>
    <mergeCell ref="AJ6:AK6"/>
    <mergeCell ref="AL6:AM6"/>
    <mergeCell ref="AN6:AO6"/>
    <mergeCell ref="AP6:AQ6"/>
    <mergeCell ref="V6:W6"/>
    <mergeCell ref="X6:Y6"/>
    <mergeCell ref="Z6:AA6"/>
    <mergeCell ref="AR6:AS6"/>
    <mergeCell ref="AT6:AU6"/>
    <mergeCell ref="AV6:AW6"/>
    <mergeCell ref="AX6:AY6"/>
    <mergeCell ref="J6:K6"/>
    <mergeCell ref="AN4:AS4"/>
    <mergeCell ref="AT4:AY4"/>
    <mergeCell ref="J4:O4"/>
    <mergeCell ref="P4:U4"/>
    <mergeCell ref="D5:F5"/>
    <mergeCell ref="G5:I5"/>
    <mergeCell ref="AL4:AM4"/>
    <mergeCell ref="L6:M6"/>
    <mergeCell ref="N6:O6"/>
    <mergeCell ref="V4:AA4"/>
    <mergeCell ref="AB4:AG4"/>
    <mergeCell ref="AH4:AK4"/>
    <mergeCell ref="P6:Q6"/>
    <mergeCell ref="R6:S6"/>
    <mergeCell ref="T6:U6"/>
    <mergeCell ref="AB6:AC6"/>
    <mergeCell ref="AD6:AE6"/>
    <mergeCell ref="AF6:AG6"/>
  </mergeCells>
  <printOptions horizontalCentered="1"/>
  <pageMargins left="0.27559055118110237" right="0.11811023622047245" top="0.35433070866141736" bottom="0.35433070866141736" header="0.51181102362204722" footer="0.19685039370078741"/>
  <pageSetup paperSize="9" scale="64" firstPageNumber="0" fitToWidth="0" orientation="portrait" horizontalDpi="300" verticalDpi="300" r:id="rId1"/>
  <headerFooter alignWithMargins="0">
    <oddFooter>&amp;R&amp;P</oddFooter>
  </headerFooter>
  <colBreaks count="7" manualBreakCount="7">
    <brk id="9" max="1048575" man="1"/>
    <brk id="15" max="130" man="1"/>
    <brk id="21" max="130" man="1"/>
    <brk id="27" max="130" man="1"/>
    <brk id="33" max="1048575" man="1"/>
    <brk id="39" max="130" man="1"/>
    <brk id="45" max="130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</sheetPr>
  <dimension ref="A1:IR260"/>
  <sheetViews>
    <sheetView view="pageBreakPreview" topLeftCell="B1" zoomScale="80" zoomScaleSheetLayoutView="80" workbookViewId="0">
      <selection activeCell="I2" sqref="I2"/>
    </sheetView>
  </sheetViews>
  <sheetFormatPr defaultColWidth="11.5703125" defaultRowHeight="15.75" x14ac:dyDescent="0.25"/>
  <cols>
    <col min="1" max="1" width="13" style="30" customWidth="1"/>
    <col min="2" max="2" width="72" style="30" customWidth="1"/>
    <col min="3" max="3" width="11.28515625" style="30" customWidth="1"/>
    <col min="4" max="4" width="14.5703125" style="30" customWidth="1"/>
    <col min="5" max="5" width="11.85546875" style="30" customWidth="1"/>
    <col min="6" max="6" width="15.85546875" style="31" customWidth="1"/>
    <col min="7" max="7" width="14.7109375" style="30" customWidth="1"/>
    <col min="8" max="8" width="11.5703125" style="30" customWidth="1"/>
    <col min="9" max="9" width="15.42578125" style="31" customWidth="1"/>
    <col min="10" max="252" width="9.140625" style="30" customWidth="1"/>
  </cols>
  <sheetData>
    <row r="1" spans="2:9" s="13" customFormat="1" x14ac:dyDescent="0.25">
      <c r="I1" s="15" t="s">
        <v>617</v>
      </c>
    </row>
    <row r="2" spans="2:9" s="13" customFormat="1" ht="20.25" x14ac:dyDescent="0.3">
      <c r="B2" s="217" t="s">
        <v>2</v>
      </c>
      <c r="I2" s="16" t="s">
        <v>919</v>
      </c>
    </row>
    <row r="3" spans="2:9" s="13" customFormat="1" x14ac:dyDescent="0.25">
      <c r="B3" s="43" t="s">
        <v>858</v>
      </c>
      <c r="C3" s="36"/>
      <c r="D3" s="36"/>
      <c r="E3" s="36"/>
      <c r="F3" s="37"/>
      <c r="G3" s="36"/>
      <c r="H3" s="36"/>
      <c r="I3" s="37"/>
    </row>
    <row r="4" spans="2:9" s="13" customFormat="1" x14ac:dyDescent="0.25">
      <c r="B4" s="41" t="s">
        <v>822</v>
      </c>
      <c r="C4" s="42"/>
      <c r="D4" s="42"/>
      <c r="E4" s="42"/>
      <c r="F4" s="43"/>
      <c r="G4" s="42"/>
      <c r="H4" s="42"/>
      <c r="I4" s="43"/>
    </row>
    <row r="5" spans="2:9" ht="15.75" customHeight="1" x14ac:dyDescent="0.25">
      <c r="B5" s="46"/>
      <c r="D5" s="494" t="s">
        <v>10</v>
      </c>
      <c r="E5" s="494"/>
      <c r="F5" s="494"/>
      <c r="G5" s="494" t="s">
        <v>11</v>
      </c>
      <c r="H5" s="494"/>
      <c r="I5" s="494"/>
    </row>
    <row r="6" spans="2:9" ht="47.25" x14ac:dyDescent="0.25">
      <c r="B6" s="19" t="s">
        <v>12</v>
      </c>
      <c r="C6" s="47" t="s">
        <v>38</v>
      </c>
      <c r="D6" s="48" t="s">
        <v>13</v>
      </c>
      <c r="E6" s="48" t="s">
        <v>14</v>
      </c>
      <c r="F6" s="47" t="s">
        <v>543</v>
      </c>
      <c r="G6" s="48" t="s">
        <v>13</v>
      </c>
      <c r="H6" s="48" t="s">
        <v>14</v>
      </c>
      <c r="I6" s="473" t="s">
        <v>543</v>
      </c>
    </row>
    <row r="7" spans="2:9" x14ac:dyDescent="0.25">
      <c r="B7" s="51" t="s">
        <v>39</v>
      </c>
      <c r="C7" s="52" t="s">
        <v>40</v>
      </c>
      <c r="D7" s="24">
        <f>154382928+23915999+14279880</f>
        <v>192578807</v>
      </c>
      <c r="E7" s="24"/>
      <c r="F7" s="25">
        <f>+D7+E7</f>
        <v>192578807</v>
      </c>
      <c r="G7" s="24">
        <v>195681221</v>
      </c>
      <c r="H7" s="24"/>
      <c r="I7" s="25">
        <f>+G7+H7</f>
        <v>195681221</v>
      </c>
    </row>
    <row r="8" spans="2:9" x14ac:dyDescent="0.25">
      <c r="B8" s="53" t="s">
        <v>41</v>
      </c>
      <c r="C8" s="52" t="s">
        <v>42</v>
      </c>
      <c r="D8" s="24">
        <v>3024000</v>
      </c>
      <c r="E8" s="24"/>
      <c r="F8" s="25">
        <f>+D8+E8</f>
        <v>3024000</v>
      </c>
      <c r="G8" s="24">
        <v>5328589</v>
      </c>
      <c r="H8" s="24"/>
      <c r="I8" s="25">
        <f>+G8+H8</f>
        <v>5328589</v>
      </c>
    </row>
    <row r="9" spans="2:9" x14ac:dyDescent="0.25">
      <c r="B9" s="54" t="s">
        <v>43</v>
      </c>
      <c r="C9" s="55" t="s">
        <v>44</v>
      </c>
      <c r="D9" s="25">
        <f t="shared" ref="D9:F9" si="0">SUM(D7:D8)</f>
        <v>195602807</v>
      </c>
      <c r="E9" s="25">
        <f t="shared" si="0"/>
        <v>0</v>
      </c>
      <c r="F9" s="25">
        <f t="shared" si="0"/>
        <v>195602807</v>
      </c>
      <c r="G9" s="25">
        <f>SUM(G7:G8)</f>
        <v>201009810</v>
      </c>
      <c r="H9" s="25">
        <f t="shared" ref="H9:I9" si="1">SUM(H7:H8)</f>
        <v>0</v>
      </c>
      <c r="I9" s="25">
        <f t="shared" si="1"/>
        <v>201009810</v>
      </c>
    </row>
    <row r="10" spans="2:9" x14ac:dyDescent="0.25">
      <c r="B10" s="56" t="s">
        <v>45</v>
      </c>
      <c r="C10" s="55" t="s">
        <v>46</v>
      </c>
      <c r="D10" s="24">
        <f>38264237+315315+2810000</f>
        <v>41389552</v>
      </c>
      <c r="E10" s="24"/>
      <c r="F10" s="25">
        <f t="shared" ref="F10:F15" si="2">+D10+E10</f>
        <v>41389552</v>
      </c>
      <c r="G10" s="24">
        <v>42585981</v>
      </c>
      <c r="H10" s="24"/>
      <c r="I10" s="25">
        <f t="shared" ref="I10:I15" si="3">+G10+H10</f>
        <v>42585981</v>
      </c>
    </row>
    <row r="11" spans="2:9" x14ac:dyDescent="0.25">
      <c r="B11" s="53" t="s">
        <v>47</v>
      </c>
      <c r="C11" s="52" t="s">
        <v>48</v>
      </c>
      <c r="D11" s="24">
        <f>20000+400000+200000+1500000+800000+300000</f>
        <v>3220000</v>
      </c>
      <c r="E11" s="24"/>
      <c r="F11" s="25">
        <f t="shared" si="2"/>
        <v>3220000</v>
      </c>
      <c r="G11" s="24">
        <v>3657439</v>
      </c>
      <c r="H11" s="24"/>
      <c r="I11" s="25">
        <f t="shared" si="3"/>
        <v>3657439</v>
      </c>
    </row>
    <row r="12" spans="2:9" x14ac:dyDescent="0.25">
      <c r="B12" s="53" t="s">
        <v>49</v>
      </c>
      <c r="C12" s="52" t="s">
        <v>50</v>
      </c>
      <c r="D12" s="24">
        <f>250000+520000+2000000+500000</f>
        <v>3270000</v>
      </c>
      <c r="E12" s="24"/>
      <c r="F12" s="25">
        <f t="shared" si="2"/>
        <v>3270000</v>
      </c>
      <c r="G12" s="24">
        <v>3312606</v>
      </c>
      <c r="H12" s="24"/>
      <c r="I12" s="25">
        <f t="shared" si="3"/>
        <v>3312606</v>
      </c>
    </row>
    <row r="13" spans="2:9" x14ac:dyDescent="0.25">
      <c r="B13" s="53" t="s">
        <v>51</v>
      </c>
      <c r="C13" s="52" t="s">
        <v>52</v>
      </c>
      <c r="D13" s="24">
        <f>2500000+500000+4200000+650000+3415000+1500000+1500000+1740000+150000+4010000</f>
        <v>20165000</v>
      </c>
      <c r="E13" s="24"/>
      <c r="F13" s="25">
        <f t="shared" si="2"/>
        <v>20165000</v>
      </c>
      <c r="G13" s="24">
        <v>20816555</v>
      </c>
      <c r="H13" s="24"/>
      <c r="I13" s="25">
        <f t="shared" si="3"/>
        <v>20816555</v>
      </c>
    </row>
    <row r="14" spans="2:9" x14ac:dyDescent="0.25">
      <c r="B14" s="53" t="s">
        <v>53</v>
      </c>
      <c r="C14" s="52" t="s">
        <v>54</v>
      </c>
      <c r="D14" s="24">
        <v>200000</v>
      </c>
      <c r="E14" s="24"/>
      <c r="F14" s="25">
        <f t="shared" si="2"/>
        <v>200000</v>
      </c>
      <c r="G14" s="24">
        <v>200000</v>
      </c>
      <c r="H14" s="24"/>
      <c r="I14" s="25">
        <f t="shared" si="3"/>
        <v>200000</v>
      </c>
    </row>
    <row r="15" spans="2:9" x14ac:dyDescent="0.25">
      <c r="B15" s="53" t="s">
        <v>55</v>
      </c>
      <c r="C15" s="52" t="s">
        <v>56</v>
      </c>
      <c r="D15" s="24">
        <v>7650900</v>
      </c>
      <c r="E15" s="24"/>
      <c r="F15" s="25">
        <f t="shared" si="2"/>
        <v>7650900</v>
      </c>
      <c r="G15" s="24">
        <v>8698581</v>
      </c>
      <c r="H15" s="24"/>
      <c r="I15" s="25">
        <f t="shared" si="3"/>
        <v>8698581</v>
      </c>
    </row>
    <row r="16" spans="2:9" x14ac:dyDescent="0.25">
      <c r="B16" s="56" t="s">
        <v>57</v>
      </c>
      <c r="C16" s="55" t="s">
        <v>58</v>
      </c>
      <c r="D16" s="25">
        <f t="shared" ref="D16:F16" si="4">SUM(D11:D15)</f>
        <v>34505900</v>
      </c>
      <c r="E16" s="25">
        <f t="shared" si="4"/>
        <v>0</v>
      </c>
      <c r="F16" s="25">
        <f t="shared" si="4"/>
        <v>34505900</v>
      </c>
      <c r="G16" s="25">
        <f>SUM(G11:G15)</f>
        <v>36685181</v>
      </c>
      <c r="H16" s="25">
        <f t="shared" ref="H16:I16" si="5">SUM(H11:H15)</f>
        <v>0</v>
      </c>
      <c r="I16" s="25">
        <f t="shared" si="5"/>
        <v>36685181</v>
      </c>
    </row>
    <row r="17" spans="2:9" x14ac:dyDescent="0.25">
      <c r="B17" s="57" t="s">
        <v>59</v>
      </c>
      <c r="C17" s="55" t="s">
        <v>60</v>
      </c>
      <c r="D17" s="24"/>
      <c r="E17" s="24"/>
      <c r="F17" s="25">
        <f t="shared" ref="F17:F31" si="6">+D17+E17</f>
        <v>0</v>
      </c>
      <c r="G17" s="24"/>
      <c r="H17" s="24"/>
      <c r="I17" s="25">
        <f t="shared" ref="I17:I31" si="7">+G17+H17</f>
        <v>0</v>
      </c>
    </row>
    <row r="18" spans="2:9" ht="15.75" hidden="1" customHeight="1" x14ac:dyDescent="0.25">
      <c r="B18" s="58" t="s">
        <v>61</v>
      </c>
      <c r="C18" s="52" t="s">
        <v>62</v>
      </c>
      <c r="D18" s="24"/>
      <c r="E18" s="24"/>
      <c r="F18" s="25">
        <f t="shared" si="6"/>
        <v>0</v>
      </c>
      <c r="G18" s="24"/>
      <c r="H18" s="24"/>
      <c r="I18" s="25">
        <f t="shared" si="7"/>
        <v>0</v>
      </c>
    </row>
    <row r="19" spans="2:9" ht="15.75" hidden="1" customHeight="1" x14ac:dyDescent="0.25">
      <c r="B19" s="58" t="s">
        <v>63</v>
      </c>
      <c r="C19" s="52" t="s">
        <v>64</v>
      </c>
      <c r="D19" s="24"/>
      <c r="E19" s="24"/>
      <c r="F19" s="25">
        <f t="shared" si="6"/>
        <v>0</v>
      </c>
      <c r="G19" s="24"/>
      <c r="H19" s="24"/>
      <c r="I19" s="25">
        <f t="shared" si="7"/>
        <v>0</v>
      </c>
    </row>
    <row r="20" spans="2:9" ht="15.75" hidden="1" customHeight="1" x14ac:dyDescent="0.25">
      <c r="B20" s="58" t="s">
        <v>65</v>
      </c>
      <c r="C20" s="52" t="s">
        <v>66</v>
      </c>
      <c r="D20" s="24"/>
      <c r="E20" s="24"/>
      <c r="F20" s="25">
        <f t="shared" si="6"/>
        <v>0</v>
      </c>
      <c r="G20" s="24"/>
      <c r="H20" s="24"/>
      <c r="I20" s="25">
        <f t="shared" si="7"/>
        <v>0</v>
      </c>
    </row>
    <row r="21" spans="2:9" ht="15.75" hidden="1" customHeight="1" x14ac:dyDescent="0.25">
      <c r="B21" s="58" t="s">
        <v>67</v>
      </c>
      <c r="C21" s="52" t="s">
        <v>68</v>
      </c>
      <c r="D21" s="24"/>
      <c r="E21" s="24"/>
      <c r="F21" s="25">
        <f t="shared" si="6"/>
        <v>0</v>
      </c>
      <c r="G21" s="24"/>
      <c r="H21" s="24"/>
      <c r="I21" s="25">
        <f t="shared" si="7"/>
        <v>0</v>
      </c>
    </row>
    <row r="22" spans="2:9" ht="15.75" hidden="1" customHeight="1" x14ac:dyDescent="0.25">
      <c r="B22" s="58" t="s">
        <v>618</v>
      </c>
      <c r="C22" s="52" t="s">
        <v>70</v>
      </c>
      <c r="D22" s="24"/>
      <c r="E22" s="24"/>
      <c r="F22" s="25">
        <f t="shared" si="6"/>
        <v>0</v>
      </c>
      <c r="G22" s="24"/>
      <c r="H22" s="24"/>
      <c r="I22" s="25">
        <f t="shared" si="7"/>
        <v>0</v>
      </c>
    </row>
    <row r="23" spans="2:9" ht="15.75" hidden="1" customHeight="1" x14ac:dyDescent="0.25">
      <c r="B23" s="58" t="s">
        <v>71</v>
      </c>
      <c r="C23" s="52" t="s">
        <v>72</v>
      </c>
      <c r="D23" s="24"/>
      <c r="E23" s="24"/>
      <c r="F23" s="25">
        <f t="shared" si="6"/>
        <v>0</v>
      </c>
      <c r="G23" s="24"/>
      <c r="H23" s="24"/>
      <c r="I23" s="25">
        <f t="shared" si="7"/>
        <v>0</v>
      </c>
    </row>
    <row r="24" spans="2:9" ht="15.75" hidden="1" customHeight="1" x14ac:dyDescent="0.25">
      <c r="B24" s="58" t="s">
        <v>73</v>
      </c>
      <c r="C24" s="52" t="s">
        <v>74</v>
      </c>
      <c r="D24" s="24"/>
      <c r="E24" s="24"/>
      <c r="F24" s="25">
        <f t="shared" si="6"/>
        <v>0</v>
      </c>
      <c r="G24" s="24"/>
      <c r="H24" s="24"/>
      <c r="I24" s="25">
        <f t="shared" si="7"/>
        <v>0</v>
      </c>
    </row>
    <row r="25" spans="2:9" ht="15.75" hidden="1" customHeight="1" x14ac:dyDescent="0.25">
      <c r="B25" s="58" t="s">
        <v>75</v>
      </c>
      <c r="C25" s="52" t="s">
        <v>76</v>
      </c>
      <c r="D25" s="24"/>
      <c r="E25" s="24"/>
      <c r="F25" s="25">
        <f t="shared" si="6"/>
        <v>0</v>
      </c>
      <c r="G25" s="24"/>
      <c r="H25" s="24"/>
      <c r="I25" s="25">
        <f t="shared" si="7"/>
        <v>0</v>
      </c>
    </row>
    <row r="26" spans="2:9" ht="15.75" hidden="1" customHeight="1" x14ac:dyDescent="0.25">
      <c r="B26" s="58" t="s">
        <v>77</v>
      </c>
      <c r="C26" s="52" t="s">
        <v>78</v>
      </c>
      <c r="D26" s="24"/>
      <c r="E26" s="24"/>
      <c r="F26" s="25">
        <f t="shared" si="6"/>
        <v>0</v>
      </c>
      <c r="G26" s="24"/>
      <c r="H26" s="24"/>
      <c r="I26" s="25">
        <f t="shared" si="7"/>
        <v>0</v>
      </c>
    </row>
    <row r="27" spans="2:9" ht="15.75" hidden="1" customHeight="1" x14ac:dyDescent="0.25">
      <c r="B27" s="59" t="s">
        <v>79</v>
      </c>
      <c r="C27" s="52" t="s">
        <v>80</v>
      </c>
      <c r="D27" s="24"/>
      <c r="E27" s="24"/>
      <c r="F27" s="25">
        <f t="shared" si="6"/>
        <v>0</v>
      </c>
      <c r="G27" s="24"/>
      <c r="H27" s="24"/>
      <c r="I27" s="25">
        <f t="shared" si="7"/>
        <v>0</v>
      </c>
    </row>
    <row r="28" spans="2:9" ht="15.75" hidden="1" customHeight="1" x14ac:dyDescent="0.25">
      <c r="B28" s="59" t="s">
        <v>619</v>
      </c>
      <c r="C28" s="52" t="s">
        <v>82</v>
      </c>
      <c r="D28" s="24"/>
      <c r="E28" s="24"/>
      <c r="F28" s="25">
        <f t="shared" si="6"/>
        <v>0</v>
      </c>
      <c r="G28" s="24"/>
      <c r="H28" s="24"/>
      <c r="I28" s="25">
        <f t="shared" si="7"/>
        <v>0</v>
      </c>
    </row>
    <row r="29" spans="2:9" ht="15.75" hidden="1" customHeight="1" x14ac:dyDescent="0.25">
      <c r="B29" s="58" t="s">
        <v>83</v>
      </c>
      <c r="C29" s="52" t="s">
        <v>84</v>
      </c>
      <c r="D29" s="24"/>
      <c r="E29" s="24"/>
      <c r="F29" s="25">
        <f t="shared" si="6"/>
        <v>0</v>
      </c>
      <c r="G29" s="24"/>
      <c r="H29" s="24"/>
      <c r="I29" s="25">
        <f t="shared" si="7"/>
        <v>0</v>
      </c>
    </row>
    <row r="30" spans="2:9" ht="15.75" hidden="1" customHeight="1" x14ac:dyDescent="0.25">
      <c r="B30" s="59" t="s">
        <v>85</v>
      </c>
      <c r="C30" s="52" t="s">
        <v>86</v>
      </c>
      <c r="D30" s="24"/>
      <c r="E30" s="24"/>
      <c r="F30" s="25">
        <f t="shared" si="6"/>
        <v>0</v>
      </c>
      <c r="G30" s="24"/>
      <c r="H30" s="24"/>
      <c r="I30" s="25">
        <f t="shared" si="7"/>
        <v>0</v>
      </c>
    </row>
    <row r="31" spans="2:9" ht="15.75" hidden="1" customHeight="1" x14ac:dyDescent="0.25">
      <c r="B31" s="59" t="s">
        <v>87</v>
      </c>
      <c r="C31" s="52" t="s">
        <v>86</v>
      </c>
      <c r="D31" s="24"/>
      <c r="E31" s="24"/>
      <c r="F31" s="25">
        <f t="shared" si="6"/>
        <v>0</v>
      </c>
      <c r="G31" s="24"/>
      <c r="H31" s="24"/>
      <c r="I31" s="25">
        <f t="shared" si="7"/>
        <v>0</v>
      </c>
    </row>
    <row r="32" spans="2:9" s="31" customFormat="1" x14ac:dyDescent="0.25">
      <c r="B32" s="57" t="s">
        <v>88</v>
      </c>
      <c r="C32" s="55" t="s">
        <v>89</v>
      </c>
      <c r="D32" s="25">
        <f t="shared" ref="D32:F32" si="8">SUM(D18:D31)</f>
        <v>0</v>
      </c>
      <c r="E32" s="25">
        <f t="shared" si="8"/>
        <v>0</v>
      </c>
      <c r="F32" s="25">
        <f t="shared" si="8"/>
        <v>0</v>
      </c>
      <c r="G32" s="25">
        <f>SUM(G18:G31)</f>
        <v>0</v>
      </c>
      <c r="H32" s="25">
        <f t="shared" ref="H32:I32" si="9">SUM(H18:H31)</f>
        <v>0</v>
      </c>
      <c r="I32" s="25">
        <f t="shared" si="9"/>
        <v>0</v>
      </c>
    </row>
    <row r="33" spans="2:9" x14ac:dyDescent="0.25">
      <c r="B33" s="60" t="s">
        <v>90</v>
      </c>
      <c r="C33" s="61" t="s">
        <v>91</v>
      </c>
      <c r="D33" s="62">
        <f t="shared" ref="D33:F33" si="10">+D32+D17+D16+D10+D9</f>
        <v>271498259</v>
      </c>
      <c r="E33" s="62">
        <f t="shared" si="10"/>
        <v>0</v>
      </c>
      <c r="F33" s="62">
        <f t="shared" si="10"/>
        <v>271498259</v>
      </c>
      <c r="G33" s="62">
        <f>+G32+G17+G16+G10+G9</f>
        <v>280280972</v>
      </c>
      <c r="H33" s="62">
        <f t="shared" ref="H33:I33" si="11">+H32+H17+H16+H10+H9</f>
        <v>0</v>
      </c>
      <c r="I33" s="62">
        <f t="shared" si="11"/>
        <v>280280972</v>
      </c>
    </row>
    <row r="34" spans="2:9" x14ac:dyDescent="0.25">
      <c r="B34" s="63" t="s">
        <v>92</v>
      </c>
      <c r="C34" s="52" t="s">
        <v>93</v>
      </c>
      <c r="D34" s="24"/>
      <c r="E34" s="24"/>
      <c r="F34" s="25">
        <f t="shared" ref="F34:F40" si="12">+D34+E34</f>
        <v>0</v>
      </c>
      <c r="G34" s="24"/>
      <c r="H34" s="24"/>
      <c r="I34" s="25">
        <f t="shared" ref="I34:I40" si="13">+G34+H34</f>
        <v>0</v>
      </c>
    </row>
    <row r="35" spans="2:9" x14ac:dyDescent="0.25">
      <c r="B35" s="63" t="s">
        <v>94</v>
      </c>
      <c r="C35" s="52" t="s">
        <v>95</v>
      </c>
      <c r="D35" s="24"/>
      <c r="E35" s="24"/>
      <c r="F35" s="25">
        <f t="shared" si="12"/>
        <v>0</v>
      </c>
      <c r="G35" s="24"/>
      <c r="H35" s="24"/>
      <c r="I35" s="25">
        <f t="shared" si="13"/>
        <v>0</v>
      </c>
    </row>
    <row r="36" spans="2:9" x14ac:dyDescent="0.25">
      <c r="B36" s="63" t="s">
        <v>96</v>
      </c>
      <c r="C36" s="52" t="s">
        <v>97</v>
      </c>
      <c r="D36" s="24"/>
      <c r="E36" s="24"/>
      <c r="F36" s="25">
        <f t="shared" si="12"/>
        <v>0</v>
      </c>
      <c r="G36" s="24"/>
      <c r="H36" s="24"/>
      <c r="I36" s="25">
        <f t="shared" si="13"/>
        <v>0</v>
      </c>
    </row>
    <row r="37" spans="2:9" x14ac:dyDescent="0.25">
      <c r="B37" s="63" t="s">
        <v>98</v>
      </c>
      <c r="C37" s="52" t="s">
        <v>99</v>
      </c>
      <c r="D37" s="24">
        <v>988000</v>
      </c>
      <c r="E37" s="24"/>
      <c r="F37" s="25">
        <f t="shared" si="12"/>
        <v>988000</v>
      </c>
      <c r="G37" s="24">
        <v>988000</v>
      </c>
      <c r="H37" s="24"/>
      <c r="I37" s="25">
        <f t="shared" si="13"/>
        <v>988000</v>
      </c>
    </row>
    <row r="38" spans="2:9" x14ac:dyDescent="0.25">
      <c r="B38" s="64" t="s">
        <v>100</v>
      </c>
      <c r="C38" s="52" t="s">
        <v>101</v>
      </c>
      <c r="D38" s="24"/>
      <c r="E38" s="24"/>
      <c r="F38" s="25">
        <f t="shared" si="12"/>
        <v>0</v>
      </c>
      <c r="G38" s="24"/>
      <c r="H38" s="24"/>
      <c r="I38" s="25">
        <f t="shared" si="13"/>
        <v>0</v>
      </c>
    </row>
    <row r="39" spans="2:9" x14ac:dyDescent="0.25">
      <c r="B39" s="64" t="s">
        <v>102</v>
      </c>
      <c r="C39" s="52" t="s">
        <v>103</v>
      </c>
      <c r="D39" s="24"/>
      <c r="E39" s="24"/>
      <c r="F39" s="25">
        <f t="shared" si="12"/>
        <v>0</v>
      </c>
      <c r="G39" s="24"/>
      <c r="H39" s="24"/>
      <c r="I39" s="25">
        <f t="shared" si="13"/>
        <v>0</v>
      </c>
    </row>
    <row r="40" spans="2:9" x14ac:dyDescent="0.25">
      <c r="B40" s="64" t="s">
        <v>104</v>
      </c>
      <c r="C40" s="52" t="s">
        <v>105</v>
      </c>
      <c r="D40" s="24">
        <v>266760</v>
      </c>
      <c r="E40" s="24"/>
      <c r="F40" s="25">
        <f t="shared" si="12"/>
        <v>266760</v>
      </c>
      <c r="G40" s="24">
        <v>266760</v>
      </c>
      <c r="H40" s="24"/>
      <c r="I40" s="25">
        <f t="shared" si="13"/>
        <v>266760</v>
      </c>
    </row>
    <row r="41" spans="2:9" s="31" customFormat="1" x14ac:dyDescent="0.25">
      <c r="B41" s="65" t="s">
        <v>106</v>
      </c>
      <c r="C41" s="55" t="s">
        <v>107</v>
      </c>
      <c r="D41" s="25">
        <f t="shared" ref="D41:F41" si="14">SUM(D34:D40)</f>
        <v>1254760</v>
      </c>
      <c r="E41" s="25">
        <f t="shared" si="14"/>
        <v>0</v>
      </c>
      <c r="F41" s="25">
        <f t="shared" si="14"/>
        <v>1254760</v>
      </c>
      <c r="G41" s="25">
        <f>SUM(G34:G40)</f>
        <v>1254760</v>
      </c>
      <c r="H41" s="25">
        <f t="shared" ref="H41:I41" si="15">SUM(H34:H40)</f>
        <v>0</v>
      </c>
      <c r="I41" s="25">
        <f t="shared" si="15"/>
        <v>1254760</v>
      </c>
    </row>
    <row r="42" spans="2:9" x14ac:dyDescent="0.25">
      <c r="B42" s="66" t="s">
        <v>108</v>
      </c>
      <c r="C42" s="52" t="s">
        <v>109</v>
      </c>
      <c r="D42" s="24"/>
      <c r="E42" s="24"/>
      <c r="F42" s="25">
        <f>+D42+E42</f>
        <v>0</v>
      </c>
      <c r="G42" s="24"/>
      <c r="H42" s="24"/>
      <c r="I42" s="25">
        <f>+G42+H42</f>
        <v>0</v>
      </c>
    </row>
    <row r="43" spans="2:9" x14ac:dyDescent="0.25">
      <c r="B43" s="66" t="s">
        <v>110</v>
      </c>
      <c r="C43" s="52" t="s">
        <v>111</v>
      </c>
      <c r="D43" s="24"/>
      <c r="E43" s="24"/>
      <c r="F43" s="25">
        <f>+D43+E43</f>
        <v>0</v>
      </c>
      <c r="G43" s="24"/>
      <c r="H43" s="24"/>
      <c r="I43" s="25">
        <f>+G43+H43</f>
        <v>0</v>
      </c>
    </row>
    <row r="44" spans="2:9" x14ac:dyDescent="0.25">
      <c r="B44" s="66" t="s">
        <v>112</v>
      </c>
      <c r="C44" s="52" t="s">
        <v>113</v>
      </c>
      <c r="D44" s="24"/>
      <c r="E44" s="24"/>
      <c r="F44" s="25">
        <f>+D44+E44</f>
        <v>0</v>
      </c>
      <c r="G44" s="24"/>
      <c r="H44" s="24"/>
      <c r="I44" s="25">
        <f>+G44+H44</f>
        <v>0</v>
      </c>
    </row>
    <row r="45" spans="2:9" x14ac:dyDescent="0.25">
      <c r="B45" s="66" t="s">
        <v>114</v>
      </c>
      <c r="C45" s="52" t="s">
        <v>115</v>
      </c>
      <c r="D45" s="24"/>
      <c r="E45" s="24"/>
      <c r="F45" s="25">
        <f>+D45+E45</f>
        <v>0</v>
      </c>
      <c r="G45" s="24"/>
      <c r="H45" s="24"/>
      <c r="I45" s="25">
        <f>+G45+H45</f>
        <v>0</v>
      </c>
    </row>
    <row r="46" spans="2:9" s="31" customFormat="1" x14ac:dyDescent="0.25">
      <c r="B46" s="56" t="s">
        <v>116</v>
      </c>
      <c r="C46" s="55" t="s">
        <v>117</v>
      </c>
      <c r="D46" s="25">
        <f t="shared" ref="D46:I46" si="16">SUM(D42:D45)</f>
        <v>0</v>
      </c>
      <c r="E46" s="25">
        <f t="shared" si="16"/>
        <v>0</v>
      </c>
      <c r="F46" s="25">
        <f t="shared" si="16"/>
        <v>0</v>
      </c>
      <c r="G46" s="25">
        <f t="shared" si="16"/>
        <v>0</v>
      </c>
      <c r="H46" s="25">
        <f t="shared" si="16"/>
        <v>0</v>
      </c>
      <c r="I46" s="25">
        <f t="shared" si="16"/>
        <v>0</v>
      </c>
    </row>
    <row r="47" spans="2:9" ht="15.75" hidden="1" customHeight="1" x14ac:dyDescent="0.25">
      <c r="B47" s="66" t="s">
        <v>620</v>
      </c>
      <c r="C47" s="52" t="s">
        <v>119</v>
      </c>
      <c r="D47" s="24"/>
      <c r="E47" s="24"/>
      <c r="F47" s="25">
        <f t="shared" ref="F47:F55" si="17">+D47+E47</f>
        <v>0</v>
      </c>
      <c r="G47" s="24"/>
      <c r="H47" s="24"/>
      <c r="I47" s="25">
        <f t="shared" ref="I47:I55" si="18">+G47+H47</f>
        <v>0</v>
      </c>
    </row>
    <row r="48" spans="2:9" ht="31.5" hidden="1" customHeight="1" x14ac:dyDescent="0.25">
      <c r="B48" s="66" t="s">
        <v>621</v>
      </c>
      <c r="C48" s="52" t="s">
        <v>121</v>
      </c>
      <c r="D48" s="24"/>
      <c r="E48" s="24"/>
      <c r="F48" s="25">
        <f t="shared" si="17"/>
        <v>0</v>
      </c>
      <c r="G48" s="24"/>
      <c r="H48" s="24"/>
      <c r="I48" s="25">
        <f t="shared" si="18"/>
        <v>0</v>
      </c>
    </row>
    <row r="49" spans="2:16" ht="15.75" hidden="1" customHeight="1" x14ac:dyDescent="0.25">
      <c r="B49" s="66" t="s">
        <v>122</v>
      </c>
      <c r="C49" s="52" t="s">
        <v>123</v>
      </c>
      <c r="D49" s="24"/>
      <c r="E49" s="24"/>
      <c r="F49" s="25">
        <f t="shared" si="17"/>
        <v>0</v>
      </c>
      <c r="G49" s="24"/>
      <c r="H49" s="24"/>
      <c r="I49" s="25">
        <f t="shared" si="18"/>
        <v>0</v>
      </c>
    </row>
    <row r="50" spans="2:16" ht="15.75" hidden="1" customHeight="1" x14ac:dyDescent="0.25">
      <c r="B50" s="66" t="s">
        <v>124</v>
      </c>
      <c r="C50" s="52" t="s">
        <v>125</v>
      </c>
      <c r="D50" s="24"/>
      <c r="E50" s="24"/>
      <c r="F50" s="25">
        <f t="shared" si="17"/>
        <v>0</v>
      </c>
      <c r="G50" s="24"/>
      <c r="H50" s="24"/>
      <c r="I50" s="25">
        <f t="shared" si="18"/>
        <v>0</v>
      </c>
    </row>
    <row r="51" spans="2:16" ht="15.75" hidden="1" customHeight="1" x14ac:dyDescent="0.25">
      <c r="B51" s="66" t="s">
        <v>126</v>
      </c>
      <c r="C51" s="52" t="s">
        <v>127</v>
      </c>
      <c r="D51" s="24"/>
      <c r="E51" s="24"/>
      <c r="F51" s="25">
        <f t="shared" si="17"/>
        <v>0</v>
      </c>
      <c r="G51" s="24"/>
      <c r="H51" s="24"/>
      <c r="I51" s="25">
        <f t="shared" si="18"/>
        <v>0</v>
      </c>
    </row>
    <row r="52" spans="2:16" ht="15.75" hidden="1" customHeight="1" x14ac:dyDescent="0.25">
      <c r="B52" s="66" t="s">
        <v>128</v>
      </c>
      <c r="C52" s="52" t="s">
        <v>129</v>
      </c>
      <c r="D52" s="24"/>
      <c r="E52" s="24"/>
      <c r="F52" s="25">
        <f t="shared" si="17"/>
        <v>0</v>
      </c>
      <c r="G52" s="24"/>
      <c r="H52" s="24"/>
      <c r="I52" s="25">
        <f t="shared" si="18"/>
        <v>0</v>
      </c>
    </row>
    <row r="53" spans="2:16" ht="15.75" hidden="1" customHeight="1" x14ac:dyDescent="0.25">
      <c r="B53" s="66" t="s">
        <v>130</v>
      </c>
      <c r="C53" s="52" t="s">
        <v>131</v>
      </c>
      <c r="D53" s="24"/>
      <c r="E53" s="24"/>
      <c r="F53" s="25">
        <f t="shared" si="17"/>
        <v>0</v>
      </c>
      <c r="G53" s="24"/>
      <c r="H53" s="24"/>
      <c r="I53" s="25">
        <f t="shared" si="18"/>
        <v>0</v>
      </c>
    </row>
    <row r="54" spans="2:16" ht="15.75" hidden="1" customHeight="1" x14ac:dyDescent="0.25">
      <c r="B54" s="59" t="s">
        <v>622</v>
      </c>
      <c r="C54" s="52" t="s">
        <v>133</v>
      </c>
      <c r="D54" s="24"/>
      <c r="E54" s="24"/>
      <c r="F54" s="25">
        <f t="shared" si="17"/>
        <v>0</v>
      </c>
      <c r="G54" s="24"/>
      <c r="H54" s="24"/>
      <c r="I54" s="25">
        <f t="shared" si="18"/>
        <v>0</v>
      </c>
    </row>
    <row r="55" spans="2:16" ht="15.75" hidden="1" customHeight="1" x14ac:dyDescent="0.25">
      <c r="B55" s="66" t="s">
        <v>134</v>
      </c>
      <c r="C55" s="52" t="s">
        <v>135</v>
      </c>
      <c r="D55" s="24"/>
      <c r="E55" s="24"/>
      <c r="F55" s="25">
        <f t="shared" si="17"/>
        <v>0</v>
      </c>
      <c r="G55" s="24"/>
      <c r="H55" s="24"/>
      <c r="I55" s="25">
        <f t="shared" si="18"/>
        <v>0</v>
      </c>
    </row>
    <row r="56" spans="2:16" s="31" customFormat="1" x14ac:dyDescent="0.25">
      <c r="B56" s="57" t="s">
        <v>136</v>
      </c>
      <c r="C56" s="55" t="s">
        <v>137</v>
      </c>
      <c r="D56" s="25">
        <f t="shared" ref="D56:I56" si="19">SUM(D47:D55)</f>
        <v>0</v>
      </c>
      <c r="E56" s="25">
        <f t="shared" si="19"/>
        <v>0</v>
      </c>
      <c r="F56" s="25">
        <f t="shared" si="19"/>
        <v>0</v>
      </c>
      <c r="G56" s="25">
        <f t="shared" si="19"/>
        <v>0</v>
      </c>
      <c r="H56" s="25">
        <f t="shared" si="19"/>
        <v>0</v>
      </c>
      <c r="I56" s="25">
        <f t="shared" si="19"/>
        <v>0</v>
      </c>
    </row>
    <row r="57" spans="2:16" x14ac:dyDescent="0.25">
      <c r="B57" s="60" t="s">
        <v>138</v>
      </c>
      <c r="C57" s="61" t="s">
        <v>139</v>
      </c>
      <c r="D57" s="62">
        <f t="shared" ref="D57:I57" si="20">+D56+D46+D41</f>
        <v>1254760</v>
      </c>
      <c r="E57" s="62">
        <f t="shared" si="20"/>
        <v>0</v>
      </c>
      <c r="F57" s="62">
        <f t="shared" si="20"/>
        <v>1254760</v>
      </c>
      <c r="G57" s="62">
        <f t="shared" si="20"/>
        <v>1254760</v>
      </c>
      <c r="H57" s="62">
        <f t="shared" si="20"/>
        <v>0</v>
      </c>
      <c r="I57" s="62">
        <f t="shared" si="20"/>
        <v>1254760</v>
      </c>
    </row>
    <row r="58" spans="2:16" x14ac:dyDescent="0.25">
      <c r="B58" s="67" t="s">
        <v>140</v>
      </c>
      <c r="C58" s="68" t="s">
        <v>141</v>
      </c>
      <c r="D58" s="69">
        <f t="shared" ref="D58:I58" si="21">+D56+D46+D41+D32+D17+D16+D10+D9</f>
        <v>272753019</v>
      </c>
      <c r="E58" s="69">
        <f t="shared" si="21"/>
        <v>0</v>
      </c>
      <c r="F58" s="69">
        <f t="shared" si="21"/>
        <v>272753019</v>
      </c>
      <c r="G58" s="69">
        <f t="shared" si="21"/>
        <v>281535732</v>
      </c>
      <c r="H58" s="69">
        <f t="shared" si="21"/>
        <v>0</v>
      </c>
      <c r="I58" s="69">
        <f t="shared" si="21"/>
        <v>281535732</v>
      </c>
    </row>
    <row r="59" spans="2:16" ht="15.75" hidden="1" customHeight="1" x14ac:dyDescent="0.25">
      <c r="B59" s="71" t="s">
        <v>602</v>
      </c>
      <c r="C59" s="53" t="s">
        <v>167</v>
      </c>
      <c r="D59" s="218"/>
      <c r="E59" s="218"/>
      <c r="F59" s="24">
        <f>+D59+E59</f>
        <v>0</v>
      </c>
      <c r="G59" s="218"/>
      <c r="H59" s="218"/>
      <c r="I59" s="24">
        <f>+G59+H59</f>
        <v>0</v>
      </c>
      <c r="J59" s="219"/>
      <c r="K59" s="219"/>
      <c r="L59" s="219"/>
      <c r="M59" s="219"/>
      <c r="N59" s="219"/>
      <c r="O59" s="219"/>
      <c r="P59" s="219"/>
    </row>
    <row r="60" spans="2:16" ht="15.75" hidden="1" customHeight="1" x14ac:dyDescent="0.25">
      <c r="B60" s="71" t="s">
        <v>168</v>
      </c>
      <c r="C60" s="53" t="s">
        <v>169</v>
      </c>
      <c r="D60" s="218"/>
      <c r="E60" s="218"/>
      <c r="F60" s="24">
        <f>+D60+E60</f>
        <v>0</v>
      </c>
      <c r="G60" s="218"/>
      <c r="H60" s="218"/>
      <c r="I60" s="24">
        <f>+G60+H60</f>
        <v>0</v>
      </c>
      <c r="J60" s="219"/>
      <c r="K60" s="219"/>
      <c r="L60" s="219"/>
      <c r="M60" s="219"/>
      <c r="N60" s="219"/>
      <c r="O60" s="219"/>
      <c r="P60" s="219"/>
    </row>
    <row r="61" spans="2:16" ht="15.75" hidden="1" customHeight="1" x14ac:dyDescent="0.25">
      <c r="B61" s="66" t="s">
        <v>170</v>
      </c>
      <c r="C61" s="53" t="s">
        <v>171</v>
      </c>
      <c r="D61" s="218"/>
      <c r="E61" s="218"/>
      <c r="F61" s="24">
        <f>+D61+E61</f>
        <v>0</v>
      </c>
      <c r="G61" s="218"/>
      <c r="H61" s="218"/>
      <c r="I61" s="24">
        <f>+G61+H61</f>
        <v>0</v>
      </c>
      <c r="J61" s="220"/>
      <c r="K61" s="220"/>
      <c r="L61" s="220"/>
      <c r="M61" s="220"/>
      <c r="N61" s="220"/>
      <c r="O61" s="220"/>
      <c r="P61" s="220"/>
    </row>
    <row r="62" spans="2:16" ht="15.75" hidden="1" customHeight="1" x14ac:dyDescent="0.25">
      <c r="B62" s="66" t="s">
        <v>172</v>
      </c>
      <c r="C62" s="53" t="s">
        <v>173</v>
      </c>
      <c r="D62" s="218"/>
      <c r="E62" s="218"/>
      <c r="F62" s="24">
        <f>+D62+E62</f>
        <v>0</v>
      </c>
      <c r="G62" s="218"/>
      <c r="H62" s="218"/>
      <c r="I62" s="24">
        <f>+G62+H62</f>
        <v>0</v>
      </c>
      <c r="J62" s="220"/>
      <c r="K62" s="220"/>
      <c r="L62" s="220"/>
      <c r="M62" s="220"/>
      <c r="N62" s="220"/>
      <c r="O62" s="220"/>
      <c r="P62" s="220"/>
    </row>
    <row r="63" spans="2:16" x14ac:dyDescent="0.25">
      <c r="B63" s="74" t="s">
        <v>174</v>
      </c>
      <c r="C63" s="75" t="s">
        <v>175</v>
      </c>
      <c r="D63" s="76">
        <f t="shared" ref="D63:I63" si="22">+D61+D60+D59+D62</f>
        <v>0</v>
      </c>
      <c r="E63" s="76">
        <f t="shared" si="22"/>
        <v>0</v>
      </c>
      <c r="F63" s="76">
        <f t="shared" si="22"/>
        <v>0</v>
      </c>
      <c r="G63" s="76">
        <f t="shared" si="22"/>
        <v>0</v>
      </c>
      <c r="H63" s="76">
        <f t="shared" si="22"/>
        <v>0</v>
      </c>
      <c r="I63" s="76">
        <f t="shared" si="22"/>
        <v>0</v>
      </c>
      <c r="J63" s="221"/>
      <c r="K63" s="221"/>
      <c r="L63" s="221"/>
      <c r="M63" s="221"/>
      <c r="N63" s="221"/>
      <c r="O63" s="221"/>
      <c r="P63" s="221"/>
    </row>
    <row r="64" spans="2:16" x14ac:dyDescent="0.25">
      <c r="B64" s="28" t="s">
        <v>176</v>
      </c>
      <c r="C64" s="28" t="s">
        <v>177</v>
      </c>
      <c r="D64" s="29">
        <f t="shared" ref="D64:I64" si="23">+D58+D63</f>
        <v>272753019</v>
      </c>
      <c r="E64" s="29">
        <f t="shared" si="23"/>
        <v>0</v>
      </c>
      <c r="F64" s="29">
        <f t="shared" si="23"/>
        <v>272753019</v>
      </c>
      <c r="G64" s="29">
        <f t="shared" si="23"/>
        <v>281535732</v>
      </c>
      <c r="H64" s="29">
        <f t="shared" si="23"/>
        <v>0</v>
      </c>
      <c r="I64" s="29">
        <f t="shared" si="23"/>
        <v>281535732</v>
      </c>
    </row>
    <row r="65" spans="2:10" x14ac:dyDescent="0.25">
      <c r="B65" s="13"/>
      <c r="C65" s="13"/>
      <c r="D65" s="14"/>
      <c r="E65" s="14"/>
      <c r="F65" s="77"/>
      <c r="G65" s="14"/>
      <c r="H65" s="14"/>
      <c r="I65" s="77"/>
      <c r="J65" s="77"/>
    </row>
    <row r="66" spans="2:10" ht="15.75" hidden="1" customHeight="1" x14ac:dyDescent="0.25">
      <c r="B66" s="13"/>
      <c r="C66" s="13"/>
      <c r="D66" s="494" t="s">
        <v>11</v>
      </c>
      <c r="E66" s="494"/>
      <c r="F66" s="494"/>
      <c r="G66" s="494" t="s">
        <v>11</v>
      </c>
      <c r="H66" s="494"/>
      <c r="I66" s="494"/>
    </row>
    <row r="67" spans="2:10" ht="47.25" x14ac:dyDescent="0.25">
      <c r="B67" s="19" t="s">
        <v>12</v>
      </c>
      <c r="C67" s="47" t="s">
        <v>178</v>
      </c>
      <c r="D67" s="48" t="s">
        <v>13</v>
      </c>
      <c r="E67" s="48" t="s">
        <v>14</v>
      </c>
      <c r="F67" s="47" t="s">
        <v>543</v>
      </c>
      <c r="G67" s="48" t="s">
        <v>13</v>
      </c>
      <c r="H67" s="48" t="s">
        <v>14</v>
      </c>
      <c r="I67" s="473" t="s">
        <v>543</v>
      </c>
    </row>
    <row r="68" spans="2:10" ht="15.75" hidden="1" customHeight="1" x14ac:dyDescent="0.25">
      <c r="B68" s="56" t="s">
        <v>603</v>
      </c>
      <c r="C68" s="65" t="s">
        <v>192</v>
      </c>
      <c r="D68" s="25"/>
      <c r="E68" s="25"/>
      <c r="F68" s="25">
        <f t="shared" ref="F68:F73" si="24">+E68+D68</f>
        <v>0</v>
      </c>
      <c r="G68" s="25"/>
      <c r="H68" s="25"/>
      <c r="I68" s="25">
        <f t="shared" ref="I68:I73" si="25">+H68+G68</f>
        <v>0</v>
      </c>
    </row>
    <row r="69" spans="2:10" ht="15.75" hidden="1" customHeight="1" x14ac:dyDescent="0.25">
      <c r="B69" s="53" t="s">
        <v>193</v>
      </c>
      <c r="C69" s="64" t="s">
        <v>194</v>
      </c>
      <c r="D69" s="25"/>
      <c r="E69" s="25"/>
      <c r="F69" s="25">
        <f t="shared" si="24"/>
        <v>0</v>
      </c>
      <c r="G69" s="25"/>
      <c r="H69" s="25"/>
      <c r="I69" s="25">
        <f t="shared" si="25"/>
        <v>0</v>
      </c>
    </row>
    <row r="70" spans="2:10" ht="31.5" hidden="1" customHeight="1" x14ac:dyDescent="0.25">
      <c r="B70" s="53" t="s">
        <v>604</v>
      </c>
      <c r="C70" s="64" t="s">
        <v>196</v>
      </c>
      <c r="D70" s="25"/>
      <c r="E70" s="25"/>
      <c r="F70" s="25">
        <f t="shared" si="24"/>
        <v>0</v>
      </c>
      <c r="G70" s="25"/>
      <c r="H70" s="25"/>
      <c r="I70" s="25">
        <f t="shared" si="25"/>
        <v>0</v>
      </c>
    </row>
    <row r="71" spans="2:10" ht="15.75" hidden="1" customHeight="1" x14ac:dyDescent="0.25">
      <c r="B71" s="53" t="s">
        <v>197</v>
      </c>
      <c r="C71" s="64" t="s">
        <v>198</v>
      </c>
      <c r="D71" s="25"/>
      <c r="E71" s="25"/>
      <c r="F71" s="25">
        <f t="shared" si="24"/>
        <v>0</v>
      </c>
      <c r="G71" s="25"/>
      <c r="H71" s="25"/>
      <c r="I71" s="25">
        <f t="shared" si="25"/>
        <v>0</v>
      </c>
    </row>
    <row r="72" spans="2:10" ht="15.75" hidden="1" customHeight="1" x14ac:dyDescent="0.25">
      <c r="B72" s="53" t="s">
        <v>199</v>
      </c>
      <c r="C72" s="64" t="s">
        <v>200</v>
      </c>
      <c r="D72" s="25"/>
      <c r="E72" s="25"/>
      <c r="F72" s="25">
        <f t="shared" si="24"/>
        <v>0</v>
      </c>
      <c r="G72" s="25"/>
      <c r="H72" s="25"/>
      <c r="I72" s="25">
        <f t="shared" si="25"/>
        <v>0</v>
      </c>
    </row>
    <row r="73" spans="2:10" x14ac:dyDescent="0.25">
      <c r="B73" s="53" t="s">
        <v>201</v>
      </c>
      <c r="C73" s="64" t="s">
        <v>202</v>
      </c>
      <c r="D73" s="24">
        <f>3194384+14676989+172484</f>
        <v>18043857</v>
      </c>
      <c r="E73" s="24"/>
      <c r="F73" s="25">
        <f t="shared" si="24"/>
        <v>18043857</v>
      </c>
      <c r="G73" s="24">
        <v>25888670</v>
      </c>
      <c r="H73" s="24"/>
      <c r="I73" s="25">
        <f t="shared" si="25"/>
        <v>25888670</v>
      </c>
    </row>
    <row r="74" spans="2:10" x14ac:dyDescent="0.25">
      <c r="B74" s="56" t="s">
        <v>203</v>
      </c>
      <c r="C74" s="65" t="s">
        <v>204</v>
      </c>
      <c r="D74" s="25">
        <f t="shared" ref="D74:F74" si="26">+D73+D72+D71+D70+D69+D68</f>
        <v>18043857</v>
      </c>
      <c r="E74" s="25">
        <f t="shared" si="26"/>
        <v>0</v>
      </c>
      <c r="F74" s="25">
        <f t="shared" si="26"/>
        <v>18043857</v>
      </c>
      <c r="G74" s="25">
        <f>+G73+G72+G71+G70+G69+G68</f>
        <v>25888670</v>
      </c>
      <c r="H74" s="25">
        <f t="shared" ref="H74:I74" si="27">+H73+H72+H71+H70+H69+H68</f>
        <v>0</v>
      </c>
      <c r="I74" s="25">
        <f t="shared" si="27"/>
        <v>25888670</v>
      </c>
    </row>
    <row r="75" spans="2:10" x14ac:dyDescent="0.25">
      <c r="B75" s="56" t="s">
        <v>205</v>
      </c>
      <c r="C75" s="65" t="s">
        <v>206</v>
      </c>
      <c r="D75" s="24"/>
      <c r="E75" s="24"/>
      <c r="F75" s="25">
        <f t="shared" ref="F75:F81" si="28">+E75+D75</f>
        <v>0</v>
      </c>
      <c r="G75" s="24"/>
      <c r="H75" s="24"/>
      <c r="I75" s="25">
        <f t="shared" ref="I75:I81" si="29">+H75+G75</f>
        <v>0</v>
      </c>
    </row>
    <row r="76" spans="2:10" ht="15.75" hidden="1" customHeight="1" x14ac:dyDescent="0.25">
      <c r="B76" s="53" t="s">
        <v>207</v>
      </c>
      <c r="C76" s="64" t="s">
        <v>208</v>
      </c>
      <c r="D76" s="24"/>
      <c r="E76" s="24"/>
      <c r="F76" s="25">
        <f t="shared" si="28"/>
        <v>0</v>
      </c>
      <c r="G76" s="24"/>
      <c r="H76" s="24"/>
      <c r="I76" s="25">
        <f t="shared" si="29"/>
        <v>0</v>
      </c>
    </row>
    <row r="77" spans="2:10" ht="15.75" hidden="1" customHeight="1" x14ac:dyDescent="0.25">
      <c r="B77" s="53" t="s">
        <v>209</v>
      </c>
      <c r="C77" s="64" t="s">
        <v>210</v>
      </c>
      <c r="D77" s="24"/>
      <c r="E77" s="24"/>
      <c r="F77" s="25">
        <f t="shared" si="28"/>
        <v>0</v>
      </c>
      <c r="G77" s="24"/>
      <c r="H77" s="24"/>
      <c r="I77" s="25">
        <f t="shared" si="29"/>
        <v>0</v>
      </c>
    </row>
    <row r="78" spans="2:10" ht="15.75" hidden="1" customHeight="1" x14ac:dyDescent="0.25">
      <c r="B78" s="53" t="s">
        <v>211</v>
      </c>
      <c r="C78" s="64" t="s">
        <v>212</v>
      </c>
      <c r="D78" s="24"/>
      <c r="E78" s="24"/>
      <c r="F78" s="25">
        <f t="shared" si="28"/>
        <v>0</v>
      </c>
      <c r="G78" s="24"/>
      <c r="H78" s="24"/>
      <c r="I78" s="25">
        <f t="shared" si="29"/>
        <v>0</v>
      </c>
    </row>
    <row r="79" spans="2:10" ht="15.75" hidden="1" customHeight="1" x14ac:dyDescent="0.25">
      <c r="B79" s="53" t="s">
        <v>213</v>
      </c>
      <c r="C79" s="64" t="s">
        <v>214</v>
      </c>
      <c r="D79" s="24"/>
      <c r="E79" s="24"/>
      <c r="F79" s="25">
        <f t="shared" si="28"/>
        <v>0</v>
      </c>
      <c r="G79" s="24"/>
      <c r="H79" s="24"/>
      <c r="I79" s="25">
        <f t="shared" si="29"/>
        <v>0</v>
      </c>
    </row>
    <row r="80" spans="2:10" ht="15.75" hidden="1" customHeight="1" x14ac:dyDescent="0.25">
      <c r="B80" s="53" t="s">
        <v>215</v>
      </c>
      <c r="C80" s="64" t="s">
        <v>216</v>
      </c>
      <c r="D80" s="24"/>
      <c r="E80" s="24"/>
      <c r="F80" s="25">
        <f t="shared" si="28"/>
        <v>0</v>
      </c>
      <c r="G80" s="24"/>
      <c r="H80" s="24"/>
      <c r="I80" s="25">
        <f t="shared" si="29"/>
        <v>0</v>
      </c>
    </row>
    <row r="81" spans="2:9" ht="15.75" hidden="1" customHeight="1" x14ac:dyDescent="0.25">
      <c r="B81" s="53" t="s">
        <v>217</v>
      </c>
      <c r="C81" s="64" t="s">
        <v>218</v>
      </c>
      <c r="D81" s="24"/>
      <c r="E81" s="24"/>
      <c r="F81" s="25">
        <f t="shared" si="28"/>
        <v>0</v>
      </c>
      <c r="G81" s="24"/>
      <c r="H81" s="24"/>
      <c r="I81" s="25">
        <f t="shared" si="29"/>
        <v>0</v>
      </c>
    </row>
    <row r="82" spans="2:9" x14ac:dyDescent="0.25">
      <c r="B82" s="56" t="s">
        <v>219</v>
      </c>
      <c r="C82" s="65" t="s">
        <v>220</v>
      </c>
      <c r="D82" s="25">
        <f t="shared" ref="D82:F82" si="30">SUM(D76:D81)</f>
        <v>0</v>
      </c>
      <c r="E82" s="25">
        <f t="shared" si="30"/>
        <v>0</v>
      </c>
      <c r="F82" s="25">
        <f t="shared" si="30"/>
        <v>0</v>
      </c>
      <c r="G82" s="25">
        <f>SUM(G76:G81)</f>
        <v>0</v>
      </c>
      <c r="H82" s="25">
        <f t="shared" ref="H82:I82" si="31">SUM(H76:H81)</f>
        <v>0</v>
      </c>
      <c r="I82" s="25">
        <f t="shared" si="31"/>
        <v>0</v>
      </c>
    </row>
    <row r="83" spans="2:9" x14ac:dyDescent="0.25">
      <c r="B83" s="66" t="s">
        <v>607</v>
      </c>
      <c r="C83" s="64" t="s">
        <v>222</v>
      </c>
      <c r="D83" s="24"/>
      <c r="E83" s="24"/>
      <c r="F83" s="25">
        <f t="shared" ref="F83:F93" si="32">+E83+D83</f>
        <v>0</v>
      </c>
      <c r="G83" s="24"/>
      <c r="H83" s="24"/>
      <c r="I83" s="25">
        <f t="shared" ref="I83:I93" si="33">+H83+G83</f>
        <v>0</v>
      </c>
    </row>
    <row r="84" spans="2:9" x14ac:dyDescent="0.25">
      <c r="B84" s="66" t="s">
        <v>223</v>
      </c>
      <c r="C84" s="64" t="s">
        <v>224</v>
      </c>
      <c r="D84" s="24">
        <f>200000+2991930</f>
        <v>3191930</v>
      </c>
      <c r="E84" s="24"/>
      <c r="F84" s="25">
        <f t="shared" si="32"/>
        <v>3191930</v>
      </c>
      <c r="G84" s="24">
        <v>2991930</v>
      </c>
      <c r="H84" s="24"/>
      <c r="I84" s="25">
        <f t="shared" si="33"/>
        <v>2991930</v>
      </c>
    </row>
    <row r="85" spans="2:9" x14ac:dyDescent="0.25">
      <c r="B85" s="66" t="s">
        <v>225</v>
      </c>
      <c r="C85" s="64" t="s">
        <v>226</v>
      </c>
      <c r="D85" s="24"/>
      <c r="E85" s="24"/>
      <c r="F85" s="25">
        <f t="shared" si="32"/>
        <v>0</v>
      </c>
      <c r="G85" s="24"/>
      <c r="H85" s="24"/>
      <c r="I85" s="25">
        <f t="shared" si="33"/>
        <v>0</v>
      </c>
    </row>
    <row r="86" spans="2:9" x14ac:dyDescent="0.25">
      <c r="B86" s="66" t="s">
        <v>227</v>
      </c>
      <c r="C86" s="64" t="s">
        <v>228</v>
      </c>
      <c r="D86" s="24"/>
      <c r="E86" s="24"/>
      <c r="F86" s="25">
        <f t="shared" si="32"/>
        <v>0</v>
      </c>
      <c r="G86" s="24"/>
      <c r="H86" s="24"/>
      <c r="I86" s="25">
        <f t="shared" si="33"/>
        <v>0</v>
      </c>
    </row>
    <row r="87" spans="2:9" x14ac:dyDescent="0.25">
      <c r="B87" s="66" t="s">
        <v>229</v>
      </c>
      <c r="C87" s="64" t="s">
        <v>230</v>
      </c>
      <c r="D87" s="24"/>
      <c r="E87" s="24"/>
      <c r="F87" s="25">
        <f t="shared" si="32"/>
        <v>0</v>
      </c>
      <c r="G87" s="24"/>
      <c r="H87" s="24"/>
      <c r="I87" s="25">
        <f t="shared" si="33"/>
        <v>0</v>
      </c>
    </row>
    <row r="88" spans="2:9" x14ac:dyDescent="0.25">
      <c r="B88" s="66" t="s">
        <v>231</v>
      </c>
      <c r="C88" s="64" t="s">
        <v>232</v>
      </c>
      <c r="D88" s="24">
        <v>807821</v>
      </c>
      <c r="E88" s="24"/>
      <c r="F88" s="25">
        <f t="shared" si="32"/>
        <v>807821</v>
      </c>
      <c r="G88" s="24">
        <v>807821</v>
      </c>
      <c r="H88" s="24"/>
      <c r="I88" s="25">
        <f t="shared" si="33"/>
        <v>807821</v>
      </c>
    </row>
    <row r="89" spans="2:9" x14ac:dyDescent="0.25">
      <c r="B89" s="66" t="s">
        <v>233</v>
      </c>
      <c r="C89" s="64" t="s">
        <v>234</v>
      </c>
      <c r="D89" s="24"/>
      <c r="E89" s="24"/>
      <c r="F89" s="25">
        <f t="shared" si="32"/>
        <v>0</v>
      </c>
      <c r="G89" s="24"/>
      <c r="H89" s="24"/>
      <c r="I89" s="25">
        <f t="shared" si="33"/>
        <v>0</v>
      </c>
    </row>
    <row r="90" spans="2:9" x14ac:dyDescent="0.25">
      <c r="B90" s="66" t="s">
        <v>235</v>
      </c>
      <c r="C90" s="64" t="s">
        <v>236</v>
      </c>
      <c r="D90" s="24"/>
      <c r="E90" s="24"/>
      <c r="F90" s="25">
        <f t="shared" si="32"/>
        <v>0</v>
      </c>
      <c r="G90" s="24"/>
      <c r="H90" s="24"/>
      <c r="I90" s="25">
        <f t="shared" si="33"/>
        <v>0</v>
      </c>
    </row>
    <row r="91" spans="2:9" x14ac:dyDescent="0.25">
      <c r="B91" s="66" t="s">
        <v>237</v>
      </c>
      <c r="C91" s="64" t="s">
        <v>238</v>
      </c>
      <c r="D91" s="24"/>
      <c r="E91" s="24"/>
      <c r="F91" s="25">
        <f t="shared" si="32"/>
        <v>0</v>
      </c>
      <c r="G91" s="24"/>
      <c r="H91" s="24"/>
      <c r="I91" s="25">
        <f t="shared" si="33"/>
        <v>0</v>
      </c>
    </row>
    <row r="92" spans="2:9" x14ac:dyDescent="0.25">
      <c r="B92" s="66" t="s">
        <v>239</v>
      </c>
      <c r="C92" s="64" t="s">
        <v>240</v>
      </c>
      <c r="D92" s="24"/>
      <c r="E92" s="24"/>
      <c r="F92" s="25">
        <f t="shared" si="32"/>
        <v>0</v>
      </c>
      <c r="G92" s="24"/>
      <c r="H92" s="24"/>
      <c r="I92" s="25">
        <f t="shared" si="33"/>
        <v>0</v>
      </c>
    </row>
    <row r="93" spans="2:9" x14ac:dyDescent="0.25">
      <c r="B93" s="66" t="s">
        <v>241</v>
      </c>
      <c r="C93" s="64" t="s">
        <v>242</v>
      </c>
      <c r="D93" s="24"/>
      <c r="E93" s="24"/>
      <c r="F93" s="25">
        <f t="shared" si="32"/>
        <v>0</v>
      </c>
      <c r="G93" s="24"/>
      <c r="H93" s="24"/>
      <c r="I93" s="25">
        <f t="shared" si="33"/>
        <v>0</v>
      </c>
    </row>
    <row r="94" spans="2:9" x14ac:dyDescent="0.25">
      <c r="B94" s="57" t="s">
        <v>243</v>
      </c>
      <c r="C94" s="65" t="s">
        <v>244</v>
      </c>
      <c r="D94" s="25">
        <f t="shared" ref="D94:I94" si="34">SUM(D83:D93)</f>
        <v>3999751</v>
      </c>
      <c r="E94" s="25">
        <f t="shared" si="34"/>
        <v>0</v>
      </c>
      <c r="F94" s="25">
        <f t="shared" si="34"/>
        <v>3999751</v>
      </c>
      <c r="G94" s="25">
        <f t="shared" si="34"/>
        <v>3799751</v>
      </c>
      <c r="H94" s="25">
        <f t="shared" si="34"/>
        <v>0</v>
      </c>
      <c r="I94" s="25">
        <f t="shared" si="34"/>
        <v>3799751</v>
      </c>
    </row>
    <row r="95" spans="2:9" x14ac:dyDescent="0.25">
      <c r="B95" s="66" t="s">
        <v>245</v>
      </c>
      <c r="C95" s="64" t="s">
        <v>246</v>
      </c>
      <c r="D95" s="24"/>
      <c r="E95" s="24"/>
      <c r="F95" s="25">
        <f>+E95+D95</f>
        <v>0</v>
      </c>
      <c r="G95" s="24"/>
      <c r="H95" s="24"/>
      <c r="I95" s="25">
        <f>+H95+G95</f>
        <v>0</v>
      </c>
    </row>
    <row r="96" spans="2:9" x14ac:dyDescent="0.25">
      <c r="B96" s="66" t="s">
        <v>247</v>
      </c>
      <c r="C96" s="64" t="s">
        <v>248</v>
      </c>
      <c r="D96" s="24"/>
      <c r="E96" s="24"/>
      <c r="F96" s="25">
        <f>+E96+D96</f>
        <v>0</v>
      </c>
      <c r="G96" s="24"/>
      <c r="H96" s="24"/>
      <c r="I96" s="25">
        <f>+H96+G96</f>
        <v>0</v>
      </c>
    </row>
    <row r="97" spans="2:9" x14ac:dyDescent="0.25">
      <c r="B97" s="66" t="s">
        <v>249</v>
      </c>
      <c r="C97" s="64" t="s">
        <v>250</v>
      </c>
      <c r="D97" s="24"/>
      <c r="E97" s="24"/>
      <c r="F97" s="25">
        <f>+E97+D97</f>
        <v>0</v>
      </c>
      <c r="G97" s="24"/>
      <c r="H97" s="24"/>
      <c r="I97" s="25">
        <f>+H97+G97</f>
        <v>0</v>
      </c>
    </row>
    <row r="98" spans="2:9" ht="15.75" hidden="1" customHeight="1" x14ac:dyDescent="0.25">
      <c r="B98" s="66" t="s">
        <v>251</v>
      </c>
      <c r="C98" s="64" t="s">
        <v>252</v>
      </c>
      <c r="D98" s="24"/>
      <c r="E98" s="24"/>
      <c r="F98" s="25">
        <f>+E98+D98</f>
        <v>0</v>
      </c>
      <c r="G98" s="24"/>
      <c r="H98" s="24"/>
      <c r="I98" s="25">
        <f>+H98+G98</f>
        <v>0</v>
      </c>
    </row>
    <row r="99" spans="2:9" ht="15.75" hidden="1" customHeight="1" x14ac:dyDescent="0.25">
      <c r="B99" s="66" t="s">
        <v>253</v>
      </c>
      <c r="C99" s="64" t="s">
        <v>254</v>
      </c>
      <c r="D99" s="24"/>
      <c r="E99" s="24"/>
      <c r="F99" s="25">
        <f>+E99+D99</f>
        <v>0</v>
      </c>
      <c r="G99" s="24"/>
      <c r="H99" s="24"/>
      <c r="I99" s="25">
        <f>+H99+G99</f>
        <v>0</v>
      </c>
    </row>
    <row r="100" spans="2:9" x14ac:dyDescent="0.25">
      <c r="B100" s="56" t="s">
        <v>255</v>
      </c>
      <c r="C100" s="65" t="s">
        <v>256</v>
      </c>
      <c r="D100" s="25">
        <f t="shared" ref="D100:I100" si="35">SUM(D95:D99)</f>
        <v>0</v>
      </c>
      <c r="E100" s="25">
        <f t="shared" si="35"/>
        <v>0</v>
      </c>
      <c r="F100" s="25">
        <f t="shared" si="35"/>
        <v>0</v>
      </c>
      <c r="G100" s="25">
        <f t="shared" si="35"/>
        <v>0</v>
      </c>
      <c r="H100" s="25">
        <f t="shared" si="35"/>
        <v>0</v>
      </c>
      <c r="I100" s="25">
        <f t="shared" si="35"/>
        <v>0</v>
      </c>
    </row>
    <row r="101" spans="2:9" x14ac:dyDescent="0.25">
      <c r="B101" s="56" t="s">
        <v>257</v>
      </c>
      <c r="C101" s="65" t="s">
        <v>258</v>
      </c>
      <c r="D101" s="24"/>
      <c r="E101" s="24"/>
      <c r="F101" s="25">
        <f t="shared" ref="F101:F106" si="36">+E101+D101</f>
        <v>0</v>
      </c>
      <c r="G101" s="24"/>
      <c r="H101" s="24"/>
      <c r="I101" s="25">
        <f t="shared" ref="I101:I106" si="37">+H101+G101</f>
        <v>0</v>
      </c>
    </row>
    <row r="102" spans="2:9" ht="15.75" hidden="1" customHeight="1" x14ac:dyDescent="0.25">
      <c r="B102" s="66" t="s">
        <v>259</v>
      </c>
      <c r="C102" s="64" t="s">
        <v>260</v>
      </c>
      <c r="D102" s="24"/>
      <c r="E102" s="24"/>
      <c r="F102" s="25">
        <f t="shared" si="36"/>
        <v>0</v>
      </c>
      <c r="G102" s="24"/>
      <c r="H102" s="24"/>
      <c r="I102" s="25">
        <f t="shared" si="37"/>
        <v>0</v>
      </c>
    </row>
    <row r="103" spans="2:9" ht="15.75" hidden="1" customHeight="1" x14ac:dyDescent="0.25">
      <c r="B103" s="53" t="s">
        <v>261</v>
      </c>
      <c r="C103" s="64" t="s">
        <v>262</v>
      </c>
      <c r="D103" s="24"/>
      <c r="E103" s="24"/>
      <c r="F103" s="25">
        <f t="shared" si="36"/>
        <v>0</v>
      </c>
      <c r="G103" s="24"/>
      <c r="H103" s="24"/>
      <c r="I103" s="25">
        <f t="shared" si="37"/>
        <v>0</v>
      </c>
    </row>
    <row r="104" spans="2:9" ht="31.5" hidden="1" customHeight="1" x14ac:dyDescent="0.25">
      <c r="B104" s="66" t="s">
        <v>263</v>
      </c>
      <c r="C104" s="64" t="s">
        <v>264</v>
      </c>
      <c r="D104" s="24"/>
      <c r="E104" s="24"/>
      <c r="F104" s="25">
        <f t="shared" si="36"/>
        <v>0</v>
      </c>
      <c r="G104" s="24"/>
      <c r="H104" s="24"/>
      <c r="I104" s="25">
        <f t="shared" si="37"/>
        <v>0</v>
      </c>
    </row>
    <row r="105" spans="2:9" ht="15.75" hidden="1" customHeight="1" x14ac:dyDescent="0.25">
      <c r="B105" s="66" t="s">
        <v>265</v>
      </c>
      <c r="C105" s="64" t="s">
        <v>266</v>
      </c>
      <c r="D105" s="24"/>
      <c r="E105" s="24"/>
      <c r="F105" s="25">
        <f t="shared" si="36"/>
        <v>0</v>
      </c>
      <c r="G105" s="24"/>
      <c r="H105" s="24"/>
      <c r="I105" s="25">
        <f t="shared" si="37"/>
        <v>0</v>
      </c>
    </row>
    <row r="106" spans="2:9" ht="15.75" hidden="1" customHeight="1" x14ac:dyDescent="0.25">
      <c r="B106" s="66" t="s">
        <v>267</v>
      </c>
      <c r="C106" s="64" t="s">
        <v>268</v>
      </c>
      <c r="D106" s="24"/>
      <c r="E106" s="24"/>
      <c r="F106" s="25">
        <f t="shared" si="36"/>
        <v>0</v>
      </c>
      <c r="G106" s="24"/>
      <c r="H106" s="24"/>
      <c r="I106" s="25">
        <f t="shared" si="37"/>
        <v>0</v>
      </c>
    </row>
    <row r="107" spans="2:9" x14ac:dyDescent="0.25">
      <c r="B107" s="56" t="s">
        <v>269</v>
      </c>
      <c r="C107" s="65" t="s">
        <v>270</v>
      </c>
      <c r="D107" s="25">
        <f t="shared" ref="D107:I107" si="38">SUM(D102:D106)</f>
        <v>0</v>
      </c>
      <c r="E107" s="25">
        <f t="shared" si="38"/>
        <v>0</v>
      </c>
      <c r="F107" s="25">
        <f t="shared" si="38"/>
        <v>0</v>
      </c>
      <c r="G107" s="25">
        <f t="shared" si="38"/>
        <v>0</v>
      </c>
      <c r="H107" s="25">
        <f t="shared" si="38"/>
        <v>0</v>
      </c>
      <c r="I107" s="25">
        <f t="shared" si="38"/>
        <v>0</v>
      </c>
    </row>
    <row r="108" spans="2:9" x14ac:dyDescent="0.25">
      <c r="B108" s="78" t="s">
        <v>271</v>
      </c>
      <c r="C108" s="67" t="s">
        <v>272</v>
      </c>
      <c r="D108" s="69">
        <f t="shared" ref="D108:I108" si="39">+D107+D101+D100+D94+D82+D75+D74</f>
        <v>22043608</v>
      </c>
      <c r="E108" s="69">
        <f t="shared" si="39"/>
        <v>0</v>
      </c>
      <c r="F108" s="69">
        <f t="shared" si="39"/>
        <v>22043608</v>
      </c>
      <c r="G108" s="69">
        <f t="shared" si="39"/>
        <v>29688421</v>
      </c>
      <c r="H108" s="69">
        <f t="shared" si="39"/>
        <v>0</v>
      </c>
      <c r="I108" s="69">
        <f t="shared" si="39"/>
        <v>29688421</v>
      </c>
    </row>
    <row r="109" spans="2:9" x14ac:dyDescent="0.25">
      <c r="B109" s="79" t="s">
        <v>273</v>
      </c>
      <c r="C109" s="80"/>
      <c r="D109" s="81">
        <f>+D101+D94+D82+D74-D33</f>
        <v>-249454651</v>
      </c>
      <c r="E109" s="81">
        <f>+E101+E94+E82+E74-E33</f>
        <v>0</v>
      </c>
      <c r="F109" s="81">
        <f t="shared" ref="F109:F116" si="40">+E109+D109</f>
        <v>-249454651</v>
      </c>
      <c r="G109" s="81">
        <f>+G101+G94+G82+G74-G33</f>
        <v>-250592551</v>
      </c>
      <c r="H109" s="81">
        <f>+H101+H94+H82+H74-H33</f>
        <v>0</v>
      </c>
      <c r="I109" s="81">
        <f t="shared" ref="I109:I116" si="41">+H109+G109</f>
        <v>-250592551</v>
      </c>
    </row>
    <row r="110" spans="2:9" x14ac:dyDescent="0.25">
      <c r="B110" s="79" t="s">
        <v>274</v>
      </c>
      <c r="C110" s="80"/>
      <c r="D110" s="81">
        <f>+D107+D100+D75-D57</f>
        <v>-1254760</v>
      </c>
      <c r="E110" s="81">
        <f>+E107+E100+E75-E57</f>
        <v>0</v>
      </c>
      <c r="F110" s="81">
        <f t="shared" si="40"/>
        <v>-1254760</v>
      </c>
      <c r="G110" s="81">
        <f>+G107+G100+G75-G57</f>
        <v>-1254760</v>
      </c>
      <c r="H110" s="81">
        <f>+H107+H100+H75-H57</f>
        <v>0</v>
      </c>
      <c r="I110" s="81">
        <f t="shared" si="41"/>
        <v>-1254760</v>
      </c>
    </row>
    <row r="111" spans="2:9" ht="15.75" hidden="1" customHeight="1" x14ac:dyDescent="0.25">
      <c r="B111" s="57" t="s">
        <v>611</v>
      </c>
      <c r="C111" s="56" t="s">
        <v>282</v>
      </c>
      <c r="D111" s="24"/>
      <c r="E111" s="24"/>
      <c r="F111" s="25">
        <f t="shared" si="40"/>
        <v>0</v>
      </c>
      <c r="G111" s="24"/>
      <c r="H111" s="24"/>
      <c r="I111" s="25">
        <f t="shared" si="41"/>
        <v>0</v>
      </c>
    </row>
    <row r="112" spans="2:9" ht="15.75" hidden="1" customHeight="1" x14ac:dyDescent="0.25">
      <c r="B112" s="73" t="s">
        <v>612</v>
      </c>
      <c r="C112" s="56" t="s">
        <v>292</v>
      </c>
      <c r="D112" s="24"/>
      <c r="E112" s="24"/>
      <c r="F112" s="25">
        <f t="shared" si="40"/>
        <v>0</v>
      </c>
      <c r="G112" s="24"/>
      <c r="H112" s="24"/>
      <c r="I112" s="25">
        <f t="shared" si="41"/>
        <v>0</v>
      </c>
    </row>
    <row r="113" spans="1:9" x14ac:dyDescent="0.25">
      <c r="A113" s="13" t="s">
        <v>331</v>
      </c>
      <c r="B113" s="53" t="s">
        <v>293</v>
      </c>
      <c r="C113" s="53" t="s">
        <v>294</v>
      </c>
      <c r="D113" s="24"/>
      <c r="E113" s="24"/>
      <c r="F113" s="25">
        <f t="shared" si="40"/>
        <v>0</v>
      </c>
      <c r="G113" s="24">
        <v>706201</v>
      </c>
      <c r="H113" s="24"/>
      <c r="I113" s="25">
        <f t="shared" si="41"/>
        <v>706201</v>
      </c>
    </row>
    <row r="114" spans="1:9" x14ac:dyDescent="0.25">
      <c r="A114" s="13" t="s">
        <v>623</v>
      </c>
      <c r="B114" s="53" t="s">
        <v>295</v>
      </c>
      <c r="C114" s="53" t="s">
        <v>294</v>
      </c>
      <c r="D114" s="24"/>
      <c r="E114" s="24"/>
      <c r="F114" s="25">
        <f t="shared" si="40"/>
        <v>0</v>
      </c>
      <c r="G114" s="24"/>
      <c r="H114" s="24"/>
      <c r="I114" s="25">
        <f t="shared" si="41"/>
        <v>0</v>
      </c>
    </row>
    <row r="115" spans="1:9" ht="15.75" hidden="1" customHeight="1" x14ac:dyDescent="0.25">
      <c r="B115" s="53" t="s">
        <v>296</v>
      </c>
      <c r="C115" s="53" t="s">
        <v>297</v>
      </c>
      <c r="D115" s="24"/>
      <c r="E115" s="24"/>
      <c r="F115" s="25">
        <f t="shared" si="40"/>
        <v>0</v>
      </c>
      <c r="G115" s="24"/>
      <c r="H115" s="24"/>
      <c r="I115" s="25">
        <f t="shared" si="41"/>
        <v>0</v>
      </c>
    </row>
    <row r="116" spans="1:9" ht="15.75" hidden="1" customHeight="1" x14ac:dyDescent="0.25">
      <c r="B116" s="53" t="s">
        <v>298</v>
      </c>
      <c r="C116" s="53" t="s">
        <v>297</v>
      </c>
      <c r="D116" s="24"/>
      <c r="E116" s="24"/>
      <c r="F116" s="25">
        <f t="shared" si="40"/>
        <v>0</v>
      </c>
      <c r="G116" s="24"/>
      <c r="H116" s="24"/>
      <c r="I116" s="25">
        <f t="shared" si="41"/>
        <v>0</v>
      </c>
    </row>
    <row r="117" spans="1:9" x14ac:dyDescent="0.25">
      <c r="A117"/>
      <c r="B117" s="56" t="s">
        <v>299</v>
      </c>
      <c r="C117" s="56" t="s">
        <v>300</v>
      </c>
      <c r="D117" s="25">
        <f t="shared" ref="D117:I117" si="42">SUM(D113:D116)</f>
        <v>0</v>
      </c>
      <c r="E117" s="25">
        <f t="shared" si="42"/>
        <v>0</v>
      </c>
      <c r="F117" s="25">
        <f t="shared" si="42"/>
        <v>0</v>
      </c>
      <c r="G117" s="25">
        <f t="shared" si="42"/>
        <v>706201</v>
      </c>
      <c r="H117" s="25">
        <f t="shared" si="42"/>
        <v>0</v>
      </c>
      <c r="I117" s="25">
        <f t="shared" si="42"/>
        <v>706201</v>
      </c>
    </row>
    <row r="118" spans="1:9" ht="15.75" hidden="1" customHeight="1" x14ac:dyDescent="0.25">
      <c r="A118"/>
      <c r="B118" s="71" t="s">
        <v>301</v>
      </c>
      <c r="C118" s="53" t="s">
        <v>302</v>
      </c>
      <c r="D118" s="24"/>
      <c r="E118" s="24"/>
      <c r="F118" s="25">
        <f t="shared" ref="F118:F125" si="43">+E118+D118</f>
        <v>0</v>
      </c>
      <c r="G118" s="24"/>
      <c r="H118" s="24"/>
      <c r="I118" s="25">
        <f t="shared" ref="I118:I125" si="44">+H118+G118</f>
        <v>0</v>
      </c>
    </row>
    <row r="119" spans="1:9" ht="15.75" hidden="1" customHeight="1" x14ac:dyDescent="0.25">
      <c r="B119" s="71" t="s">
        <v>303</v>
      </c>
      <c r="C119" s="53" t="s">
        <v>304</v>
      </c>
      <c r="D119" s="24"/>
      <c r="E119" s="24"/>
      <c r="F119" s="25">
        <f t="shared" si="43"/>
        <v>0</v>
      </c>
      <c r="G119" s="24"/>
      <c r="H119" s="24"/>
      <c r="I119" s="25">
        <f t="shared" si="44"/>
        <v>0</v>
      </c>
    </row>
    <row r="120" spans="1:9" x14ac:dyDescent="0.25">
      <c r="A120" s="30" t="s">
        <v>624</v>
      </c>
      <c r="B120" s="71" t="s">
        <v>305</v>
      </c>
      <c r="C120" s="53" t="s">
        <v>306</v>
      </c>
      <c r="D120" s="24">
        <v>250709411</v>
      </c>
      <c r="E120" s="24"/>
      <c r="F120" s="25">
        <f t="shared" si="43"/>
        <v>250709411</v>
      </c>
      <c r="G120" s="24">
        <v>251141110</v>
      </c>
      <c r="H120" s="24"/>
      <c r="I120" s="25">
        <f t="shared" si="44"/>
        <v>251141110</v>
      </c>
    </row>
    <row r="121" spans="1:9" s="222" customFormat="1" x14ac:dyDescent="0.25">
      <c r="B121" s="223" t="s">
        <v>625</v>
      </c>
      <c r="C121" s="136"/>
      <c r="D121" s="97">
        <f>134972600+23576000</f>
        <v>158548600</v>
      </c>
      <c r="E121" s="97"/>
      <c r="F121" s="125">
        <f t="shared" si="43"/>
        <v>158548600</v>
      </c>
      <c r="G121" s="97">
        <f>+G120-G122</f>
        <v>158980299</v>
      </c>
      <c r="H121" s="97"/>
      <c r="I121" s="125">
        <f t="shared" si="44"/>
        <v>158980299</v>
      </c>
    </row>
    <row r="122" spans="1:9" s="222" customFormat="1" x14ac:dyDescent="0.25">
      <c r="B122" s="224" t="s">
        <v>616</v>
      </c>
      <c r="C122" s="136"/>
      <c r="D122" s="97">
        <f>+D120-D121</f>
        <v>92160811</v>
      </c>
      <c r="E122" s="97">
        <f>+E120-E121</f>
        <v>0</v>
      </c>
      <c r="F122" s="125">
        <f t="shared" si="43"/>
        <v>92160811</v>
      </c>
      <c r="G122" s="97">
        <v>92160811</v>
      </c>
      <c r="H122" s="97">
        <f>+H120-H121</f>
        <v>0</v>
      </c>
      <c r="I122" s="125">
        <f t="shared" si="44"/>
        <v>92160811</v>
      </c>
    </row>
    <row r="123" spans="1:9" ht="15.75" hidden="1" customHeight="1" x14ac:dyDescent="0.25">
      <c r="B123" s="71" t="s">
        <v>307</v>
      </c>
      <c r="C123" s="53" t="s">
        <v>308</v>
      </c>
      <c r="D123" s="24"/>
      <c r="E123" s="24"/>
      <c r="F123" s="25">
        <f t="shared" si="43"/>
        <v>0</v>
      </c>
      <c r="G123" s="24"/>
      <c r="H123" s="24"/>
      <c r="I123" s="25">
        <f t="shared" si="44"/>
        <v>0</v>
      </c>
    </row>
    <row r="124" spans="1:9" ht="15.75" hidden="1" customHeight="1" x14ac:dyDescent="0.25">
      <c r="B124" s="66" t="s">
        <v>309</v>
      </c>
      <c r="C124" s="53" t="s">
        <v>310</v>
      </c>
      <c r="D124" s="24"/>
      <c r="E124" s="24"/>
      <c r="F124" s="25">
        <f t="shared" si="43"/>
        <v>0</v>
      </c>
      <c r="G124" s="24"/>
      <c r="H124" s="24"/>
      <c r="I124" s="25">
        <f t="shared" si="44"/>
        <v>0</v>
      </c>
    </row>
    <row r="125" spans="1:9" ht="15.75" hidden="1" customHeight="1" x14ac:dyDescent="0.25">
      <c r="B125" s="66" t="s">
        <v>311</v>
      </c>
      <c r="C125" s="53" t="s">
        <v>312</v>
      </c>
      <c r="D125" s="24"/>
      <c r="E125" s="24"/>
      <c r="F125" s="25">
        <f t="shared" si="43"/>
        <v>0</v>
      </c>
      <c r="G125" s="24"/>
      <c r="H125" s="24"/>
      <c r="I125" s="25">
        <f t="shared" si="44"/>
        <v>0</v>
      </c>
    </row>
    <row r="126" spans="1:9" x14ac:dyDescent="0.25">
      <c r="B126" s="57" t="s">
        <v>313</v>
      </c>
      <c r="C126" s="56" t="s">
        <v>314</v>
      </c>
      <c r="D126" s="25">
        <f>SUM(D118:D125)+D117+D112+D111-D121-D122</f>
        <v>250709411</v>
      </c>
      <c r="E126" s="25">
        <f>SUM(E118:E125)+E117+E112+E111-E121-E122</f>
        <v>0</v>
      </c>
      <c r="F126" s="25">
        <f>SUM(F118:F124)+F117+F112+F111-F121-F122</f>
        <v>250709411</v>
      </c>
      <c r="G126" s="25">
        <f>SUM(G118:G125)+G117+G112+G111-G121-G122</f>
        <v>251847311</v>
      </c>
      <c r="H126" s="25">
        <f>SUM(H118:H125)+H117+H112+H111-H121-H122</f>
        <v>0</v>
      </c>
      <c r="I126" s="25">
        <f>SUM(I118:I124)+I117+I112+I111-I121-I122</f>
        <v>251847311</v>
      </c>
    </row>
    <row r="127" spans="1:9" ht="15.75" hidden="1" customHeight="1" x14ac:dyDescent="0.25">
      <c r="B127" s="71" t="s">
        <v>315</v>
      </c>
      <c r="C127" s="53" t="s">
        <v>316</v>
      </c>
      <c r="D127" s="24"/>
      <c r="E127" s="24"/>
      <c r="F127" s="25">
        <f>+E127+D127</f>
        <v>0</v>
      </c>
      <c r="G127" s="24"/>
      <c r="H127" s="24"/>
      <c r="I127" s="25">
        <f>+H127+G127</f>
        <v>0</v>
      </c>
    </row>
    <row r="128" spans="1:9" ht="15.75" hidden="1" customHeight="1" x14ac:dyDescent="0.25">
      <c r="B128" s="66" t="s">
        <v>317</v>
      </c>
      <c r="C128" s="53" t="s">
        <v>318</v>
      </c>
      <c r="D128" s="24"/>
      <c r="E128" s="24"/>
      <c r="F128" s="25">
        <f>+E128+D128</f>
        <v>0</v>
      </c>
      <c r="G128" s="24"/>
      <c r="H128" s="24"/>
      <c r="I128" s="25">
        <f>+H128+G128</f>
        <v>0</v>
      </c>
    </row>
    <row r="129" spans="2:9" ht="15.75" hidden="1" customHeight="1" x14ac:dyDescent="0.25">
      <c r="B129" s="66" t="s">
        <v>319</v>
      </c>
      <c r="C129" s="53" t="s">
        <v>320</v>
      </c>
      <c r="D129" s="24"/>
      <c r="E129" s="24"/>
      <c r="F129" s="25">
        <f>+E129+D129</f>
        <v>0</v>
      </c>
      <c r="G129" s="24"/>
      <c r="H129" s="24"/>
      <c r="I129" s="25">
        <f>+H129+G129</f>
        <v>0</v>
      </c>
    </row>
    <row r="130" spans="2:9" x14ac:dyDescent="0.25">
      <c r="B130" s="74" t="s">
        <v>321</v>
      </c>
      <c r="C130" s="75" t="s">
        <v>322</v>
      </c>
      <c r="D130" s="69">
        <f>+D128+D127+D126+D129</f>
        <v>250709411</v>
      </c>
      <c r="E130" s="69">
        <f>+E128+E127+E126+E129</f>
        <v>0</v>
      </c>
      <c r="F130" s="69">
        <f>+F128+F127+F126</f>
        <v>250709411</v>
      </c>
      <c r="G130" s="69">
        <f>+G128+G127+G126+G129</f>
        <v>251847311</v>
      </c>
      <c r="H130" s="69">
        <f>+H128+H127+H126+H129</f>
        <v>0</v>
      </c>
      <c r="I130" s="69">
        <f>+I128+I127+I126</f>
        <v>251847311</v>
      </c>
    </row>
    <row r="131" spans="2:9" x14ac:dyDescent="0.25">
      <c r="B131" s="28" t="s">
        <v>323</v>
      </c>
      <c r="C131" s="28" t="s">
        <v>324</v>
      </c>
      <c r="D131" s="29">
        <f t="shared" ref="D131:I131" si="45">+D108+D130</f>
        <v>272753019</v>
      </c>
      <c r="E131" s="29">
        <f t="shared" si="45"/>
        <v>0</v>
      </c>
      <c r="F131" s="29">
        <f t="shared" si="45"/>
        <v>272753019</v>
      </c>
      <c r="G131" s="29">
        <f t="shared" si="45"/>
        <v>281535732</v>
      </c>
      <c r="H131" s="29">
        <f t="shared" si="45"/>
        <v>0</v>
      </c>
      <c r="I131" s="29">
        <f t="shared" si="45"/>
        <v>281535732</v>
      </c>
    </row>
    <row r="132" spans="2:9" x14ac:dyDescent="0.25">
      <c r="B132" s="13"/>
      <c r="C132" s="13"/>
      <c r="D132" s="14"/>
      <c r="E132" s="14"/>
      <c r="F132" s="77"/>
      <c r="G132" s="14"/>
      <c r="H132" s="14"/>
      <c r="I132" s="77"/>
    </row>
    <row r="133" spans="2:9" x14ac:dyDescent="0.25">
      <c r="B133" s="26" t="s">
        <v>325</v>
      </c>
      <c r="C133" s="26"/>
      <c r="D133" s="25">
        <f t="shared" ref="D133:I133" si="46">+D108-D58</f>
        <v>-250709411</v>
      </c>
      <c r="E133" s="25">
        <f t="shared" si="46"/>
        <v>0</v>
      </c>
      <c r="F133" s="25">
        <f t="shared" si="46"/>
        <v>-250709411</v>
      </c>
      <c r="G133" s="25">
        <f t="shared" si="46"/>
        <v>-251847311</v>
      </c>
      <c r="H133" s="25">
        <f t="shared" si="46"/>
        <v>0</v>
      </c>
      <c r="I133" s="25">
        <f t="shared" si="46"/>
        <v>-251847311</v>
      </c>
    </row>
    <row r="134" spans="2:9" x14ac:dyDescent="0.25">
      <c r="B134" s="26" t="s">
        <v>326</v>
      </c>
      <c r="C134" s="26"/>
      <c r="D134" s="25">
        <f t="shared" ref="D134:I134" si="47">+D130-D63</f>
        <v>250709411</v>
      </c>
      <c r="E134" s="25">
        <f t="shared" si="47"/>
        <v>0</v>
      </c>
      <c r="F134" s="25">
        <f t="shared" si="47"/>
        <v>250709411</v>
      </c>
      <c r="G134" s="25">
        <f t="shared" si="47"/>
        <v>251847311</v>
      </c>
      <c r="H134" s="25">
        <f t="shared" si="47"/>
        <v>0</v>
      </c>
      <c r="I134" s="25">
        <f t="shared" si="47"/>
        <v>251847311</v>
      </c>
    </row>
    <row r="135" spans="2:9" x14ac:dyDescent="0.25">
      <c r="B135" s="13"/>
      <c r="C135" s="13"/>
      <c r="D135" s="14"/>
      <c r="E135" s="14"/>
      <c r="F135" s="77"/>
      <c r="G135" s="14"/>
      <c r="H135" s="14"/>
      <c r="I135" s="77"/>
    </row>
    <row r="136" spans="2:9" x14ac:dyDescent="0.25">
      <c r="B136" s="82" t="s">
        <v>329</v>
      </c>
      <c r="C136" s="13"/>
      <c r="D136" s="14">
        <f t="shared" ref="D136:I136" si="48">+D131-D64</f>
        <v>0</v>
      </c>
      <c r="E136" s="14">
        <f t="shared" si="48"/>
        <v>0</v>
      </c>
      <c r="F136" s="14">
        <f t="shared" si="48"/>
        <v>0</v>
      </c>
      <c r="G136" s="14">
        <f t="shared" si="48"/>
        <v>0</v>
      </c>
      <c r="H136" s="14">
        <f t="shared" si="48"/>
        <v>0</v>
      </c>
      <c r="I136" s="14">
        <f t="shared" si="48"/>
        <v>0</v>
      </c>
    </row>
    <row r="137" spans="2:9" x14ac:dyDescent="0.25">
      <c r="B137" s="13"/>
      <c r="C137" s="13"/>
      <c r="D137" s="14"/>
      <c r="E137" s="14"/>
      <c r="F137" s="77"/>
      <c r="G137" s="14"/>
      <c r="H137" s="14"/>
      <c r="I137" s="77"/>
    </row>
    <row r="138" spans="2:9" x14ac:dyDescent="0.25">
      <c r="B138" s="13"/>
      <c r="C138" s="13"/>
      <c r="D138" s="14"/>
      <c r="E138" s="14"/>
      <c r="F138" s="77"/>
      <c r="G138" s="14"/>
      <c r="H138" s="14"/>
      <c r="I138" s="77"/>
    </row>
    <row r="139" spans="2:9" x14ac:dyDescent="0.25">
      <c r="B139" s="13"/>
      <c r="C139" s="13"/>
      <c r="D139" s="14"/>
      <c r="E139" s="14"/>
      <c r="F139" s="77"/>
      <c r="G139" s="14"/>
      <c r="H139" s="14"/>
      <c r="I139" s="77"/>
    </row>
    <row r="140" spans="2:9" x14ac:dyDescent="0.25">
      <c r="B140" s="13"/>
      <c r="C140" s="13"/>
      <c r="D140" s="14"/>
      <c r="E140" s="14"/>
      <c r="F140" s="77"/>
      <c r="G140" s="14"/>
      <c r="H140" s="14"/>
      <c r="I140" s="77"/>
    </row>
    <row r="141" spans="2:9" x14ac:dyDescent="0.25">
      <c r="B141" s="13"/>
      <c r="C141" s="13"/>
      <c r="D141" s="14"/>
      <c r="E141" s="14"/>
      <c r="F141" s="77"/>
      <c r="G141" s="14"/>
      <c r="H141" s="14"/>
      <c r="I141" s="77"/>
    </row>
    <row r="142" spans="2:9" x14ac:dyDescent="0.25">
      <c r="B142" s="13"/>
      <c r="C142" s="13"/>
      <c r="D142" s="14"/>
      <c r="E142" s="14"/>
      <c r="F142" s="77"/>
      <c r="G142" s="14"/>
      <c r="H142" s="14"/>
      <c r="I142" s="77"/>
    </row>
    <row r="143" spans="2:9" x14ac:dyDescent="0.25">
      <c r="B143" s="13"/>
      <c r="C143" s="13"/>
      <c r="D143" s="14"/>
      <c r="E143" s="14"/>
      <c r="F143" s="77"/>
      <c r="G143" s="14"/>
      <c r="H143" s="14"/>
      <c r="I143" s="77"/>
    </row>
    <row r="144" spans="2:9" x14ac:dyDescent="0.25">
      <c r="B144" s="13"/>
      <c r="C144" s="13"/>
      <c r="D144" s="14"/>
      <c r="E144" s="14"/>
      <c r="F144" s="77"/>
      <c r="G144" s="14"/>
      <c r="H144" s="14"/>
      <c r="I144" s="77"/>
    </row>
    <row r="145" spans="2:9" x14ac:dyDescent="0.25">
      <c r="B145" s="13"/>
      <c r="C145" s="13"/>
      <c r="D145" s="14"/>
      <c r="E145" s="14"/>
      <c r="F145" s="77"/>
      <c r="G145" s="14"/>
      <c r="H145" s="14"/>
      <c r="I145" s="77"/>
    </row>
    <row r="146" spans="2:9" x14ac:dyDescent="0.25">
      <c r="B146" s="13"/>
      <c r="C146" s="13"/>
      <c r="D146" s="14"/>
      <c r="E146" s="14"/>
      <c r="F146" s="77"/>
      <c r="G146" s="14"/>
      <c r="H146" s="14"/>
      <c r="I146" s="77"/>
    </row>
    <row r="147" spans="2:9" x14ac:dyDescent="0.25">
      <c r="B147" s="13"/>
      <c r="C147" s="13"/>
      <c r="D147" s="14"/>
      <c r="E147" s="14"/>
      <c r="F147" s="77"/>
      <c r="G147" s="14"/>
      <c r="H147" s="14"/>
      <c r="I147" s="77"/>
    </row>
    <row r="148" spans="2:9" x14ac:dyDescent="0.25">
      <c r="B148" s="13"/>
      <c r="C148" s="13"/>
      <c r="D148" s="14"/>
      <c r="E148" s="14"/>
      <c r="F148" s="77"/>
      <c r="G148" s="14"/>
      <c r="H148" s="14"/>
      <c r="I148" s="77"/>
    </row>
    <row r="149" spans="2:9" x14ac:dyDescent="0.25">
      <c r="B149" s="13"/>
      <c r="C149" s="13"/>
      <c r="D149" s="14"/>
      <c r="E149" s="14"/>
      <c r="F149" s="77"/>
      <c r="G149" s="14"/>
      <c r="H149" s="14"/>
      <c r="I149" s="77"/>
    </row>
    <row r="150" spans="2:9" x14ac:dyDescent="0.25">
      <c r="B150" s="13"/>
      <c r="C150" s="13"/>
      <c r="D150" s="14"/>
      <c r="E150" s="14"/>
      <c r="F150" s="77"/>
      <c r="G150" s="14"/>
      <c r="H150" s="14"/>
      <c r="I150" s="77"/>
    </row>
    <row r="151" spans="2:9" x14ac:dyDescent="0.25">
      <c r="B151" s="13"/>
      <c r="C151" s="13"/>
      <c r="D151" s="14"/>
      <c r="E151" s="14"/>
      <c r="F151" s="77"/>
      <c r="G151" s="14"/>
      <c r="H151" s="14"/>
      <c r="I151" s="77"/>
    </row>
    <row r="152" spans="2:9" x14ac:dyDescent="0.25">
      <c r="B152" s="13"/>
      <c r="C152" s="13"/>
      <c r="D152" s="14"/>
      <c r="E152" s="14"/>
      <c r="F152" s="77"/>
      <c r="G152" s="14"/>
      <c r="H152" s="14"/>
      <c r="I152" s="77"/>
    </row>
    <row r="153" spans="2:9" x14ac:dyDescent="0.25">
      <c r="B153" s="13"/>
      <c r="C153" s="13"/>
      <c r="D153" s="14"/>
      <c r="E153" s="14"/>
      <c r="F153" s="77"/>
      <c r="G153" s="14"/>
      <c r="H153" s="14"/>
      <c r="I153" s="77"/>
    </row>
    <row r="154" spans="2:9" x14ac:dyDescent="0.25">
      <c r="B154" s="13"/>
      <c r="C154" s="13"/>
      <c r="D154" s="14"/>
      <c r="E154" s="14"/>
      <c r="F154" s="77"/>
      <c r="G154" s="14"/>
      <c r="H154" s="14"/>
      <c r="I154" s="77"/>
    </row>
    <row r="155" spans="2:9" x14ac:dyDescent="0.25">
      <c r="B155" s="13"/>
      <c r="C155" s="13"/>
      <c r="D155" s="14"/>
      <c r="E155" s="14"/>
      <c r="F155" s="77"/>
      <c r="G155" s="14"/>
      <c r="H155" s="14"/>
      <c r="I155" s="77"/>
    </row>
    <row r="156" spans="2:9" x14ac:dyDescent="0.25">
      <c r="B156" s="13"/>
      <c r="C156" s="13"/>
      <c r="D156" s="14"/>
      <c r="E156" s="14"/>
      <c r="F156" s="77"/>
      <c r="G156" s="14"/>
      <c r="H156" s="14"/>
      <c r="I156" s="77"/>
    </row>
    <row r="157" spans="2:9" x14ac:dyDescent="0.25">
      <c r="B157" s="13"/>
      <c r="C157" s="13"/>
      <c r="D157" s="14"/>
      <c r="E157" s="14"/>
      <c r="F157" s="77"/>
      <c r="G157" s="14"/>
      <c r="H157" s="14"/>
      <c r="I157" s="77"/>
    </row>
    <row r="158" spans="2:9" x14ac:dyDescent="0.25">
      <c r="B158" s="13"/>
      <c r="C158" s="13"/>
      <c r="D158" s="14"/>
      <c r="E158" s="14"/>
      <c r="F158" s="77"/>
      <c r="G158" s="14"/>
      <c r="H158" s="14"/>
      <c r="I158" s="77"/>
    </row>
    <row r="159" spans="2:9" x14ac:dyDescent="0.25">
      <c r="B159" s="13"/>
      <c r="C159" s="13"/>
      <c r="D159" s="14"/>
      <c r="E159" s="14"/>
      <c r="F159" s="77"/>
      <c r="G159" s="14"/>
      <c r="H159" s="14"/>
      <c r="I159" s="77"/>
    </row>
    <row r="160" spans="2:9" x14ac:dyDescent="0.25">
      <c r="B160" s="13"/>
      <c r="C160" s="13"/>
      <c r="D160" s="14"/>
      <c r="E160" s="14"/>
      <c r="F160" s="77"/>
      <c r="G160" s="14"/>
      <c r="H160" s="14"/>
      <c r="I160" s="77"/>
    </row>
    <row r="161" spans="2:9" x14ac:dyDescent="0.25">
      <c r="B161" s="13"/>
      <c r="C161" s="13"/>
      <c r="D161" s="14"/>
      <c r="E161" s="14"/>
      <c r="F161" s="77"/>
      <c r="G161" s="14"/>
      <c r="H161" s="14"/>
      <c r="I161" s="77"/>
    </row>
    <row r="162" spans="2:9" x14ac:dyDescent="0.25">
      <c r="B162" s="13"/>
      <c r="C162" s="13"/>
      <c r="D162" s="14"/>
      <c r="E162" s="14"/>
      <c r="F162" s="77"/>
      <c r="G162" s="14"/>
      <c r="H162" s="14"/>
      <c r="I162" s="77"/>
    </row>
    <row r="163" spans="2:9" x14ac:dyDescent="0.25">
      <c r="B163" s="13"/>
      <c r="C163" s="13"/>
      <c r="D163" s="14"/>
      <c r="E163" s="14"/>
      <c r="F163" s="77"/>
      <c r="G163" s="14"/>
      <c r="H163" s="14"/>
      <c r="I163" s="77"/>
    </row>
    <row r="164" spans="2:9" x14ac:dyDescent="0.25">
      <c r="B164" s="13"/>
      <c r="C164" s="13"/>
      <c r="D164" s="14"/>
      <c r="E164" s="14"/>
      <c r="F164" s="77"/>
      <c r="G164" s="14"/>
      <c r="H164" s="14"/>
      <c r="I164" s="77"/>
    </row>
    <row r="165" spans="2:9" x14ac:dyDescent="0.25">
      <c r="B165" s="13"/>
      <c r="C165" s="13"/>
      <c r="D165" s="14"/>
      <c r="E165" s="14"/>
      <c r="F165" s="77"/>
      <c r="G165" s="14"/>
      <c r="H165" s="14"/>
      <c r="I165" s="77"/>
    </row>
    <row r="166" spans="2:9" x14ac:dyDescent="0.25">
      <c r="B166" s="13"/>
      <c r="C166" s="13"/>
      <c r="D166" s="14"/>
      <c r="E166" s="14"/>
      <c r="F166" s="77"/>
      <c r="G166" s="14"/>
      <c r="H166" s="14"/>
      <c r="I166" s="77"/>
    </row>
    <row r="167" spans="2:9" x14ac:dyDescent="0.25">
      <c r="B167" s="13"/>
      <c r="C167" s="13"/>
      <c r="D167" s="14"/>
      <c r="E167" s="14"/>
      <c r="F167" s="77"/>
      <c r="G167" s="14"/>
      <c r="H167" s="14"/>
      <c r="I167" s="77"/>
    </row>
    <row r="168" spans="2:9" x14ac:dyDescent="0.25">
      <c r="B168" s="13"/>
      <c r="C168" s="13"/>
      <c r="D168" s="14"/>
      <c r="E168" s="14"/>
      <c r="F168" s="77"/>
      <c r="G168" s="14"/>
      <c r="H168" s="14"/>
      <c r="I168" s="77"/>
    </row>
    <row r="169" spans="2:9" x14ac:dyDescent="0.25">
      <c r="B169" s="13"/>
      <c r="C169" s="13"/>
      <c r="D169" s="14"/>
      <c r="E169" s="14"/>
      <c r="F169" s="77"/>
      <c r="G169" s="14"/>
      <c r="H169" s="14"/>
      <c r="I169" s="77"/>
    </row>
    <row r="170" spans="2:9" x14ac:dyDescent="0.25">
      <c r="B170" s="13"/>
      <c r="C170" s="13"/>
      <c r="D170" s="14"/>
      <c r="E170" s="14"/>
      <c r="F170" s="77"/>
      <c r="G170" s="14"/>
      <c r="H170" s="14"/>
      <c r="I170" s="77"/>
    </row>
    <row r="171" spans="2:9" x14ac:dyDescent="0.25">
      <c r="B171" s="13"/>
      <c r="C171" s="13"/>
      <c r="D171" s="14"/>
      <c r="E171" s="14"/>
      <c r="F171" s="77"/>
      <c r="G171" s="14"/>
      <c r="H171" s="14"/>
      <c r="I171" s="77"/>
    </row>
    <row r="172" spans="2:9" x14ac:dyDescent="0.25">
      <c r="B172" s="13"/>
      <c r="C172" s="13"/>
      <c r="D172" s="14"/>
      <c r="E172" s="14"/>
      <c r="F172" s="77"/>
      <c r="G172" s="14"/>
      <c r="H172" s="14"/>
      <c r="I172" s="77"/>
    </row>
    <row r="173" spans="2:9" x14ac:dyDescent="0.25">
      <c r="B173" s="13"/>
      <c r="C173" s="13"/>
      <c r="D173" s="14"/>
      <c r="E173" s="14"/>
      <c r="F173" s="77"/>
      <c r="G173" s="14"/>
      <c r="H173" s="14"/>
      <c r="I173" s="77"/>
    </row>
    <row r="174" spans="2:9" x14ac:dyDescent="0.25">
      <c r="B174" s="13"/>
      <c r="C174" s="13"/>
      <c r="D174" s="14"/>
      <c r="E174" s="14"/>
      <c r="F174" s="77"/>
      <c r="G174" s="14"/>
      <c r="H174" s="14"/>
      <c r="I174" s="77"/>
    </row>
    <row r="175" spans="2:9" x14ac:dyDescent="0.25">
      <c r="B175" s="13"/>
      <c r="C175" s="13"/>
      <c r="D175" s="14"/>
      <c r="E175" s="14"/>
      <c r="F175" s="77"/>
      <c r="G175" s="14"/>
      <c r="H175" s="14"/>
      <c r="I175" s="77"/>
    </row>
    <row r="176" spans="2:9" x14ac:dyDescent="0.25">
      <c r="B176" s="13"/>
      <c r="C176" s="13"/>
      <c r="D176" s="14"/>
      <c r="E176" s="14"/>
      <c r="F176" s="77"/>
      <c r="G176" s="14"/>
      <c r="H176" s="14"/>
      <c r="I176" s="77"/>
    </row>
    <row r="177" spans="2:9" x14ac:dyDescent="0.25">
      <c r="B177" s="13"/>
      <c r="C177" s="13"/>
      <c r="D177" s="14"/>
      <c r="E177" s="14"/>
      <c r="F177" s="77"/>
      <c r="G177" s="14"/>
      <c r="H177" s="14"/>
      <c r="I177" s="77"/>
    </row>
    <row r="178" spans="2:9" x14ac:dyDescent="0.25">
      <c r="B178" s="13"/>
      <c r="C178" s="13"/>
      <c r="D178" s="14"/>
      <c r="E178" s="14"/>
      <c r="F178" s="77"/>
      <c r="G178" s="14"/>
      <c r="H178" s="14"/>
      <c r="I178" s="77"/>
    </row>
    <row r="179" spans="2:9" x14ac:dyDescent="0.25">
      <c r="B179" s="13"/>
      <c r="C179" s="13"/>
      <c r="D179" s="14"/>
      <c r="E179" s="14"/>
      <c r="F179" s="77"/>
      <c r="G179" s="14"/>
      <c r="H179" s="14"/>
      <c r="I179" s="77"/>
    </row>
    <row r="180" spans="2:9" x14ac:dyDescent="0.25">
      <c r="B180" s="13"/>
      <c r="C180" s="13"/>
      <c r="D180" s="14"/>
      <c r="E180" s="14"/>
      <c r="F180" s="77"/>
      <c r="G180" s="14"/>
      <c r="H180" s="14"/>
      <c r="I180" s="77"/>
    </row>
    <row r="181" spans="2:9" x14ac:dyDescent="0.25">
      <c r="B181" s="13"/>
      <c r="C181" s="13"/>
      <c r="D181" s="14"/>
      <c r="E181" s="14"/>
      <c r="F181" s="77"/>
      <c r="G181" s="14"/>
      <c r="H181" s="14"/>
      <c r="I181" s="77"/>
    </row>
    <row r="182" spans="2:9" x14ac:dyDescent="0.25">
      <c r="B182" s="13"/>
      <c r="C182" s="13"/>
      <c r="D182" s="14"/>
      <c r="E182" s="14"/>
      <c r="F182" s="77"/>
      <c r="G182" s="14"/>
      <c r="H182" s="14"/>
      <c r="I182" s="77"/>
    </row>
    <row r="183" spans="2:9" x14ac:dyDescent="0.25">
      <c r="B183" s="13"/>
      <c r="C183" s="13"/>
      <c r="D183" s="14"/>
      <c r="E183" s="14"/>
      <c r="F183" s="77"/>
      <c r="G183" s="14"/>
      <c r="H183" s="14"/>
      <c r="I183" s="77"/>
    </row>
    <row r="184" spans="2:9" x14ac:dyDescent="0.25">
      <c r="B184" s="13"/>
      <c r="C184" s="13"/>
      <c r="D184" s="14"/>
      <c r="E184" s="14"/>
      <c r="F184" s="77"/>
      <c r="G184" s="14"/>
      <c r="H184" s="14"/>
      <c r="I184" s="77"/>
    </row>
    <row r="185" spans="2:9" x14ac:dyDescent="0.25">
      <c r="B185" s="13"/>
      <c r="C185" s="13"/>
      <c r="D185" s="14"/>
      <c r="E185" s="14"/>
      <c r="F185" s="77"/>
      <c r="G185" s="14"/>
      <c r="H185" s="14"/>
      <c r="I185" s="77"/>
    </row>
    <row r="186" spans="2:9" x14ac:dyDescent="0.25">
      <c r="B186" s="13"/>
      <c r="C186" s="13"/>
      <c r="D186" s="14"/>
      <c r="E186" s="14"/>
      <c r="F186" s="77"/>
      <c r="G186" s="14"/>
      <c r="H186" s="14"/>
      <c r="I186" s="77"/>
    </row>
    <row r="187" spans="2:9" x14ac:dyDescent="0.25">
      <c r="B187" s="13"/>
      <c r="C187" s="13"/>
      <c r="D187" s="14"/>
      <c r="E187" s="14"/>
      <c r="F187" s="77"/>
      <c r="G187" s="14"/>
      <c r="H187" s="14"/>
      <c r="I187" s="77"/>
    </row>
    <row r="188" spans="2:9" x14ac:dyDescent="0.25">
      <c r="B188" s="13"/>
      <c r="C188" s="13"/>
      <c r="D188" s="14"/>
      <c r="E188" s="14"/>
      <c r="F188" s="77"/>
      <c r="G188" s="14"/>
      <c r="H188" s="14"/>
      <c r="I188" s="77"/>
    </row>
    <row r="189" spans="2:9" x14ac:dyDescent="0.25">
      <c r="B189" s="13"/>
      <c r="C189" s="13"/>
      <c r="D189" s="14"/>
      <c r="E189" s="14"/>
      <c r="F189" s="77"/>
      <c r="G189" s="14"/>
      <c r="H189" s="14"/>
      <c r="I189" s="77"/>
    </row>
    <row r="190" spans="2:9" x14ac:dyDescent="0.25">
      <c r="B190" s="13"/>
      <c r="C190" s="13"/>
      <c r="D190" s="14"/>
      <c r="E190" s="14"/>
      <c r="F190" s="77"/>
      <c r="G190" s="14"/>
      <c r="H190" s="14"/>
      <c r="I190" s="77"/>
    </row>
    <row r="191" spans="2:9" x14ac:dyDescent="0.25">
      <c r="B191" s="13"/>
      <c r="C191" s="13"/>
      <c r="D191" s="14"/>
      <c r="E191" s="14"/>
      <c r="F191" s="77"/>
      <c r="G191" s="14"/>
      <c r="H191" s="14"/>
      <c r="I191" s="77"/>
    </row>
    <row r="192" spans="2:9" x14ac:dyDescent="0.25">
      <c r="B192" s="13"/>
      <c r="C192" s="13"/>
      <c r="D192" s="14"/>
      <c r="E192" s="14"/>
      <c r="F192" s="77"/>
      <c r="G192" s="14"/>
      <c r="H192" s="14"/>
      <c r="I192" s="77"/>
    </row>
    <row r="193" spans="2:9" x14ac:dyDescent="0.25">
      <c r="B193" s="13"/>
      <c r="C193" s="13"/>
      <c r="D193" s="14"/>
      <c r="E193" s="14"/>
      <c r="F193" s="77"/>
      <c r="G193" s="14"/>
      <c r="H193" s="14"/>
      <c r="I193" s="77"/>
    </row>
    <row r="194" spans="2:9" x14ac:dyDescent="0.25">
      <c r="B194" s="13"/>
      <c r="C194" s="13"/>
      <c r="D194" s="14"/>
      <c r="E194" s="14"/>
      <c r="F194" s="77"/>
      <c r="G194" s="14"/>
      <c r="H194" s="14"/>
      <c r="I194" s="77"/>
    </row>
    <row r="195" spans="2:9" x14ac:dyDescent="0.25">
      <c r="B195" s="13"/>
      <c r="C195" s="13"/>
      <c r="D195" s="13"/>
      <c r="E195" s="13"/>
      <c r="F195" s="27"/>
      <c r="G195" s="13"/>
      <c r="H195" s="13"/>
      <c r="I195" s="27"/>
    </row>
    <row r="196" spans="2:9" x14ac:dyDescent="0.25">
      <c r="B196" s="13"/>
      <c r="C196" s="13"/>
      <c r="D196" s="13"/>
      <c r="E196" s="13"/>
      <c r="F196" s="27"/>
      <c r="G196" s="13"/>
      <c r="H196" s="13"/>
      <c r="I196" s="27"/>
    </row>
    <row r="197" spans="2:9" x14ac:dyDescent="0.25">
      <c r="B197" s="13"/>
      <c r="C197" s="13"/>
      <c r="D197" s="13"/>
      <c r="E197" s="13"/>
      <c r="F197" s="27"/>
      <c r="G197" s="13"/>
      <c r="H197" s="13"/>
      <c r="I197" s="27"/>
    </row>
    <row r="198" spans="2:9" x14ac:dyDescent="0.25">
      <c r="B198" s="13"/>
      <c r="C198" s="13"/>
      <c r="D198" s="13"/>
      <c r="E198" s="13"/>
      <c r="F198" s="27"/>
      <c r="G198" s="13"/>
      <c r="H198" s="13"/>
      <c r="I198" s="27"/>
    </row>
    <row r="199" spans="2:9" x14ac:dyDescent="0.25">
      <c r="B199" s="13"/>
      <c r="C199" s="13"/>
      <c r="D199" s="13"/>
      <c r="E199" s="13"/>
      <c r="F199" s="27"/>
      <c r="G199" s="13"/>
      <c r="H199" s="13"/>
      <c r="I199" s="27"/>
    </row>
    <row r="200" spans="2:9" x14ac:dyDescent="0.25">
      <c r="B200" s="13"/>
      <c r="C200" s="13"/>
      <c r="D200" s="13"/>
      <c r="E200" s="13"/>
      <c r="F200" s="27"/>
      <c r="G200" s="13"/>
      <c r="H200" s="13"/>
      <c r="I200" s="27"/>
    </row>
    <row r="201" spans="2:9" x14ac:dyDescent="0.25">
      <c r="B201" s="13"/>
      <c r="C201" s="13"/>
      <c r="D201" s="13"/>
      <c r="E201" s="13"/>
      <c r="F201" s="27"/>
      <c r="G201" s="13"/>
      <c r="H201" s="13"/>
      <c r="I201" s="27"/>
    </row>
    <row r="202" spans="2:9" x14ac:dyDescent="0.25">
      <c r="B202" s="13"/>
      <c r="C202" s="13"/>
      <c r="D202" s="13"/>
      <c r="E202" s="13"/>
      <c r="F202" s="27"/>
      <c r="G202" s="13"/>
      <c r="H202" s="13"/>
      <c r="I202" s="27"/>
    </row>
    <row r="203" spans="2:9" x14ac:dyDescent="0.25">
      <c r="B203" s="13"/>
      <c r="C203" s="13"/>
      <c r="D203" s="13"/>
      <c r="E203" s="13"/>
      <c r="F203" s="27"/>
      <c r="G203" s="13"/>
      <c r="H203" s="13"/>
      <c r="I203" s="27"/>
    </row>
    <row r="204" spans="2:9" x14ac:dyDescent="0.25">
      <c r="B204" s="13"/>
      <c r="C204" s="13"/>
      <c r="D204" s="13"/>
      <c r="E204" s="13"/>
      <c r="F204" s="27"/>
      <c r="G204" s="13"/>
      <c r="H204" s="13"/>
      <c r="I204" s="27"/>
    </row>
    <row r="205" spans="2:9" x14ac:dyDescent="0.25">
      <c r="B205" s="13"/>
      <c r="C205" s="13"/>
      <c r="D205" s="13"/>
      <c r="E205" s="13"/>
      <c r="F205" s="27"/>
      <c r="G205" s="13"/>
      <c r="H205" s="13"/>
      <c r="I205" s="27"/>
    </row>
    <row r="206" spans="2:9" x14ac:dyDescent="0.25">
      <c r="B206" s="13"/>
      <c r="C206" s="13"/>
      <c r="D206" s="13"/>
      <c r="E206" s="13"/>
      <c r="F206" s="27"/>
      <c r="G206" s="13"/>
      <c r="H206" s="13"/>
      <c r="I206" s="27"/>
    </row>
    <row r="207" spans="2:9" x14ac:dyDescent="0.25">
      <c r="B207" s="13"/>
      <c r="C207" s="13"/>
      <c r="D207" s="13"/>
      <c r="E207" s="13"/>
      <c r="F207" s="27"/>
      <c r="G207" s="13"/>
      <c r="H207" s="13"/>
      <c r="I207" s="27"/>
    </row>
    <row r="208" spans="2:9" x14ac:dyDescent="0.25">
      <c r="B208" s="13"/>
      <c r="C208" s="13"/>
      <c r="D208" s="13"/>
      <c r="E208" s="13"/>
      <c r="F208" s="27"/>
      <c r="G208" s="13"/>
      <c r="H208" s="13"/>
      <c r="I208" s="27"/>
    </row>
    <row r="209" spans="2:9" x14ac:dyDescent="0.25">
      <c r="B209" s="13"/>
      <c r="C209" s="13"/>
      <c r="D209" s="13"/>
      <c r="E209" s="13"/>
      <c r="F209" s="27"/>
      <c r="G209" s="13"/>
      <c r="H209" s="13"/>
      <c r="I209" s="27"/>
    </row>
    <row r="210" spans="2:9" x14ac:dyDescent="0.25">
      <c r="B210" s="13"/>
      <c r="C210" s="13"/>
      <c r="D210" s="13"/>
      <c r="E210" s="13"/>
      <c r="F210" s="27"/>
      <c r="G210" s="13"/>
      <c r="H210" s="13"/>
      <c r="I210" s="27"/>
    </row>
    <row r="211" spans="2:9" x14ac:dyDescent="0.25">
      <c r="B211" s="13"/>
      <c r="C211" s="13"/>
      <c r="D211" s="13"/>
      <c r="E211" s="13"/>
      <c r="F211" s="27"/>
      <c r="G211" s="13"/>
      <c r="H211" s="13"/>
      <c r="I211" s="27"/>
    </row>
    <row r="212" spans="2:9" x14ac:dyDescent="0.25">
      <c r="B212" s="13"/>
      <c r="C212" s="13"/>
      <c r="D212" s="13"/>
      <c r="E212" s="13"/>
      <c r="F212" s="27"/>
      <c r="G212" s="13"/>
      <c r="H212" s="13"/>
      <c r="I212" s="27"/>
    </row>
    <row r="213" spans="2:9" x14ac:dyDescent="0.25">
      <c r="B213" s="13"/>
      <c r="C213" s="13"/>
      <c r="D213" s="13"/>
      <c r="E213" s="13"/>
      <c r="F213" s="27"/>
      <c r="G213" s="13"/>
      <c r="H213" s="13"/>
      <c r="I213" s="27"/>
    </row>
    <row r="214" spans="2:9" x14ac:dyDescent="0.25">
      <c r="B214" s="13"/>
      <c r="C214" s="13"/>
      <c r="D214" s="13"/>
      <c r="E214" s="13"/>
      <c r="F214" s="27"/>
      <c r="G214" s="13"/>
      <c r="H214" s="13"/>
      <c r="I214" s="27"/>
    </row>
    <row r="215" spans="2:9" x14ac:dyDescent="0.25">
      <c r="B215" s="13"/>
      <c r="C215" s="13"/>
      <c r="D215" s="13"/>
      <c r="E215" s="13"/>
      <c r="F215" s="27"/>
      <c r="G215" s="13"/>
      <c r="H215" s="13"/>
      <c r="I215" s="27"/>
    </row>
    <row r="216" spans="2:9" x14ac:dyDescent="0.25">
      <c r="B216" s="13"/>
      <c r="C216" s="13"/>
      <c r="D216" s="13"/>
      <c r="E216" s="13"/>
      <c r="F216" s="27"/>
      <c r="G216" s="13"/>
      <c r="H216" s="13"/>
      <c r="I216" s="27"/>
    </row>
    <row r="217" spans="2:9" x14ac:dyDescent="0.25">
      <c r="B217" s="13"/>
      <c r="C217" s="13"/>
      <c r="D217" s="13"/>
      <c r="E217" s="13"/>
      <c r="F217" s="27"/>
      <c r="G217" s="13"/>
      <c r="H217" s="13"/>
      <c r="I217" s="27"/>
    </row>
    <row r="218" spans="2:9" x14ac:dyDescent="0.25">
      <c r="B218" s="13"/>
      <c r="C218" s="13"/>
      <c r="D218" s="13"/>
      <c r="E218" s="13"/>
      <c r="F218" s="27"/>
      <c r="G218" s="13"/>
      <c r="H218" s="13"/>
      <c r="I218" s="27"/>
    </row>
    <row r="219" spans="2:9" x14ac:dyDescent="0.25">
      <c r="B219" s="13"/>
      <c r="C219" s="13"/>
      <c r="D219" s="13"/>
      <c r="E219" s="13"/>
      <c r="F219" s="27"/>
      <c r="G219" s="13"/>
      <c r="H219" s="13"/>
      <c r="I219" s="27"/>
    </row>
    <row r="220" spans="2:9" x14ac:dyDescent="0.25">
      <c r="B220" s="13"/>
      <c r="C220" s="13"/>
      <c r="D220" s="13"/>
      <c r="E220" s="13"/>
      <c r="F220" s="27"/>
      <c r="G220" s="13"/>
      <c r="H220" s="13"/>
      <c r="I220" s="27"/>
    </row>
    <row r="221" spans="2:9" x14ac:dyDescent="0.25">
      <c r="B221" s="13"/>
      <c r="C221" s="13"/>
      <c r="D221" s="13"/>
      <c r="E221" s="13"/>
      <c r="F221" s="27"/>
      <c r="G221" s="13"/>
      <c r="H221" s="13"/>
      <c r="I221" s="27"/>
    </row>
    <row r="222" spans="2:9" x14ac:dyDescent="0.25">
      <c r="B222" s="13"/>
      <c r="C222" s="13"/>
      <c r="D222" s="13"/>
      <c r="E222" s="13"/>
      <c r="F222" s="27"/>
      <c r="G222" s="13"/>
      <c r="H222" s="13"/>
      <c r="I222" s="27"/>
    </row>
    <row r="223" spans="2:9" x14ac:dyDescent="0.25">
      <c r="B223" s="13"/>
      <c r="C223" s="13"/>
      <c r="D223" s="13"/>
      <c r="E223" s="13"/>
      <c r="F223" s="27"/>
      <c r="G223" s="13"/>
      <c r="H223" s="13"/>
      <c r="I223" s="27"/>
    </row>
    <row r="224" spans="2:9" x14ac:dyDescent="0.25">
      <c r="B224" s="13"/>
      <c r="C224" s="13"/>
      <c r="D224" s="13"/>
      <c r="E224" s="13"/>
      <c r="F224" s="27"/>
      <c r="G224" s="13"/>
      <c r="H224" s="13"/>
      <c r="I224" s="27"/>
    </row>
    <row r="225" spans="2:9" x14ac:dyDescent="0.25">
      <c r="B225" s="13"/>
      <c r="C225" s="13"/>
      <c r="D225" s="13"/>
      <c r="E225" s="13"/>
      <c r="F225" s="27"/>
      <c r="G225" s="13"/>
      <c r="H225" s="13"/>
      <c r="I225" s="27"/>
    </row>
    <row r="226" spans="2:9" x14ac:dyDescent="0.25">
      <c r="B226" s="13"/>
      <c r="C226" s="13"/>
      <c r="D226" s="13"/>
      <c r="E226" s="13"/>
      <c r="F226" s="27"/>
      <c r="G226" s="13"/>
      <c r="H226" s="13"/>
      <c r="I226" s="27"/>
    </row>
    <row r="227" spans="2:9" x14ac:dyDescent="0.25">
      <c r="B227" s="13"/>
      <c r="C227" s="13"/>
      <c r="D227" s="13"/>
      <c r="E227" s="13"/>
      <c r="F227" s="27"/>
      <c r="G227" s="13"/>
      <c r="H227" s="13"/>
      <c r="I227" s="27"/>
    </row>
    <row r="228" spans="2:9" x14ac:dyDescent="0.25">
      <c r="B228" s="13"/>
      <c r="C228" s="13"/>
      <c r="D228" s="13"/>
      <c r="E228" s="13"/>
      <c r="F228" s="27"/>
      <c r="G228" s="13"/>
      <c r="H228" s="13"/>
      <c r="I228" s="27"/>
    </row>
    <row r="229" spans="2:9" x14ac:dyDescent="0.25">
      <c r="B229" s="13"/>
      <c r="C229" s="13"/>
      <c r="D229" s="13"/>
      <c r="E229" s="13"/>
      <c r="F229" s="27"/>
      <c r="G229" s="13"/>
      <c r="H229" s="13"/>
      <c r="I229" s="27"/>
    </row>
    <row r="230" spans="2:9" x14ac:dyDescent="0.25">
      <c r="B230" s="13"/>
      <c r="C230" s="13"/>
      <c r="D230" s="13"/>
      <c r="E230" s="13"/>
      <c r="F230" s="27"/>
      <c r="G230" s="13"/>
      <c r="H230" s="13"/>
      <c r="I230" s="27"/>
    </row>
    <row r="231" spans="2:9" x14ac:dyDescent="0.25">
      <c r="B231" s="13"/>
      <c r="C231" s="13"/>
      <c r="D231" s="13"/>
      <c r="E231" s="13"/>
      <c r="F231" s="27"/>
      <c r="G231" s="13"/>
      <c r="H231" s="13"/>
      <c r="I231" s="27"/>
    </row>
    <row r="232" spans="2:9" x14ac:dyDescent="0.25">
      <c r="B232" s="13"/>
      <c r="C232" s="13"/>
      <c r="D232" s="13"/>
      <c r="E232" s="13"/>
      <c r="F232" s="27"/>
      <c r="G232" s="13"/>
      <c r="H232" s="13"/>
      <c r="I232" s="27"/>
    </row>
    <row r="233" spans="2:9" x14ac:dyDescent="0.25">
      <c r="B233" s="13"/>
      <c r="C233" s="13"/>
      <c r="D233" s="13"/>
      <c r="E233" s="13"/>
      <c r="F233" s="27"/>
      <c r="G233" s="13"/>
      <c r="H233" s="13"/>
      <c r="I233" s="27"/>
    </row>
    <row r="234" spans="2:9" x14ac:dyDescent="0.25">
      <c r="B234" s="13"/>
      <c r="C234" s="13"/>
      <c r="D234" s="13"/>
      <c r="E234" s="13"/>
      <c r="F234" s="27"/>
      <c r="G234" s="13"/>
      <c r="H234" s="13"/>
      <c r="I234" s="27"/>
    </row>
    <row r="235" spans="2:9" x14ac:dyDescent="0.25">
      <c r="B235" s="13"/>
      <c r="C235" s="13"/>
      <c r="D235" s="13"/>
      <c r="E235" s="13"/>
      <c r="F235" s="27"/>
      <c r="G235" s="13"/>
      <c r="H235" s="13"/>
      <c r="I235" s="27"/>
    </row>
    <row r="236" spans="2:9" x14ac:dyDescent="0.25">
      <c r="B236" s="13"/>
      <c r="C236" s="13"/>
      <c r="D236" s="13"/>
      <c r="E236" s="13"/>
      <c r="F236" s="27"/>
      <c r="G236" s="13"/>
      <c r="H236" s="13"/>
      <c r="I236" s="27"/>
    </row>
    <row r="237" spans="2:9" x14ac:dyDescent="0.25">
      <c r="B237" s="13"/>
      <c r="C237" s="13"/>
      <c r="D237" s="13"/>
      <c r="E237" s="13"/>
      <c r="F237" s="27"/>
      <c r="G237" s="13"/>
      <c r="H237" s="13"/>
      <c r="I237" s="27"/>
    </row>
    <row r="238" spans="2:9" x14ac:dyDescent="0.25">
      <c r="B238" s="13"/>
      <c r="C238" s="13"/>
      <c r="D238" s="13"/>
      <c r="E238" s="13"/>
      <c r="F238" s="27"/>
      <c r="G238" s="13"/>
      <c r="H238" s="13"/>
      <c r="I238" s="27"/>
    </row>
    <row r="239" spans="2:9" x14ac:dyDescent="0.25">
      <c r="B239" s="13"/>
      <c r="C239" s="13"/>
      <c r="D239" s="13"/>
      <c r="E239" s="13"/>
      <c r="F239" s="27"/>
      <c r="G239" s="13"/>
      <c r="H239" s="13"/>
      <c r="I239" s="27"/>
    </row>
    <row r="240" spans="2:9" x14ac:dyDescent="0.25">
      <c r="B240" s="13"/>
      <c r="C240" s="13"/>
      <c r="D240" s="13"/>
      <c r="E240" s="13"/>
      <c r="F240" s="27"/>
      <c r="G240" s="13"/>
      <c r="H240" s="13"/>
      <c r="I240" s="27"/>
    </row>
    <row r="241" spans="2:9" x14ac:dyDescent="0.25">
      <c r="B241" s="13"/>
      <c r="C241" s="13"/>
      <c r="D241" s="13"/>
      <c r="E241" s="13"/>
      <c r="F241" s="27"/>
      <c r="G241" s="13"/>
      <c r="H241" s="13"/>
      <c r="I241" s="27"/>
    </row>
    <row r="242" spans="2:9" x14ac:dyDescent="0.25">
      <c r="B242" s="13"/>
      <c r="C242" s="13"/>
      <c r="D242" s="13"/>
      <c r="E242" s="13"/>
      <c r="F242" s="27"/>
      <c r="G242" s="13"/>
      <c r="H242" s="13"/>
      <c r="I242" s="27"/>
    </row>
    <row r="243" spans="2:9" x14ac:dyDescent="0.25">
      <c r="B243" s="13"/>
      <c r="C243" s="13"/>
      <c r="D243" s="13"/>
      <c r="E243" s="13"/>
      <c r="F243" s="27"/>
      <c r="G243" s="13"/>
      <c r="H243" s="13"/>
      <c r="I243" s="27"/>
    </row>
    <row r="244" spans="2:9" x14ac:dyDescent="0.25">
      <c r="B244" s="13"/>
      <c r="C244" s="13"/>
      <c r="D244" s="13"/>
      <c r="E244" s="13"/>
      <c r="F244" s="27"/>
      <c r="G244" s="13"/>
      <c r="H244" s="13"/>
      <c r="I244" s="27"/>
    </row>
    <row r="245" spans="2:9" x14ac:dyDescent="0.25">
      <c r="B245" s="13"/>
      <c r="C245" s="13"/>
      <c r="D245" s="13"/>
      <c r="E245" s="13"/>
      <c r="F245" s="27"/>
      <c r="G245" s="13"/>
      <c r="H245" s="13"/>
      <c r="I245" s="27"/>
    </row>
    <row r="246" spans="2:9" x14ac:dyDescent="0.25">
      <c r="B246" s="13"/>
      <c r="C246" s="13"/>
      <c r="D246" s="13"/>
      <c r="E246" s="13"/>
      <c r="F246" s="27"/>
      <c r="G246" s="13"/>
      <c r="H246" s="13"/>
      <c r="I246" s="27"/>
    </row>
    <row r="247" spans="2:9" x14ac:dyDescent="0.25">
      <c r="B247" s="13"/>
      <c r="C247" s="13"/>
      <c r="D247" s="13"/>
      <c r="E247" s="13"/>
      <c r="F247" s="27"/>
      <c r="G247" s="13"/>
      <c r="H247" s="13"/>
      <c r="I247" s="27"/>
    </row>
    <row r="248" spans="2:9" x14ac:dyDescent="0.25">
      <c r="B248" s="13"/>
      <c r="C248" s="13"/>
      <c r="D248" s="13"/>
      <c r="E248" s="13"/>
      <c r="F248" s="27"/>
      <c r="G248" s="13"/>
      <c r="H248" s="13"/>
      <c r="I248" s="27"/>
    </row>
    <row r="249" spans="2:9" x14ac:dyDescent="0.25">
      <c r="B249" s="13"/>
      <c r="C249" s="13"/>
      <c r="D249" s="13"/>
      <c r="E249" s="13"/>
      <c r="F249" s="27"/>
      <c r="G249" s="13"/>
      <c r="H249" s="13"/>
      <c r="I249" s="27"/>
    </row>
    <row r="250" spans="2:9" x14ac:dyDescent="0.25">
      <c r="B250" s="13"/>
      <c r="C250" s="13"/>
      <c r="D250" s="13"/>
      <c r="E250" s="13"/>
      <c r="F250" s="27"/>
      <c r="G250" s="13"/>
      <c r="H250" s="13"/>
      <c r="I250" s="27"/>
    </row>
    <row r="251" spans="2:9" x14ac:dyDescent="0.25">
      <c r="B251" s="13"/>
      <c r="C251" s="13"/>
      <c r="D251" s="13"/>
      <c r="E251" s="13"/>
      <c r="F251" s="27"/>
      <c r="G251" s="13"/>
      <c r="H251" s="13"/>
      <c r="I251" s="27"/>
    </row>
    <row r="252" spans="2:9" x14ac:dyDescent="0.25">
      <c r="B252" s="13"/>
      <c r="C252" s="13"/>
      <c r="D252" s="13"/>
      <c r="E252" s="13"/>
      <c r="F252" s="27"/>
      <c r="G252" s="13"/>
      <c r="H252" s="13"/>
      <c r="I252" s="27"/>
    </row>
    <row r="253" spans="2:9" x14ac:dyDescent="0.25">
      <c r="B253" s="13"/>
      <c r="C253" s="13"/>
      <c r="D253" s="13"/>
      <c r="E253" s="13"/>
      <c r="F253" s="27"/>
      <c r="G253" s="13"/>
      <c r="H253" s="13"/>
      <c r="I253" s="27"/>
    </row>
    <row r="254" spans="2:9" x14ac:dyDescent="0.25">
      <c r="B254" s="13"/>
      <c r="C254" s="13"/>
      <c r="D254" s="13"/>
      <c r="E254" s="13"/>
      <c r="F254" s="27"/>
      <c r="G254" s="13"/>
      <c r="H254" s="13"/>
      <c r="I254" s="27"/>
    </row>
    <row r="255" spans="2:9" x14ac:dyDescent="0.25">
      <c r="B255" s="13"/>
      <c r="C255" s="13"/>
      <c r="D255" s="13"/>
      <c r="E255" s="13"/>
      <c r="F255" s="27"/>
      <c r="G255" s="13"/>
      <c r="H255" s="13"/>
      <c r="I255" s="27"/>
    </row>
    <row r="256" spans="2:9" x14ac:dyDescent="0.25">
      <c r="B256" s="13"/>
      <c r="C256" s="13"/>
      <c r="D256" s="13"/>
      <c r="E256" s="13"/>
      <c r="F256" s="27"/>
      <c r="G256" s="13"/>
      <c r="H256" s="13"/>
      <c r="I256" s="27"/>
    </row>
    <row r="257" spans="2:9" x14ac:dyDescent="0.25">
      <c r="B257" s="13"/>
      <c r="C257" s="13"/>
      <c r="D257" s="13"/>
      <c r="E257" s="13"/>
      <c r="F257" s="27"/>
      <c r="G257" s="13"/>
      <c r="H257" s="13"/>
      <c r="I257" s="27"/>
    </row>
    <row r="258" spans="2:9" x14ac:dyDescent="0.25">
      <c r="B258" s="13"/>
      <c r="C258" s="13"/>
      <c r="D258" s="13"/>
      <c r="E258" s="13"/>
      <c r="F258" s="27"/>
      <c r="G258" s="13"/>
      <c r="H258" s="13"/>
      <c r="I258" s="27"/>
    </row>
    <row r="259" spans="2:9" x14ac:dyDescent="0.25">
      <c r="B259" s="13"/>
      <c r="C259" s="13"/>
      <c r="D259" s="13"/>
      <c r="E259" s="13"/>
      <c r="F259" s="27"/>
      <c r="G259" s="13"/>
      <c r="H259" s="13"/>
      <c r="I259" s="27"/>
    </row>
    <row r="260" spans="2:9" x14ac:dyDescent="0.25">
      <c r="B260" s="13"/>
      <c r="C260" s="13"/>
      <c r="D260" s="13"/>
      <c r="E260" s="13"/>
      <c r="F260" s="27"/>
      <c r="G260" s="13"/>
      <c r="H260" s="13"/>
      <c r="I260" s="27"/>
    </row>
  </sheetData>
  <sheetProtection selectLockedCells="1" selectUnlockedCells="1"/>
  <mergeCells count="4">
    <mergeCell ref="D5:F5"/>
    <mergeCell ref="G5:I5"/>
    <mergeCell ref="D66:F66"/>
    <mergeCell ref="G66:I66"/>
  </mergeCells>
  <printOptions horizontalCentered="1"/>
  <pageMargins left="0.48194444444444445" right="0.24513888888888888" top="0.59027777777777779" bottom="0.51180555555555551" header="0.51180555555555551" footer="0.31527777777777777"/>
  <pageSetup paperSize="9" scale="57" firstPageNumber="0" orientation="portrait" horizontalDpi="300" verticalDpi="300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24</vt:i4>
      </vt:variant>
      <vt:variant>
        <vt:lpstr>Névvel ellátott tartományok</vt:lpstr>
      </vt:variant>
      <vt:variant>
        <vt:i4>101</vt:i4>
      </vt:variant>
    </vt:vector>
  </HeadingPairs>
  <TitlesOfParts>
    <vt:vector size="125" baseType="lpstr">
      <vt:lpstr>Címrend</vt:lpstr>
      <vt:lpstr>1 kiem</vt:lpstr>
      <vt:lpstr>2 Össz</vt:lpstr>
      <vt:lpstr>3 Adók és tám</vt:lpstr>
      <vt:lpstr>4 Átvett és Felh bev</vt:lpstr>
      <vt:lpstr>5 Beruh kiad</vt:lpstr>
      <vt:lpstr>6 Tart</vt:lpstr>
      <vt:lpstr>7 Önk</vt:lpstr>
      <vt:lpstr>8 PH</vt:lpstr>
      <vt:lpstr>9 VGIG</vt:lpstr>
      <vt:lpstr>10 Járób</vt:lpstr>
      <vt:lpstr>11 Szoci</vt:lpstr>
      <vt:lpstr>12 Ovi</vt:lpstr>
      <vt:lpstr>13 Művház</vt:lpstr>
      <vt:lpstr>14 Könyvt</vt:lpstr>
      <vt:lpstr>19 EU projektek</vt:lpstr>
      <vt:lpstr>15 létszám</vt:lpstr>
      <vt:lpstr>16 szociális kiad</vt:lpstr>
      <vt:lpstr>17 hitelek</vt:lpstr>
      <vt:lpstr>18 TÖBB ÉVES</vt:lpstr>
      <vt:lpstr>20 közvetett</vt:lpstr>
      <vt:lpstr>21 MÉRLEG</vt:lpstr>
      <vt:lpstr>22 FELH TERV</vt:lpstr>
      <vt:lpstr>23 GÖRDÜLŐ</vt:lpstr>
      <vt:lpstr>'18 TÖBB ÉVES'!_pr232</vt:lpstr>
      <vt:lpstr>'18 TÖBB ÉVES'!_pr234</vt:lpstr>
      <vt:lpstr>'18 TÖBB ÉVES'!_pr235</vt:lpstr>
      <vt:lpstr>'18 TÖBB ÉVES'!_pr236</vt:lpstr>
      <vt:lpstr>'18 TÖBB ÉVES'!_pr313</vt:lpstr>
      <vt:lpstr>'18 TÖBB ÉVES'!_pr315</vt:lpstr>
      <vt:lpstr>'23 GÖRDÜLŐ'!_pr315</vt:lpstr>
      <vt:lpstr>'23 GÖRDÜLŐ'!_pr347</vt:lpstr>
      <vt:lpstr>'23 GÖRDÜLŐ'!_pr348</vt:lpstr>
      <vt:lpstr>'23 GÖRDÜLŐ'!_pr349</vt:lpstr>
      <vt:lpstr>Címrend!_pr54</vt:lpstr>
      <vt:lpstr>Címrend!_pr55</vt:lpstr>
      <vt:lpstr>Címrend!_pr56</vt:lpstr>
      <vt:lpstr>Címrend!_pr57</vt:lpstr>
      <vt:lpstr>Címrend!_pr58</vt:lpstr>
      <vt:lpstr>Címrend!_pr59</vt:lpstr>
      <vt:lpstr>Címrend!_pr61</vt:lpstr>
      <vt:lpstr>Címrend!_pr62</vt:lpstr>
      <vt:lpstr>Címrend!_pr63</vt:lpstr>
      <vt:lpstr>Címrend!_pr64</vt:lpstr>
      <vt:lpstr>Címrend!_pr65</vt:lpstr>
      <vt:lpstr>Címrend!_pr66</vt:lpstr>
      <vt:lpstr>Címrend!_pr67</vt:lpstr>
      <vt:lpstr>Címrend!_pr68</vt:lpstr>
      <vt:lpstr>Címrend!_pr69</vt:lpstr>
      <vt:lpstr>Címrend!_pr70</vt:lpstr>
      <vt:lpstr>Címrend!_pr71</vt:lpstr>
      <vt:lpstr>Címrend!_pr72</vt:lpstr>
      <vt:lpstr>Címrend!_pr73</vt:lpstr>
      <vt:lpstr>'1 kiem'!Excel_BuiltIn_Print_Area</vt:lpstr>
      <vt:lpstr>'10 Járób'!Excel_BuiltIn_Print_Area</vt:lpstr>
      <vt:lpstr>'11 Szoci'!Excel_BuiltIn_Print_Area</vt:lpstr>
      <vt:lpstr>'12 Ovi'!Excel_BuiltIn_Print_Area</vt:lpstr>
      <vt:lpstr>'13 Művház'!Excel_BuiltIn_Print_Area</vt:lpstr>
      <vt:lpstr>'14 Könyvt'!Excel_BuiltIn_Print_Area</vt:lpstr>
      <vt:lpstr>'15 létszám'!Excel_BuiltIn_Print_Area</vt:lpstr>
      <vt:lpstr>'16 szociális kiad'!Excel_BuiltIn_Print_Area</vt:lpstr>
      <vt:lpstr>'17 hitelek'!Excel_BuiltIn_Print_Area</vt:lpstr>
      <vt:lpstr>'19 EU projektek'!Excel_BuiltIn_Print_Area</vt:lpstr>
      <vt:lpstr>'2 Össz'!Excel_BuiltIn_Print_Area</vt:lpstr>
      <vt:lpstr>'23 GÖRDÜLŐ'!Excel_BuiltIn_Print_Area</vt:lpstr>
      <vt:lpstr>'3 Adók és tám'!Excel_BuiltIn_Print_Area</vt:lpstr>
      <vt:lpstr>'4 Átvett és Felh bev'!Excel_BuiltIn_Print_Area</vt:lpstr>
      <vt:lpstr>'5 Beruh kiad'!Excel_BuiltIn_Print_Area</vt:lpstr>
      <vt:lpstr>'6 Tart'!Excel_BuiltIn_Print_Area</vt:lpstr>
      <vt:lpstr>'7 Önk'!Excel_BuiltIn_Print_Area</vt:lpstr>
      <vt:lpstr>'8 PH'!Excel_BuiltIn_Print_Area</vt:lpstr>
      <vt:lpstr>'9 VGIG'!Excel_BuiltIn_Print_Area</vt:lpstr>
      <vt:lpstr>'10 Járób'!Excel_BuiltIn_Print_Titles</vt:lpstr>
      <vt:lpstr>'11 Szoci'!Excel_BuiltIn_Print_Titles</vt:lpstr>
      <vt:lpstr>'12 Ovi'!Excel_BuiltIn_Print_Titles</vt:lpstr>
      <vt:lpstr>'13 Művház'!Excel_BuiltIn_Print_Titles</vt:lpstr>
      <vt:lpstr>'14 Könyvt'!Excel_BuiltIn_Print_Titles</vt:lpstr>
      <vt:lpstr>'19 EU projektek'!Excel_BuiltIn_Print_Titles</vt:lpstr>
      <vt:lpstr>'2 Össz'!Excel_BuiltIn_Print_Titles</vt:lpstr>
      <vt:lpstr>'3 Adók és tám'!Excel_BuiltIn_Print_Titles</vt:lpstr>
      <vt:lpstr>'4 Átvett és Felh bev'!Excel_BuiltIn_Print_Titles</vt:lpstr>
      <vt:lpstr>'5 Beruh kiad'!Excel_BuiltIn_Print_Titles</vt:lpstr>
      <vt:lpstr>'7 Önk'!Excel_BuiltIn_Print_Titles</vt:lpstr>
      <vt:lpstr>'8 PH'!Excel_BuiltIn_Print_Titles</vt:lpstr>
      <vt:lpstr>'9 VGIG'!Excel_BuiltIn_Print_Titles</vt:lpstr>
      <vt:lpstr>'10 Járób'!Nyomtatási_cím</vt:lpstr>
      <vt:lpstr>'11 Szoci'!Nyomtatási_cím</vt:lpstr>
      <vt:lpstr>'12 Ovi'!Nyomtatási_cím</vt:lpstr>
      <vt:lpstr>'13 Művház'!Nyomtatási_cím</vt:lpstr>
      <vt:lpstr>'14 Könyvt'!Nyomtatási_cím</vt:lpstr>
      <vt:lpstr>'19 EU projektek'!Nyomtatási_cím</vt:lpstr>
      <vt:lpstr>'2 Össz'!Nyomtatási_cím</vt:lpstr>
      <vt:lpstr>'21 MÉRLEG'!Nyomtatási_cím</vt:lpstr>
      <vt:lpstr>'22 FELH TERV'!Nyomtatási_cím</vt:lpstr>
      <vt:lpstr>'23 GÖRDÜLŐ'!Nyomtatási_cím</vt:lpstr>
      <vt:lpstr>'3 Adók és tám'!Nyomtatási_cím</vt:lpstr>
      <vt:lpstr>'4 Átvett és Felh bev'!Nyomtatási_cím</vt:lpstr>
      <vt:lpstr>'5 Beruh kiad'!Nyomtatási_cím</vt:lpstr>
      <vt:lpstr>'7 Önk'!Nyomtatási_cím</vt:lpstr>
      <vt:lpstr>'8 PH'!Nyomtatási_cím</vt:lpstr>
      <vt:lpstr>'9 VGIG'!Nyomtatási_cím</vt:lpstr>
      <vt:lpstr>'1 kiem'!Nyomtatási_terület</vt:lpstr>
      <vt:lpstr>'10 Járób'!Nyomtatási_terület</vt:lpstr>
      <vt:lpstr>'11 Szoci'!Nyomtatási_terület</vt:lpstr>
      <vt:lpstr>'12 Ovi'!Nyomtatási_terület</vt:lpstr>
      <vt:lpstr>'13 Művház'!Nyomtatási_terület</vt:lpstr>
      <vt:lpstr>'14 Könyvt'!Nyomtatási_terület</vt:lpstr>
      <vt:lpstr>'15 létszám'!Nyomtatási_terület</vt:lpstr>
      <vt:lpstr>'16 szociális kiad'!Nyomtatási_terület</vt:lpstr>
      <vt:lpstr>'17 hitelek'!Nyomtatási_terület</vt:lpstr>
      <vt:lpstr>'18 TÖBB ÉVES'!Nyomtatási_terület</vt:lpstr>
      <vt:lpstr>'19 EU projektek'!Nyomtatási_terület</vt:lpstr>
      <vt:lpstr>'2 Össz'!Nyomtatási_terület</vt:lpstr>
      <vt:lpstr>'20 közvetett'!Nyomtatási_terület</vt:lpstr>
      <vt:lpstr>'21 MÉRLEG'!Nyomtatási_terület</vt:lpstr>
      <vt:lpstr>'22 FELH TERV'!Nyomtatási_terület</vt:lpstr>
      <vt:lpstr>'23 GÖRDÜLŐ'!Nyomtatási_terület</vt:lpstr>
      <vt:lpstr>'3 Adók és tám'!Nyomtatási_terület</vt:lpstr>
      <vt:lpstr>'4 Átvett és Felh bev'!Nyomtatási_terület</vt:lpstr>
      <vt:lpstr>'5 Beruh kiad'!Nyomtatási_terület</vt:lpstr>
      <vt:lpstr>'6 Tart'!Nyomtatási_terület</vt:lpstr>
      <vt:lpstr>'7 Önk'!Nyomtatási_terület</vt:lpstr>
      <vt:lpstr>'8 PH'!Nyomtatási_terület</vt:lpstr>
      <vt:lpstr>'9 VGIG'!Nyomtatási_terület</vt:lpstr>
      <vt:lpstr>Címrend!Nyomtatási_terület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Gallaci</dc:creator>
  <cp:lastModifiedBy>Jogizsuzsi</cp:lastModifiedBy>
  <cp:lastPrinted>2020-03-18T14:40:18Z</cp:lastPrinted>
  <dcterms:created xsi:type="dcterms:W3CDTF">2018-01-18T11:48:48Z</dcterms:created>
  <dcterms:modified xsi:type="dcterms:W3CDTF">2020-03-19T10:48:27Z</dcterms:modified>
</cp:coreProperties>
</file>