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racs\Munka\Rendeletek - Baracs\2019költségvetés\Módosítás\"/>
    </mc:Choice>
  </mc:AlternateContent>
  <xr:revisionPtr revIDLastSave="0" documentId="8_{19D88B81-49D5-4761-9EC7-8725DA2B7F63}" xr6:coauthVersionLast="43" xr6:coauthVersionMax="43" xr10:uidLastSave="{00000000-0000-0000-0000-000000000000}"/>
  <bookViews>
    <workbookView xWindow="-120" yWindow="-120" windowWidth="29040" windowHeight="15840" tabRatio="821" xr2:uid="{00000000-000D-0000-FFFF-FFFF00000000}"/>
  </bookViews>
  <sheets>
    <sheet name="3.3. BNVÓ Kiadások" sheetId="5" r:id="rId1"/>
    <sheet name="3.4. BNI Kiadások" sheetId="18" r:id="rId2"/>
    <sheet name="4. BÖ Társ. és szoc.pol. jut" sheetId="6" r:id="rId3"/>
    <sheet name="5.1. BÖ Felh kiad" sheetId="7" r:id="rId4"/>
    <sheet name="5.2. Hivatal Felh kiad" sheetId="30" r:id="rId5"/>
    <sheet name="5.3. BNVÓ Felh kiad" sheetId="31" r:id="rId6"/>
    <sheet name="5.4. BNI Felh kiad" sheetId="32" r:id="rId7"/>
  </sheets>
  <definedNames>
    <definedName name="_xlnm.Print_Area" localSheetId="0">'3.3. BNVÓ Kiadások'!$A$1:$P$29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8" i="18" l="1"/>
  <c r="C18" i="18"/>
  <c r="E18" i="18" l="1"/>
  <c r="E21" i="18" l="1"/>
  <c r="H31" i="18"/>
  <c r="D15" i="18"/>
  <c r="C15" i="18"/>
  <c r="D21" i="18"/>
  <c r="D24" i="18"/>
  <c r="F33" i="18"/>
  <c r="G33" i="18"/>
  <c r="I33" i="18"/>
  <c r="J33" i="18"/>
  <c r="K33" i="18"/>
  <c r="L33" i="18"/>
  <c r="D31" i="18"/>
  <c r="E31" i="18"/>
  <c r="F31" i="18"/>
  <c r="G31" i="18"/>
  <c r="I31" i="18"/>
  <c r="J31" i="18"/>
  <c r="K31" i="18"/>
  <c r="L31" i="18"/>
  <c r="C31" i="18"/>
  <c r="M28" i="18"/>
  <c r="M25" i="18"/>
  <c r="M22" i="18"/>
  <c r="M19" i="18"/>
  <c r="M16" i="18"/>
  <c r="M13" i="18"/>
  <c r="H19" i="5"/>
  <c r="G21" i="5"/>
  <c r="G19" i="5"/>
  <c r="F21" i="5"/>
  <c r="F19" i="5"/>
  <c r="E19" i="5"/>
  <c r="D19" i="5"/>
  <c r="C19" i="5"/>
  <c r="M16" i="5"/>
  <c r="M13" i="5"/>
  <c r="M31" i="18" l="1"/>
  <c r="M18" i="18"/>
  <c r="C21" i="18" l="1"/>
  <c r="E24" i="18"/>
  <c r="C24" i="18"/>
  <c r="M24" i="18" s="1"/>
  <c r="E40" i="7" l="1"/>
  <c r="F41" i="7"/>
  <c r="F40" i="7" s="1"/>
  <c r="F32" i="7"/>
  <c r="D38" i="6"/>
  <c r="C37" i="6"/>
  <c r="C8" i="6"/>
  <c r="F9" i="32" l="1"/>
  <c r="F8" i="32" s="1"/>
  <c r="F10" i="32" s="1"/>
  <c r="E8" i="32"/>
  <c r="E10" i="32" s="1"/>
  <c r="E12" i="31"/>
  <c r="E8" i="31"/>
  <c r="F10" i="31"/>
  <c r="F11" i="31"/>
  <c r="F8" i="31" s="1"/>
  <c r="F9" i="31"/>
  <c r="H15" i="5"/>
  <c r="F10" i="30"/>
  <c r="F9" i="30"/>
  <c r="E37" i="7" l="1"/>
  <c r="F30" i="7"/>
  <c r="F31" i="7"/>
  <c r="F29" i="7"/>
  <c r="F38" i="7"/>
  <c r="F37" i="7" s="1"/>
  <c r="F28" i="7"/>
  <c r="F27" i="7"/>
  <c r="F26" i="7"/>
  <c r="F25" i="7"/>
  <c r="F24" i="7"/>
  <c r="F23" i="7"/>
  <c r="F22" i="7"/>
  <c r="F21" i="7"/>
  <c r="F20" i="7"/>
  <c r="F19" i="7"/>
  <c r="F35" i="7"/>
  <c r="F34" i="7" s="1"/>
  <c r="D22" i="6"/>
  <c r="D25" i="6"/>
  <c r="D28" i="6"/>
  <c r="D34" i="6"/>
  <c r="C40" i="6"/>
  <c r="D37" i="6"/>
  <c r="D40" i="6"/>
  <c r="D16" i="6"/>
  <c r="D8" i="6" s="1"/>
  <c r="D30" i="18"/>
  <c r="C30" i="18"/>
  <c r="E27" i="18"/>
  <c r="D27" i="18"/>
  <c r="D33" i="18" s="1"/>
  <c r="C27" i="18"/>
  <c r="E15" i="18"/>
  <c r="H21" i="18"/>
  <c r="E18" i="5"/>
  <c r="D18" i="5"/>
  <c r="E15" i="5"/>
  <c r="D15" i="5"/>
  <c r="C18" i="5"/>
  <c r="M18" i="5" s="1"/>
  <c r="C15" i="5"/>
  <c r="H18" i="5"/>
  <c r="H21" i="5" s="1"/>
  <c r="E21" i="5" l="1"/>
  <c r="E33" i="18"/>
  <c r="M15" i="18"/>
  <c r="M30" i="18"/>
  <c r="C21" i="5"/>
  <c r="M15" i="5"/>
  <c r="M27" i="18"/>
  <c r="C33" i="18"/>
  <c r="D21" i="5"/>
  <c r="H33" i="18"/>
  <c r="M21" i="18"/>
  <c r="F8" i="7"/>
  <c r="F43" i="7" s="1"/>
  <c r="F12" i="31"/>
  <c r="F8" i="30"/>
  <c r="F11" i="30" s="1"/>
  <c r="E8" i="30"/>
  <c r="E11" i="30" s="1"/>
  <c r="E8" i="7"/>
  <c r="E43" i="7" s="1"/>
  <c r="M33" i="18" l="1"/>
  <c r="C34" i="6" l="1"/>
  <c r="C28" i="6"/>
  <c r="C25" i="6"/>
  <c r="I21" i="5"/>
  <c r="M21" i="5" s="1"/>
  <c r="J21" i="5"/>
  <c r="K21" i="5"/>
  <c r="L21" i="5"/>
  <c r="I19" i="5"/>
  <c r="M19" i="5" s="1"/>
  <c r="J19" i="5"/>
  <c r="K19" i="5"/>
  <c r="L19" i="5"/>
  <c r="D18" i="6" l="1"/>
  <c r="D43" i="6" s="1"/>
  <c r="C18" i="6"/>
  <c r="C22" i="6" l="1"/>
  <c r="C43" i="6" s="1"/>
</calcChain>
</file>

<file path=xl/sharedStrings.xml><?xml version="1.0" encoding="utf-8"?>
<sst xmlns="http://schemas.openxmlformats.org/spreadsheetml/2006/main" count="239" uniqueCount="134">
  <si>
    <t>Megnevezés</t>
  </si>
  <si>
    <t>Összesen</t>
  </si>
  <si>
    <t>ezer Ft-ban</t>
  </si>
  <si>
    <t>Szakfeladat</t>
  </si>
  <si>
    <t>Működési kiadások</t>
  </si>
  <si>
    <t xml:space="preserve"> Felhalmozási kiadások</t>
  </si>
  <si>
    <t xml:space="preserve">Tartalék </t>
  </si>
  <si>
    <t>Előirányzat</t>
  </si>
  <si>
    <t>Pénzeszköz átadás megnevezése</t>
  </si>
  <si>
    <t>1. Önkormányzati jogalkotás</t>
  </si>
  <si>
    <t>Költségvetési</t>
  </si>
  <si>
    <t>dr. Horváth Zsolt</t>
  </si>
  <si>
    <t>jegyző</t>
  </si>
  <si>
    <t xml:space="preserve">        Várai Róbert</t>
  </si>
  <si>
    <t xml:space="preserve">        polgármester</t>
  </si>
  <si>
    <t>C</t>
  </si>
  <si>
    <t>D</t>
  </si>
  <si>
    <t>E</t>
  </si>
  <si>
    <t>F</t>
  </si>
  <si>
    <t>G</t>
  </si>
  <si>
    <t>H</t>
  </si>
  <si>
    <t>I</t>
  </si>
  <si>
    <t>J</t>
  </si>
  <si>
    <t>K</t>
  </si>
  <si>
    <t>Egyéb felhalmozási célú kiadások</t>
  </si>
  <si>
    <t>L</t>
  </si>
  <si>
    <t>Személyi juttatások</t>
  </si>
  <si>
    <t>Munkaadót terhelő járulékok és szociális  adó</t>
  </si>
  <si>
    <t>Dologi kiadások</t>
  </si>
  <si>
    <t>Ellátottak pénzbeli juttatásai</t>
  </si>
  <si>
    <t>Egyéb működési célú kiadások</t>
  </si>
  <si>
    <t>Beruházások</t>
  </si>
  <si>
    <t>Felújitások</t>
  </si>
  <si>
    <t>Finanszírozási kiadások</t>
  </si>
  <si>
    <t>I. Kötelező feladatok</t>
  </si>
  <si>
    <t>3. sz. melléklet 3.3. pontja</t>
  </si>
  <si>
    <t>I./1) Óvodai intézményi étkezés</t>
  </si>
  <si>
    <t>I./2) Óvodai nevelés</t>
  </si>
  <si>
    <t>1.1. oktatásban résztvevők pénzbeli juttatásai</t>
  </si>
  <si>
    <t>1.2. TÖOSZ tagdíj</t>
  </si>
  <si>
    <t>1.5. KDV Hulladékgazdálkodási Társulás tagdíja</t>
  </si>
  <si>
    <t>1.4. DVT tagdíj</t>
  </si>
  <si>
    <t>2. Háziorvosi alapellátás</t>
  </si>
  <si>
    <t>2.1. Vérvétel</t>
  </si>
  <si>
    <t>2.2. Iskolaegészségügyi ellátás</t>
  </si>
  <si>
    <t>3. Háziorvosi ügyeleti ellátás</t>
  </si>
  <si>
    <t>3.1. Hétvégi ügyeleti ellátás</t>
  </si>
  <si>
    <t>4. Fogorvosi ügyeleti ellátás</t>
  </si>
  <si>
    <t>4.1. Fogorvosi ügyeleti ellátás</t>
  </si>
  <si>
    <t>5. Egyéb önkormányzati eseti pénzbeli ellátások</t>
  </si>
  <si>
    <t>5.3. Idősek karácsonyi segélyezése</t>
  </si>
  <si>
    <t>5.4. Pénzbeli kártérítés</t>
  </si>
  <si>
    <t>6. Civil szervezetek programtámogatása</t>
  </si>
  <si>
    <t>6.1. Civil szervezetek támogatása</t>
  </si>
  <si>
    <t>4. sz. melléklet 1. pontja</t>
  </si>
  <si>
    <t>1. Önkormányzati vagyonnal való gazdálkodás</t>
  </si>
  <si>
    <t>polgármester</t>
  </si>
  <si>
    <t xml:space="preserve"> Várai Róbert</t>
  </si>
  <si>
    <t>2018. évi eredeti előirányzat</t>
  </si>
  <si>
    <t>2018. évi módosított előirányzat</t>
  </si>
  <si>
    <t>I./1) Üzemeltetési és egyéb szolgáltatás</t>
  </si>
  <si>
    <t>I./2) Család- és gyermekjóléti szolgáltatás</t>
  </si>
  <si>
    <t>I./3) Közművelődési intézmények és közösségi színterek működtetése</t>
  </si>
  <si>
    <t>I./4) Házi segítségnyújtás</t>
  </si>
  <si>
    <t>5.5. Bursa Hungarica ösztöndíj</t>
  </si>
  <si>
    <t>1.6. Duna Településszövetség</t>
  </si>
  <si>
    <t>1.3. Mezőföldi HÍD Térségfejlesztő Egyesület tagdíj</t>
  </si>
  <si>
    <t>1.7. Magyar Limes Szövetség Kulturális Egyesület</t>
  </si>
  <si>
    <t>1.1. Iskola kerítés, járda, parkoló</t>
  </si>
  <si>
    <t>1.9. Mentőszolgálat támogatás</t>
  </si>
  <si>
    <t>8.1. Pénzeszköz átadás lakosságnak (ösztönző)</t>
  </si>
  <si>
    <t>1.2. Személygépkocsi vásárlás</t>
  </si>
  <si>
    <t>5. sz. melléklet 5.2. pontja</t>
  </si>
  <si>
    <t>5. sz. melléklet 5.1. pontja</t>
  </si>
  <si>
    <t>1.1.Számítógép beszerzés</t>
  </si>
  <si>
    <t>5. sz. melléklet 5.3. pontja</t>
  </si>
  <si>
    <t>1. Óvodai nevelés</t>
  </si>
  <si>
    <t>2019. évi eredeti előirányzat</t>
  </si>
  <si>
    <t>2019. évi módosított előirányzat</t>
  </si>
  <si>
    <t>Ft-ban</t>
  </si>
  <si>
    <t>2019. évi eredeti</t>
  </si>
  <si>
    <t>2019. évi módosított</t>
  </si>
  <si>
    <t>Baracsi Négy Vándor Óvoda 2019. évi tervezett működési, fenntartási, felhalmozási kiadásai</t>
  </si>
  <si>
    <t>3. sz. melléklet 3.4. pontja</t>
  </si>
  <si>
    <t>Baracsi Népjóléti Intézmény 2019. évi tervezett működési, fenntartási, felhalmozási kiadásai</t>
  </si>
  <si>
    <t>I/6) Hosszabb időtartamú közfoglalkoztatás</t>
  </si>
  <si>
    <t>Baracs Község Önkormányzata 2019. évi társadalom- és szociálpolitikai juttatásai és működési célú pénzeszköz átadásai</t>
  </si>
  <si>
    <t>5.1. Települési támogatás</t>
  </si>
  <si>
    <t>9.1. Állami támogatás megelőlegezés és visszafizetés</t>
  </si>
  <si>
    <t>1.3. Fogorvosi rendelő felújítás</t>
  </si>
  <si>
    <t>1.4. Raktárépítés</t>
  </si>
  <si>
    <t>1.5. Mezőföld Víz Kft. Törzstőke emelés</t>
  </si>
  <si>
    <t>1.6. Település központ parkoló és vízelvezetés tervezés</t>
  </si>
  <si>
    <t>1.7. Kerítés felújítás</t>
  </si>
  <si>
    <t>1.8. Tájház csatorna rákötés</t>
  </si>
  <si>
    <t>1.9. Régi Óvoda átalakítás</t>
  </si>
  <si>
    <t>1.10. Régi Óvodához garázs</t>
  </si>
  <si>
    <t>2. Hosszabb időtartamú közfoglalkoztatás</t>
  </si>
  <si>
    <t>2.1. Eszközbeszerzés</t>
  </si>
  <si>
    <t>1.11. Bölcsőde építés önerő</t>
  </si>
  <si>
    <t>1.12. Tanácsadó építés</t>
  </si>
  <si>
    <t>1.13. Településközpont közl.infr.tervezés</t>
  </si>
  <si>
    <t>1.14. Indukciós hurok Új Óvoda</t>
  </si>
  <si>
    <t>1.15. Térfigyelő kamera</t>
  </si>
  <si>
    <t>1.16. Raktárépítés I. ütem</t>
  </si>
  <si>
    <t>1.17. Raktárépítés műszaki ellenőr</t>
  </si>
  <si>
    <t>1.18. Pályázati önerő</t>
  </si>
  <si>
    <t>1.19. Óvodai játszóeszközök</t>
  </si>
  <si>
    <t>1.20. Településrendezési terv</t>
  </si>
  <si>
    <t>6.1. Vadászati bérleti díj visszaforgatás</t>
  </si>
  <si>
    <t>1.21. Egészségház felújítás</t>
  </si>
  <si>
    <t>1.22. Egészségház pótmunka</t>
  </si>
  <si>
    <t>1.23. Pályázati önerő Mezőföldvíz</t>
  </si>
  <si>
    <t>1.2. Nagyterem belső felújítása</t>
  </si>
  <si>
    <t>1.2. Függöny, szúnyogháló</t>
  </si>
  <si>
    <t>1.1. Mosogatógép</t>
  </si>
  <si>
    <t>1.3. Kültéri játékok</t>
  </si>
  <si>
    <t>Baracsi Négy Vándor Óvoda 2019. évi tervezett felhalmozási kiadásai célonként</t>
  </si>
  <si>
    <t>5. sz. melléklet 5.4. pontja</t>
  </si>
  <si>
    <t>Baracsi Népjóléti Intézmény 2019. évi tervezett felhalmozási kiadásai célonként</t>
  </si>
  <si>
    <t>1. Közművelődési intézmények és közösségi színterek működtetése</t>
  </si>
  <si>
    <t>1.1. Hűtőszekrény beszerzés</t>
  </si>
  <si>
    <t>7. Fiatalok társadalmi integrációját segítő szakmai támogatás</t>
  </si>
  <si>
    <t>8. Önkormányzatok elszámolásai a központi költségvetéssel</t>
  </si>
  <si>
    <t>1.24. Településképvédelmi rendelet módosítás</t>
  </si>
  <si>
    <t>3. Utak építése, karbantartása</t>
  </si>
  <si>
    <t>4. Fiatalok társadalmi integrációját segítő szakmai szolgáltatások fejlesztése</t>
  </si>
  <si>
    <t>4.1. Hangosítás</t>
  </si>
  <si>
    <t>I./5) Szociális étkezés</t>
  </si>
  <si>
    <t>Baracsi Közös Önkormányzati Hivatal 2019. évi tervezett felhalmozási kiadásai célonként</t>
  </si>
  <si>
    <t>Baracs Község Önkormányzata 2019. évi tervezett felhalmozási kiadásai célonként</t>
  </si>
  <si>
    <t>Baracs, 2019. augusztus 1.</t>
  </si>
  <si>
    <t xml:space="preserve">Baracs Község Önkormányzata Képviselő-testülete 2019. évi költségvetésről szóló 11/2019. (VIII.26.) Önkormányzati Rendelete                                                                                       </t>
  </si>
  <si>
    <t xml:space="preserve">Baracs Község Önkormányzata Képviselő-testülete 2019. évi költségvetésről szóló  11/2019. (VIII.26.) Önkormányzati Rendelete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</si>
</sst>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3" fontId="6" fillId="0" borderId="15" xfId="0" applyNumberFormat="1" applyFont="1" applyBorder="1"/>
    <xf numFmtId="0" fontId="7" fillId="0" borderId="13" xfId="0" applyFont="1" applyBorder="1"/>
    <xf numFmtId="0" fontId="7" fillId="0" borderId="14" xfId="0" applyFont="1" applyBorder="1"/>
    <xf numFmtId="3" fontId="6" fillId="0" borderId="14" xfId="0" applyNumberFormat="1" applyFont="1" applyBorder="1"/>
    <xf numFmtId="0" fontId="0" fillId="0" borderId="0" xfId="0" applyAlignment="1">
      <alignment vertical="center" wrapText="1"/>
    </xf>
    <xf numFmtId="3" fontId="1" fillId="0" borderId="5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horizontal="right" vertical="center"/>
    </xf>
    <xf numFmtId="3" fontId="1" fillId="0" borderId="14" xfId="0" applyNumberFormat="1" applyFont="1" applyFill="1" applyBorder="1" applyAlignment="1">
      <alignment horizontal="right" vertical="center"/>
    </xf>
    <xf numFmtId="3" fontId="3" fillId="0" borderId="19" xfId="0" applyNumberFormat="1" applyFont="1" applyBorder="1" applyAlignment="1">
      <alignment horizontal="right" vertical="center"/>
    </xf>
    <xf numFmtId="3" fontId="3" fillId="0" borderId="20" xfId="0" applyNumberFormat="1" applyFont="1" applyBorder="1" applyAlignment="1">
      <alignment horizontal="right" vertical="center"/>
    </xf>
    <xf numFmtId="0" fontId="3" fillId="0" borderId="19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3" fontId="15" fillId="0" borderId="12" xfId="0" applyNumberFormat="1" applyFont="1" applyBorder="1" applyAlignment="1">
      <alignment vertical="center"/>
    </xf>
    <xf numFmtId="3" fontId="15" fillId="0" borderId="5" xfId="0" applyNumberFormat="1" applyFont="1" applyBorder="1" applyAlignment="1">
      <alignment vertical="center"/>
    </xf>
    <xf numFmtId="3" fontId="15" fillId="0" borderId="12" xfId="0" applyNumberFormat="1" applyFont="1" applyFill="1" applyBorder="1" applyAlignment="1">
      <alignment vertical="center"/>
    </xf>
    <xf numFmtId="3" fontId="15" fillId="0" borderId="5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17" xfId="0" applyFont="1" applyBorder="1" applyAlignment="1">
      <alignment vertical="center"/>
    </xf>
    <xf numFmtId="16" fontId="11" fillId="0" borderId="5" xfId="0" applyNumberFormat="1" applyFont="1" applyFill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11" fillId="0" borderId="5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0" fontId="1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7" fillId="0" borderId="7" xfId="0" applyFont="1" applyBorder="1"/>
    <xf numFmtId="3" fontId="6" fillId="0" borderId="13" xfId="0" applyNumberFormat="1" applyFont="1" applyBorder="1"/>
    <xf numFmtId="0" fontId="9" fillId="0" borderId="1" xfId="0" applyFont="1" applyBorder="1" applyAlignment="1">
      <alignment horizontal="center" vertical="center" wrapText="1"/>
    </xf>
    <xf numFmtId="0" fontId="11" fillId="0" borderId="1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3" fontId="5" fillId="0" borderId="7" xfId="0" applyNumberFormat="1" applyFont="1" applyBorder="1"/>
    <xf numFmtId="3" fontId="5" fillId="0" borderId="13" xfId="0" applyNumberFormat="1" applyFont="1" applyFill="1" applyBorder="1"/>
    <xf numFmtId="3" fontId="5" fillId="0" borderId="7" xfId="0" applyNumberFormat="1" applyFont="1" applyFill="1" applyBorder="1"/>
    <xf numFmtId="3" fontId="5" fillId="0" borderId="13" xfId="0" applyNumberFormat="1" applyFont="1" applyBorder="1"/>
    <xf numFmtId="3" fontId="5" fillId="0" borderId="15" xfId="0" applyNumberFormat="1" applyFont="1" applyFill="1" applyBorder="1"/>
    <xf numFmtId="3" fontId="5" fillId="0" borderId="14" xfId="0" applyNumberFormat="1" applyFont="1" applyBorder="1"/>
    <xf numFmtId="3" fontId="5" fillId="0" borderId="16" xfId="0" applyNumberFormat="1" applyFont="1" applyFill="1" applyBorder="1"/>
    <xf numFmtId="3" fontId="5" fillId="0" borderId="14" xfId="0" applyNumberFormat="1" applyFont="1" applyFill="1" applyBorder="1"/>
    <xf numFmtId="3" fontId="5" fillId="0" borderId="8" xfId="0" applyNumberFormat="1" applyFont="1" applyFill="1" applyBorder="1"/>
    <xf numFmtId="0" fontId="1" fillId="0" borderId="16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11" fillId="0" borderId="17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0" fillId="0" borderId="0" xfId="0" applyNumberFormat="1" applyFont="1" applyAlignment="1">
      <alignment vertical="center"/>
    </xf>
    <xf numFmtId="3" fontId="0" fillId="0" borderId="0" xfId="0" applyNumberFormat="1" applyFont="1" applyAlignment="1">
      <alignment horizontal="left" vertical="center"/>
    </xf>
    <xf numFmtId="0" fontId="0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6" fillId="0" borderId="7" xfId="0" applyFont="1" applyBorder="1"/>
    <xf numFmtId="0" fontId="6" fillId="0" borderId="13" xfId="0" applyFont="1" applyBorder="1"/>
    <xf numFmtId="0" fontId="6" fillId="0" borderId="14" xfId="0" applyFont="1" applyBorder="1"/>
    <xf numFmtId="3" fontId="5" fillId="0" borderId="12" xfId="0" applyNumberFormat="1" applyFont="1" applyBorder="1"/>
    <xf numFmtId="3" fontId="5" fillId="0" borderId="17" xfId="0" applyNumberFormat="1" applyFont="1" applyFill="1" applyBorder="1"/>
    <xf numFmtId="3" fontId="5" fillId="0" borderId="12" xfId="0" applyNumberFormat="1" applyFont="1" applyFill="1" applyBorder="1"/>
    <xf numFmtId="3" fontId="5" fillId="0" borderId="6" xfId="0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165" fontId="0" fillId="0" borderId="0" xfId="0" applyNumberFormat="1"/>
    <xf numFmtId="3" fontId="2" fillId="0" borderId="1" xfId="0" applyNumberFormat="1" applyFont="1" applyFill="1" applyBorder="1" applyAlignment="1">
      <alignment horizontal="right" vertical="center"/>
    </xf>
    <xf numFmtId="16" fontId="1" fillId="0" borderId="5" xfId="0" applyNumberFormat="1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3" fontId="1" fillId="0" borderId="13" xfId="0" applyNumberFormat="1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" fontId="11" fillId="0" borderId="0" xfId="0" applyNumberFormat="1" applyFont="1" applyFill="1" applyBorder="1" applyAlignment="1">
      <alignment vertical="center" wrapText="1"/>
    </xf>
    <xf numFmtId="16" fontId="11" fillId="0" borderId="15" xfId="0" applyNumberFormat="1" applyFont="1" applyFill="1" applyBorder="1" applyAlignment="1">
      <alignment vertical="center" wrapText="1"/>
    </xf>
    <xf numFmtId="3" fontId="9" fillId="0" borderId="14" xfId="0" applyNumberFormat="1" applyFont="1" applyBorder="1" applyAlignment="1">
      <alignment horizontal="right" vertical="center" wrapText="1"/>
    </xf>
    <xf numFmtId="3" fontId="11" fillId="0" borderId="5" xfId="1" applyNumberFormat="1" applyFont="1" applyFill="1" applyBorder="1" applyAlignment="1">
      <alignment horizontal="right" vertical="center" wrapText="1"/>
    </xf>
    <xf numFmtId="3" fontId="1" fillId="0" borderId="9" xfId="0" applyNumberFormat="1" applyFont="1" applyFill="1" applyBorder="1" applyAlignment="1">
      <alignment vertical="center"/>
    </xf>
    <xf numFmtId="3" fontId="1" fillId="0" borderId="9" xfId="0" applyNumberFormat="1" applyFont="1" applyBorder="1" applyAlignment="1">
      <alignment vertical="center"/>
    </xf>
    <xf numFmtId="3" fontId="9" fillId="0" borderId="5" xfId="0" applyNumberFormat="1" applyFont="1" applyFill="1" applyBorder="1" applyAlignment="1">
      <alignment horizontal="right" vertical="center" wrapText="1"/>
    </xf>
    <xf numFmtId="3" fontId="9" fillId="0" borderId="5" xfId="0" applyNumberFormat="1" applyFont="1" applyBorder="1" applyAlignment="1">
      <alignment horizontal="right" vertical="center" wrapText="1"/>
    </xf>
    <xf numFmtId="3" fontId="11" fillId="0" borderId="10" xfId="0" applyNumberFormat="1" applyFont="1" applyFill="1" applyBorder="1" applyAlignment="1">
      <alignment vertical="center" wrapText="1"/>
    </xf>
    <xf numFmtId="3" fontId="9" fillId="0" borderId="5" xfId="1" applyNumberFormat="1" applyFont="1" applyFill="1" applyBorder="1" applyAlignment="1">
      <alignment horizontal="right" vertical="center" wrapText="1"/>
    </xf>
    <xf numFmtId="3" fontId="11" fillId="0" borderId="10" xfId="1" applyNumberFormat="1" applyFont="1" applyFill="1" applyBorder="1" applyAlignment="1">
      <alignment horizontal="right" vertical="center" wrapText="1"/>
    </xf>
    <xf numFmtId="3" fontId="11" fillId="0" borderId="0" xfId="1" applyNumberFormat="1" applyFont="1" applyFill="1" applyBorder="1" applyAlignment="1">
      <alignment horizontal="right" vertical="center" wrapText="1"/>
    </xf>
    <xf numFmtId="3" fontId="11" fillId="0" borderId="12" xfId="1" applyNumberFormat="1" applyFont="1" applyFill="1" applyBorder="1" applyAlignment="1">
      <alignment horizontal="right" vertical="center" wrapText="1"/>
    </xf>
    <xf numFmtId="3" fontId="11" fillId="0" borderId="13" xfId="1" applyNumberFormat="1" applyFont="1" applyFill="1" applyBorder="1" applyAlignment="1">
      <alignment horizontal="right" vertical="center" wrapText="1"/>
    </xf>
    <xf numFmtId="3" fontId="10" fillId="0" borderId="19" xfId="1" applyNumberFormat="1" applyFont="1" applyBorder="1" applyAlignment="1">
      <alignment horizontal="right" vertical="center" wrapText="1"/>
    </xf>
    <xf numFmtId="0" fontId="2" fillId="0" borderId="25" xfId="0" applyFont="1" applyFill="1" applyBorder="1" applyAlignment="1">
      <alignment vertical="center" wrapText="1"/>
    </xf>
    <xf numFmtId="3" fontId="2" fillId="0" borderId="25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left" vertical="center" wrapText="1"/>
    </xf>
    <xf numFmtId="3" fontId="1" fillId="0" borderId="7" xfId="0" applyNumberFormat="1" applyFont="1" applyFill="1" applyBorder="1" applyAlignment="1">
      <alignment horizontal="right" vertical="center"/>
    </xf>
    <xf numFmtId="0" fontId="1" fillId="0" borderId="14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3" fontId="0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3" fontId="14" fillId="0" borderId="25" xfId="0" applyNumberFormat="1" applyFont="1" applyFill="1" applyBorder="1" applyAlignment="1">
      <alignment horizontal="center" vertical="center" wrapText="1"/>
    </xf>
    <xf numFmtId="3" fontId="14" fillId="0" borderId="26" xfId="0" applyNumberFormat="1" applyFont="1" applyFill="1" applyBorder="1" applyAlignment="1">
      <alignment horizontal="center" vertical="center" wrapText="1"/>
    </xf>
    <xf numFmtId="3" fontId="14" fillId="0" borderId="27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5" fillId="0" borderId="12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1" fillId="0" borderId="17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</cellXfs>
  <cellStyles count="2">
    <cellStyle name="Ezres 2" xfId="1" xr:uid="{00000000-0005-0000-0000-000000000000}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29"/>
  <sheetViews>
    <sheetView tabSelected="1" view="pageBreakPreview" zoomScale="60" zoomScaleNormal="100" workbookViewId="0">
      <selection activeCell="A24" sqref="A24"/>
    </sheetView>
  </sheetViews>
  <sheetFormatPr defaultRowHeight="15" x14ac:dyDescent="0.25"/>
  <cols>
    <col min="1" max="1" width="12.7109375" customWidth="1"/>
    <col min="2" max="2" width="14.5703125" bestFit="1" customWidth="1"/>
    <col min="3" max="3" width="11.5703125" customWidth="1"/>
    <col min="4" max="4" width="10.42578125" customWidth="1"/>
    <col min="5" max="5" width="11.42578125" customWidth="1"/>
    <col min="8" max="8" width="10.28515625" customWidth="1"/>
    <col min="10" max="11" width="10" customWidth="1"/>
    <col min="13" max="13" width="11.7109375" customWidth="1"/>
  </cols>
  <sheetData>
    <row r="1" spans="1:13" ht="46.5" customHeight="1" x14ac:dyDescent="0.25">
      <c r="A1" s="111" t="s">
        <v>133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3" x14ac:dyDescent="0.25">
      <c r="A2" s="20" t="s">
        <v>35</v>
      </c>
      <c r="B2" s="20"/>
      <c r="C2" s="20"/>
      <c r="D2" s="20"/>
      <c r="E2" s="21"/>
      <c r="F2" s="21"/>
      <c r="G2" s="21"/>
      <c r="H2" s="21"/>
      <c r="I2" s="21"/>
      <c r="J2" s="20"/>
      <c r="K2" s="20"/>
      <c r="L2" s="20"/>
      <c r="M2" s="20"/>
    </row>
    <row r="3" spans="1:13" ht="15" customHeight="1" x14ac:dyDescent="0.25">
      <c r="A3" s="5"/>
      <c r="B3" s="5"/>
      <c r="C3" s="5"/>
      <c r="D3" s="5"/>
      <c r="E3" s="6"/>
      <c r="F3" s="6"/>
      <c r="G3" s="6"/>
      <c r="H3" s="6"/>
      <c r="I3" s="6"/>
      <c r="J3" s="5"/>
      <c r="K3" s="5"/>
      <c r="L3" s="5"/>
      <c r="M3" s="5"/>
    </row>
    <row r="4" spans="1:13" ht="15.75" x14ac:dyDescent="0.25">
      <c r="A4" s="118" t="s">
        <v>82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3" x14ac:dyDescent="0.25">
      <c r="A5" s="5"/>
      <c r="B5" s="5"/>
      <c r="C5" s="5"/>
      <c r="D5" s="5"/>
      <c r="E5" s="6"/>
      <c r="F5" s="7"/>
      <c r="G5" s="6"/>
      <c r="H5" s="6"/>
      <c r="I5" s="6"/>
      <c r="J5" s="5"/>
      <c r="K5" s="5"/>
      <c r="L5" s="5"/>
      <c r="M5" s="5"/>
    </row>
    <row r="6" spans="1:13" ht="15.75" thickBot="1" x14ac:dyDescent="0.3">
      <c r="A6" s="5"/>
      <c r="B6" s="5"/>
      <c r="C6" s="5"/>
      <c r="D6" s="5"/>
      <c r="E6" s="6"/>
      <c r="F6" s="6"/>
      <c r="G6" s="6"/>
      <c r="H6" s="6"/>
      <c r="I6" s="6"/>
      <c r="J6" s="5"/>
      <c r="K6" s="5"/>
      <c r="L6" s="127" t="s">
        <v>79</v>
      </c>
      <c r="M6" s="128"/>
    </row>
    <row r="7" spans="1:13" ht="15.75" thickBot="1" x14ac:dyDescent="0.3">
      <c r="A7" s="114" t="s">
        <v>3</v>
      </c>
      <c r="B7" s="120" t="s">
        <v>7</v>
      </c>
      <c r="C7" s="120" t="s">
        <v>4</v>
      </c>
      <c r="D7" s="120"/>
      <c r="E7" s="120"/>
      <c r="F7" s="120"/>
      <c r="G7" s="120"/>
      <c r="H7" s="120" t="s">
        <v>5</v>
      </c>
      <c r="I7" s="120"/>
      <c r="J7" s="120"/>
      <c r="K7" s="53"/>
      <c r="L7" s="53" t="s">
        <v>6</v>
      </c>
      <c r="M7" s="126" t="s">
        <v>1</v>
      </c>
    </row>
    <row r="8" spans="1:13" ht="15.75" thickBot="1" x14ac:dyDescent="0.3">
      <c r="A8" s="114"/>
      <c r="B8" s="120"/>
      <c r="C8" s="53" t="s">
        <v>15</v>
      </c>
      <c r="D8" s="53" t="s">
        <v>16</v>
      </c>
      <c r="E8" s="53" t="s">
        <v>17</v>
      </c>
      <c r="F8" s="53" t="s">
        <v>18</v>
      </c>
      <c r="G8" s="53" t="s">
        <v>19</v>
      </c>
      <c r="H8" s="53" t="s">
        <v>20</v>
      </c>
      <c r="I8" s="53" t="s">
        <v>21</v>
      </c>
      <c r="J8" s="53" t="s">
        <v>22</v>
      </c>
      <c r="K8" s="53" t="s">
        <v>23</v>
      </c>
      <c r="L8" s="53" t="s">
        <v>25</v>
      </c>
      <c r="M8" s="126"/>
    </row>
    <row r="9" spans="1:13" ht="15.75" thickBot="1" x14ac:dyDescent="0.3">
      <c r="A9" s="114"/>
      <c r="B9" s="120"/>
      <c r="C9" s="115" t="s">
        <v>26</v>
      </c>
      <c r="D9" s="115" t="s">
        <v>27</v>
      </c>
      <c r="E9" s="115" t="s">
        <v>28</v>
      </c>
      <c r="F9" s="115" t="s">
        <v>29</v>
      </c>
      <c r="G9" s="115" t="s">
        <v>30</v>
      </c>
      <c r="H9" s="115" t="s">
        <v>31</v>
      </c>
      <c r="I9" s="115" t="s">
        <v>32</v>
      </c>
      <c r="J9" s="115" t="s">
        <v>24</v>
      </c>
      <c r="K9" s="115" t="s">
        <v>33</v>
      </c>
      <c r="L9" s="115" t="s">
        <v>10</v>
      </c>
      <c r="M9" s="126"/>
    </row>
    <row r="10" spans="1:13" ht="15.75" thickBot="1" x14ac:dyDescent="0.3">
      <c r="A10" s="114"/>
      <c r="B10" s="120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26"/>
    </row>
    <row r="11" spans="1:13" ht="15.75" thickBot="1" x14ac:dyDescent="0.3">
      <c r="A11" s="114"/>
      <c r="B11" s="120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26"/>
    </row>
    <row r="12" spans="1:13" ht="15.75" thickBot="1" x14ac:dyDescent="0.3">
      <c r="A12" s="129" t="s">
        <v>34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1"/>
    </row>
    <row r="13" spans="1:13" x14ac:dyDescent="0.25">
      <c r="A13" s="132" t="s">
        <v>36</v>
      </c>
      <c r="B13" s="37" t="s">
        <v>80</v>
      </c>
      <c r="C13" s="42">
        <v>2513353</v>
      </c>
      <c r="D13" s="42">
        <v>466704</v>
      </c>
      <c r="E13" s="43">
        <v>7588504</v>
      </c>
      <c r="F13" s="43"/>
      <c r="G13" s="44"/>
      <c r="H13" s="44">
        <v>500000</v>
      </c>
      <c r="I13" s="44"/>
      <c r="J13" s="45"/>
      <c r="K13" s="45"/>
      <c r="L13" s="45"/>
      <c r="M13" s="38">
        <f>SUM(C13:L13)</f>
        <v>11068561</v>
      </c>
    </row>
    <row r="14" spans="1:13" x14ac:dyDescent="0.25">
      <c r="A14" s="132"/>
      <c r="B14" s="9"/>
      <c r="C14" s="42"/>
      <c r="D14" s="45"/>
      <c r="E14" s="46"/>
      <c r="F14" s="43"/>
      <c r="G14" s="44"/>
      <c r="H14" s="43"/>
      <c r="I14" s="46"/>
      <c r="J14" s="45"/>
      <c r="K14" s="45"/>
      <c r="L14" s="45"/>
      <c r="M14" s="8"/>
    </row>
    <row r="15" spans="1:13" x14ac:dyDescent="0.25">
      <c r="A15" s="133"/>
      <c r="B15" s="10" t="s">
        <v>81</v>
      </c>
      <c r="C15" s="47">
        <f>C13+0</f>
        <v>2513353</v>
      </c>
      <c r="D15" s="47">
        <f>D13+0</f>
        <v>466704</v>
      </c>
      <c r="E15" s="48">
        <f>E13+0</f>
        <v>7588504</v>
      </c>
      <c r="F15" s="49"/>
      <c r="G15" s="50"/>
      <c r="H15" s="49">
        <f>H13+0</f>
        <v>500000</v>
      </c>
      <c r="I15" s="48"/>
      <c r="J15" s="47"/>
      <c r="K15" s="47"/>
      <c r="L15" s="47"/>
      <c r="M15" s="11">
        <f>SUM(C15:L15)</f>
        <v>11068561</v>
      </c>
    </row>
    <row r="16" spans="1:13" x14ac:dyDescent="0.25">
      <c r="A16" s="134" t="s">
        <v>37</v>
      </c>
      <c r="B16" s="37" t="s">
        <v>80</v>
      </c>
      <c r="C16" s="42">
        <v>44263501</v>
      </c>
      <c r="D16" s="42">
        <v>8302892</v>
      </c>
      <c r="E16" s="43">
        <v>4776414</v>
      </c>
      <c r="F16" s="43"/>
      <c r="G16" s="44"/>
      <c r="H16" s="44">
        <v>0</v>
      </c>
      <c r="I16" s="44"/>
      <c r="J16" s="45"/>
      <c r="K16" s="45"/>
      <c r="L16" s="45"/>
      <c r="M16" s="38">
        <f>SUM(C16:L16)</f>
        <v>57342807</v>
      </c>
    </row>
    <row r="17" spans="1:13" x14ac:dyDescent="0.25">
      <c r="A17" s="132"/>
      <c r="B17" s="9"/>
      <c r="C17" s="42"/>
      <c r="D17" s="45"/>
      <c r="E17" s="46"/>
      <c r="F17" s="43"/>
      <c r="G17" s="44"/>
      <c r="H17" s="43"/>
      <c r="I17" s="46"/>
      <c r="J17" s="45"/>
      <c r="K17" s="45"/>
      <c r="L17" s="45"/>
      <c r="M17" s="8"/>
    </row>
    <row r="18" spans="1:13" x14ac:dyDescent="0.25">
      <c r="A18" s="133"/>
      <c r="B18" s="10" t="s">
        <v>81</v>
      </c>
      <c r="C18" s="47">
        <f>C16+0</f>
        <v>44263501</v>
      </c>
      <c r="D18" s="47">
        <f>D16+0</f>
        <v>8302892</v>
      </c>
      <c r="E18" s="48">
        <f>E16+0</f>
        <v>4776414</v>
      </c>
      <c r="F18" s="49"/>
      <c r="G18" s="50"/>
      <c r="H18" s="49">
        <f>H16+600000+270375</f>
        <v>870375</v>
      </c>
      <c r="I18" s="48"/>
      <c r="J18" s="47"/>
      <c r="K18" s="47"/>
      <c r="L18" s="47"/>
      <c r="M18" s="11">
        <f>SUM(C18:L18)</f>
        <v>58213182</v>
      </c>
    </row>
    <row r="19" spans="1:13" ht="15.75" x14ac:dyDescent="0.25">
      <c r="A19" s="123" t="s">
        <v>1</v>
      </c>
      <c r="B19" s="65" t="s">
        <v>80</v>
      </c>
      <c r="C19" s="22">
        <f t="shared" ref="C19:H19" si="0">SUM(C13+C16)</f>
        <v>46776854</v>
      </c>
      <c r="D19" s="22">
        <f t="shared" si="0"/>
        <v>8769596</v>
      </c>
      <c r="E19" s="22">
        <f t="shared" si="0"/>
        <v>12364918</v>
      </c>
      <c r="F19" s="22">
        <f t="shared" si="0"/>
        <v>0</v>
      </c>
      <c r="G19" s="22">
        <f t="shared" si="0"/>
        <v>0</v>
      </c>
      <c r="H19" s="22">
        <f t="shared" si="0"/>
        <v>500000</v>
      </c>
      <c r="I19" s="22">
        <f t="shared" ref="I19:L19" si="1">SUM(I13+I16)</f>
        <v>0</v>
      </c>
      <c r="J19" s="22">
        <f t="shared" si="1"/>
        <v>0</v>
      </c>
      <c r="K19" s="22">
        <f t="shared" si="1"/>
        <v>0</v>
      </c>
      <c r="L19" s="22">
        <f t="shared" si="1"/>
        <v>0</v>
      </c>
      <c r="M19" s="22">
        <f>SUM(C19:L19)</f>
        <v>68411368</v>
      </c>
    </row>
    <row r="20" spans="1:13" ht="15.75" x14ac:dyDescent="0.25">
      <c r="A20" s="124"/>
      <c r="B20" s="66"/>
      <c r="C20" s="22"/>
      <c r="D20" s="22"/>
      <c r="E20" s="24"/>
      <c r="F20" s="24"/>
      <c r="G20" s="24"/>
      <c r="H20" s="24"/>
      <c r="I20" s="24"/>
      <c r="J20" s="22"/>
      <c r="K20" s="22"/>
      <c r="L20" s="22"/>
      <c r="M20" s="23"/>
    </row>
    <row r="21" spans="1:13" ht="15.75" x14ac:dyDescent="0.25">
      <c r="A21" s="125"/>
      <c r="B21" s="67" t="s">
        <v>81</v>
      </c>
      <c r="C21" s="25">
        <f t="shared" ref="C21:H21" si="2">SUM(C15+C18)</f>
        <v>46776854</v>
      </c>
      <c r="D21" s="25">
        <f t="shared" si="2"/>
        <v>8769596</v>
      </c>
      <c r="E21" s="25">
        <f t="shared" si="2"/>
        <v>12364918</v>
      </c>
      <c r="F21" s="25">
        <f t="shared" si="2"/>
        <v>0</v>
      </c>
      <c r="G21" s="25">
        <f t="shared" si="2"/>
        <v>0</v>
      </c>
      <c r="H21" s="25">
        <f t="shared" si="2"/>
        <v>1370375</v>
      </c>
      <c r="I21" s="25">
        <f t="shared" ref="I21:L21" si="3">SUM(I15+I18)</f>
        <v>0</v>
      </c>
      <c r="J21" s="25">
        <f t="shared" si="3"/>
        <v>0</v>
      </c>
      <c r="K21" s="25">
        <f t="shared" si="3"/>
        <v>0</v>
      </c>
      <c r="L21" s="25">
        <f t="shared" si="3"/>
        <v>0</v>
      </c>
      <c r="M21" s="23">
        <f>SUM(C21:L21)</f>
        <v>69281743</v>
      </c>
    </row>
    <row r="24" spans="1:13" s="2" customFormat="1" x14ac:dyDescent="0.25">
      <c r="A24" s="1" t="s">
        <v>131</v>
      </c>
      <c r="B24" s="3"/>
      <c r="C24" s="59"/>
      <c r="D24" s="59"/>
    </row>
    <row r="25" spans="1:13" s="2" customFormat="1" x14ac:dyDescent="0.25">
      <c r="A25" s="3"/>
      <c r="B25" s="3"/>
      <c r="C25" s="59"/>
      <c r="D25" s="59"/>
    </row>
    <row r="26" spans="1:13" s="2" customFormat="1" x14ac:dyDescent="0.25">
      <c r="A26" s="3"/>
      <c r="B26" s="3"/>
      <c r="C26" s="59"/>
      <c r="D26" s="59"/>
    </row>
    <row r="27" spans="1:13" s="2" customFormat="1" x14ac:dyDescent="0.25">
      <c r="A27" s="3"/>
      <c r="B27" s="3"/>
      <c r="C27" s="3"/>
      <c r="D27" s="59"/>
      <c r="E27" s="122" t="s">
        <v>13</v>
      </c>
      <c r="F27" s="122"/>
      <c r="I27" s="121" t="s">
        <v>11</v>
      </c>
      <c r="J27" s="121"/>
    </row>
    <row r="28" spans="1:13" s="2" customFormat="1" x14ac:dyDescent="0.25">
      <c r="A28" s="3"/>
      <c r="B28" s="3"/>
      <c r="C28" s="3"/>
      <c r="D28" s="59"/>
      <c r="E28" s="122" t="s">
        <v>14</v>
      </c>
      <c r="F28" s="122"/>
      <c r="I28" s="121" t="s">
        <v>12</v>
      </c>
      <c r="J28" s="121"/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</sheetData>
  <mergeCells count="26">
    <mergeCell ref="E27:F27"/>
    <mergeCell ref="I27:J27"/>
    <mergeCell ref="E28:F28"/>
    <mergeCell ref="I28:J28"/>
    <mergeCell ref="F9:F11"/>
    <mergeCell ref="H9:H11"/>
    <mergeCell ref="I9:I11"/>
    <mergeCell ref="J9:J11"/>
    <mergeCell ref="G9:G11"/>
    <mergeCell ref="A12:M12"/>
    <mergeCell ref="A19:A21"/>
    <mergeCell ref="A13:A15"/>
    <mergeCell ref="A16:A18"/>
    <mergeCell ref="A1:M1"/>
    <mergeCell ref="A4:M4"/>
    <mergeCell ref="L6:M6"/>
    <mergeCell ref="A7:A11"/>
    <mergeCell ref="B7:B11"/>
    <mergeCell ref="C7:G7"/>
    <mergeCell ref="H7:J7"/>
    <mergeCell ref="M7:M11"/>
    <mergeCell ref="C9:C11"/>
    <mergeCell ref="D9:D11"/>
    <mergeCell ref="E9:E11"/>
    <mergeCell ref="L9:L11"/>
    <mergeCell ref="K9:K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40"/>
  <sheetViews>
    <sheetView topLeftCell="A28" zoomScaleNormal="100" workbookViewId="0">
      <selection activeCell="A34" sqref="A34:XFD34"/>
    </sheetView>
  </sheetViews>
  <sheetFormatPr defaultRowHeight="15" x14ac:dyDescent="0.25"/>
  <cols>
    <col min="1" max="1" width="12.7109375" customWidth="1"/>
    <col min="2" max="2" width="14.5703125" bestFit="1" customWidth="1"/>
    <col min="3" max="3" width="11" customWidth="1"/>
    <col min="4" max="4" width="10.5703125" customWidth="1"/>
    <col min="5" max="5" width="12.28515625" customWidth="1"/>
    <col min="10" max="11" width="10" customWidth="1"/>
    <col min="12" max="12" width="10.28515625" customWidth="1"/>
    <col min="13" max="13" width="11.28515625" bestFit="1" customWidth="1"/>
  </cols>
  <sheetData>
    <row r="1" spans="1:13" ht="24.75" customHeight="1" x14ac:dyDescent="0.25">
      <c r="A1" s="111" t="s">
        <v>132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3" x14ac:dyDescent="0.25">
      <c r="A2" s="20" t="s">
        <v>83</v>
      </c>
      <c r="B2" s="20"/>
      <c r="C2" s="20"/>
      <c r="D2" s="20"/>
      <c r="E2" s="21"/>
      <c r="F2" s="21"/>
      <c r="G2" s="21"/>
      <c r="H2" s="21"/>
      <c r="I2" s="21"/>
      <c r="J2" s="20"/>
      <c r="K2" s="20"/>
      <c r="L2" s="20"/>
      <c r="M2" s="20"/>
    </row>
    <row r="3" spans="1:13" ht="15" customHeight="1" x14ac:dyDescent="0.25">
      <c r="A3" s="5"/>
      <c r="B3" s="5"/>
      <c r="C3" s="5"/>
      <c r="D3" s="5"/>
      <c r="E3" s="6"/>
      <c r="F3" s="6"/>
      <c r="G3" s="6"/>
      <c r="H3" s="6"/>
      <c r="I3" s="6"/>
      <c r="J3" s="5"/>
      <c r="K3" s="5"/>
      <c r="L3" s="5"/>
      <c r="M3" s="5"/>
    </row>
    <row r="4" spans="1:13" ht="15.75" x14ac:dyDescent="0.25">
      <c r="A4" s="118" t="s">
        <v>84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3" x14ac:dyDescent="0.25">
      <c r="A5" s="5"/>
      <c r="B5" s="5"/>
      <c r="C5" s="5"/>
      <c r="D5" s="5"/>
      <c r="E5" s="6"/>
      <c r="F5" s="7"/>
      <c r="G5" s="6"/>
      <c r="H5" s="6"/>
      <c r="I5" s="6"/>
      <c r="J5" s="5"/>
      <c r="K5" s="5"/>
      <c r="L5" s="5"/>
      <c r="M5" s="5"/>
    </row>
    <row r="6" spans="1:13" ht="15.75" thickBot="1" x14ac:dyDescent="0.3">
      <c r="A6" s="5"/>
      <c r="B6" s="5"/>
      <c r="C6" s="5"/>
      <c r="D6" s="5"/>
      <c r="E6" s="6"/>
      <c r="F6" s="6"/>
      <c r="G6" s="6"/>
      <c r="H6" s="6"/>
      <c r="I6" s="6"/>
      <c r="J6" s="5"/>
      <c r="K6" s="5"/>
      <c r="L6" s="127" t="s">
        <v>79</v>
      </c>
      <c r="M6" s="128"/>
    </row>
    <row r="7" spans="1:13" ht="15.75" thickBot="1" x14ac:dyDescent="0.3">
      <c r="A7" s="114" t="s">
        <v>3</v>
      </c>
      <c r="B7" s="120" t="s">
        <v>7</v>
      </c>
      <c r="C7" s="120" t="s">
        <v>4</v>
      </c>
      <c r="D7" s="120"/>
      <c r="E7" s="120"/>
      <c r="F7" s="120"/>
      <c r="G7" s="120"/>
      <c r="H7" s="120" t="s">
        <v>5</v>
      </c>
      <c r="I7" s="120"/>
      <c r="J7" s="120"/>
      <c r="K7" s="63"/>
      <c r="L7" s="63" t="s">
        <v>6</v>
      </c>
      <c r="M7" s="126" t="s">
        <v>1</v>
      </c>
    </row>
    <row r="8" spans="1:13" ht="15.75" thickBot="1" x14ac:dyDescent="0.3">
      <c r="A8" s="114"/>
      <c r="B8" s="120"/>
      <c r="C8" s="63" t="s">
        <v>15</v>
      </c>
      <c r="D8" s="63" t="s">
        <v>16</v>
      </c>
      <c r="E8" s="63" t="s">
        <v>17</v>
      </c>
      <c r="F8" s="63" t="s">
        <v>18</v>
      </c>
      <c r="G8" s="63" t="s">
        <v>19</v>
      </c>
      <c r="H8" s="63" t="s">
        <v>20</v>
      </c>
      <c r="I8" s="63" t="s">
        <v>21</v>
      </c>
      <c r="J8" s="63" t="s">
        <v>22</v>
      </c>
      <c r="K8" s="63" t="s">
        <v>23</v>
      </c>
      <c r="L8" s="63" t="s">
        <v>25</v>
      </c>
      <c r="M8" s="126"/>
    </row>
    <row r="9" spans="1:13" ht="15.75" thickBot="1" x14ac:dyDescent="0.3">
      <c r="A9" s="114"/>
      <c r="B9" s="120"/>
      <c r="C9" s="115" t="s">
        <v>26</v>
      </c>
      <c r="D9" s="115" t="s">
        <v>27</v>
      </c>
      <c r="E9" s="115" t="s">
        <v>28</v>
      </c>
      <c r="F9" s="115" t="s">
        <v>29</v>
      </c>
      <c r="G9" s="115" t="s">
        <v>30</v>
      </c>
      <c r="H9" s="115" t="s">
        <v>31</v>
      </c>
      <c r="I9" s="115" t="s">
        <v>32</v>
      </c>
      <c r="J9" s="115" t="s">
        <v>24</v>
      </c>
      <c r="K9" s="115" t="s">
        <v>33</v>
      </c>
      <c r="L9" s="115" t="s">
        <v>10</v>
      </c>
      <c r="M9" s="126"/>
    </row>
    <row r="10" spans="1:13" ht="15.75" thickBot="1" x14ac:dyDescent="0.3">
      <c r="A10" s="114"/>
      <c r="B10" s="120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26"/>
    </row>
    <row r="11" spans="1:13" ht="15.75" thickBot="1" x14ac:dyDescent="0.3">
      <c r="A11" s="114"/>
      <c r="B11" s="120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26"/>
    </row>
    <row r="12" spans="1:13" ht="15.75" thickBot="1" x14ac:dyDescent="0.3">
      <c r="A12" s="129" t="s">
        <v>34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1"/>
    </row>
    <row r="13" spans="1:13" x14ac:dyDescent="0.25">
      <c r="A13" s="132" t="s">
        <v>60</v>
      </c>
      <c r="B13" s="37" t="s">
        <v>80</v>
      </c>
      <c r="C13" s="42">
        <v>8382101</v>
      </c>
      <c r="D13" s="42">
        <v>1540910</v>
      </c>
      <c r="E13" s="43">
        <v>717550</v>
      </c>
      <c r="F13" s="43"/>
      <c r="G13" s="44"/>
      <c r="H13" s="44"/>
      <c r="I13" s="44"/>
      <c r="J13" s="45"/>
      <c r="K13" s="45"/>
      <c r="L13" s="45"/>
      <c r="M13" s="38">
        <f>SUM(C13:L13)</f>
        <v>10640561</v>
      </c>
    </row>
    <row r="14" spans="1:13" x14ac:dyDescent="0.25">
      <c r="A14" s="132"/>
      <c r="B14" s="9"/>
      <c r="C14" s="42"/>
      <c r="D14" s="45"/>
      <c r="E14" s="46"/>
      <c r="F14" s="43"/>
      <c r="G14" s="44"/>
      <c r="H14" s="43"/>
      <c r="I14" s="46"/>
      <c r="J14" s="45"/>
      <c r="K14" s="45"/>
      <c r="L14" s="45"/>
      <c r="M14" s="8"/>
    </row>
    <row r="15" spans="1:13" x14ac:dyDescent="0.25">
      <c r="A15" s="133"/>
      <c r="B15" s="10" t="s">
        <v>81</v>
      </c>
      <c r="C15" s="47">
        <f>C13+(13800*7)</f>
        <v>8478701</v>
      </c>
      <c r="D15" s="47">
        <f>D13+(13800*0.195*6)+(13800*0.175*7)</f>
        <v>1573961</v>
      </c>
      <c r="E15" s="48">
        <f>E13+0</f>
        <v>717550</v>
      </c>
      <c r="F15" s="49"/>
      <c r="G15" s="50"/>
      <c r="H15" s="49"/>
      <c r="I15" s="48"/>
      <c r="J15" s="47"/>
      <c r="K15" s="47"/>
      <c r="L15" s="47"/>
      <c r="M15" s="11">
        <f>SUM(C15:L15)</f>
        <v>10770212</v>
      </c>
    </row>
    <row r="16" spans="1:13" x14ac:dyDescent="0.25">
      <c r="A16" s="134" t="s">
        <v>61</v>
      </c>
      <c r="B16" s="37" t="s">
        <v>80</v>
      </c>
      <c r="C16" s="42">
        <v>9424335</v>
      </c>
      <c r="D16" s="42">
        <v>1723787</v>
      </c>
      <c r="E16" s="43">
        <v>1880496</v>
      </c>
      <c r="F16" s="43"/>
      <c r="G16" s="44"/>
      <c r="H16" s="44"/>
      <c r="I16" s="44"/>
      <c r="J16" s="45"/>
      <c r="K16" s="45"/>
      <c r="L16" s="45"/>
      <c r="M16" s="38">
        <f>SUM(C16:L16)</f>
        <v>13028618</v>
      </c>
    </row>
    <row r="17" spans="1:13" x14ac:dyDescent="0.25">
      <c r="A17" s="132"/>
      <c r="B17" s="9"/>
      <c r="C17" s="42"/>
      <c r="D17" s="45"/>
      <c r="E17" s="46"/>
      <c r="F17" s="43"/>
      <c r="G17" s="44"/>
      <c r="H17" s="43"/>
      <c r="I17" s="46"/>
      <c r="J17" s="45"/>
      <c r="K17" s="45"/>
      <c r="L17" s="45"/>
      <c r="M17" s="8"/>
    </row>
    <row r="18" spans="1:13" x14ac:dyDescent="0.25">
      <c r="A18" s="133"/>
      <c r="B18" s="10" t="s">
        <v>81</v>
      </c>
      <c r="C18" s="47">
        <f>C16+(238105*7)+(19900*7)+12762-12339</f>
        <v>11230793</v>
      </c>
      <c r="D18" s="47">
        <f>D16+(238105*0.195*6)+(238105*0.175*1)+(19900*0.195*6)+(19900*0.175*1)-5256-2160</f>
        <v>2063387.7250000001</v>
      </c>
      <c r="E18" s="48">
        <f>E16+30000</f>
        <v>1910496</v>
      </c>
      <c r="F18" s="49"/>
      <c r="G18" s="50"/>
      <c r="H18" s="49"/>
      <c r="I18" s="48"/>
      <c r="J18" s="47"/>
      <c r="K18" s="47"/>
      <c r="L18" s="47"/>
      <c r="M18" s="11">
        <f>SUM(C18:L18)</f>
        <v>15204676.725</v>
      </c>
    </row>
    <row r="19" spans="1:13" x14ac:dyDescent="0.25">
      <c r="A19" s="134" t="s">
        <v>62</v>
      </c>
      <c r="B19" s="37" t="s">
        <v>80</v>
      </c>
      <c r="C19" s="68">
        <v>5445803</v>
      </c>
      <c r="D19" s="68">
        <v>979821</v>
      </c>
      <c r="E19" s="69">
        <v>7662504</v>
      </c>
      <c r="F19" s="70"/>
      <c r="G19" s="71"/>
      <c r="H19" s="70">
        <v>0</v>
      </c>
      <c r="I19" s="69"/>
      <c r="J19" s="68"/>
      <c r="K19" s="68"/>
      <c r="L19" s="68"/>
      <c r="M19" s="38">
        <f>SUM(C19:L19)</f>
        <v>14088128</v>
      </c>
    </row>
    <row r="20" spans="1:13" x14ac:dyDescent="0.25">
      <c r="A20" s="132"/>
      <c r="B20" s="9"/>
      <c r="C20" s="45"/>
      <c r="D20" s="45"/>
      <c r="E20" s="46"/>
      <c r="F20" s="43"/>
      <c r="G20" s="44"/>
      <c r="H20" s="43"/>
      <c r="I20" s="46"/>
      <c r="J20" s="45"/>
      <c r="K20" s="45"/>
      <c r="L20" s="45"/>
      <c r="M20" s="8"/>
    </row>
    <row r="21" spans="1:13" ht="44.25" customHeight="1" x14ac:dyDescent="0.25">
      <c r="A21" s="133"/>
      <c r="B21" s="10" t="s">
        <v>81</v>
      </c>
      <c r="C21" s="47">
        <f>C19+(24800*7)</f>
        <v>5619403</v>
      </c>
      <c r="D21" s="47">
        <f>D19+(24800*0.195*6)+(24800*0.175*1)</f>
        <v>1013177</v>
      </c>
      <c r="E21" s="48">
        <f>E19</f>
        <v>7662504</v>
      </c>
      <c r="F21" s="49"/>
      <c r="G21" s="50"/>
      <c r="H21" s="49">
        <f>H19+59000</f>
        <v>59000</v>
      </c>
      <c r="I21" s="48"/>
      <c r="J21" s="47"/>
      <c r="K21" s="47"/>
      <c r="L21" s="47"/>
      <c r="M21" s="11">
        <f>SUM(C21:L21)</f>
        <v>14354084</v>
      </c>
    </row>
    <row r="22" spans="1:13" x14ac:dyDescent="0.25">
      <c r="A22" s="134" t="s">
        <v>63</v>
      </c>
      <c r="B22" s="37" t="s">
        <v>80</v>
      </c>
      <c r="C22" s="68">
        <v>5178723</v>
      </c>
      <c r="D22" s="68">
        <v>933021</v>
      </c>
      <c r="E22" s="69">
        <v>418757</v>
      </c>
      <c r="F22" s="70"/>
      <c r="G22" s="71"/>
      <c r="H22" s="70"/>
      <c r="I22" s="69"/>
      <c r="J22" s="68"/>
      <c r="K22" s="68"/>
      <c r="L22" s="68"/>
      <c r="M22" s="38">
        <f>SUM(C22:L22)</f>
        <v>6530501</v>
      </c>
    </row>
    <row r="23" spans="1:13" x14ac:dyDescent="0.25">
      <c r="A23" s="132"/>
      <c r="B23" s="9"/>
      <c r="C23" s="45"/>
      <c r="D23" s="45"/>
      <c r="E23" s="46"/>
      <c r="F23" s="43"/>
      <c r="G23" s="44"/>
      <c r="H23" s="43"/>
      <c r="I23" s="46"/>
      <c r="J23" s="45"/>
      <c r="K23" s="45"/>
      <c r="L23" s="45"/>
      <c r="M23" s="8"/>
    </row>
    <row r="24" spans="1:13" x14ac:dyDescent="0.25">
      <c r="A24" s="133"/>
      <c r="B24" s="10" t="s">
        <v>81</v>
      </c>
      <c r="C24" s="47">
        <f>C22+(53003*7)</f>
        <v>5549744</v>
      </c>
      <c r="D24" s="47">
        <f>D22+(53003*0.195*6)+(53003*0.175*1)</f>
        <v>1004310.035</v>
      </c>
      <c r="E24" s="48">
        <f>E22+0</f>
        <v>418757</v>
      </c>
      <c r="F24" s="49"/>
      <c r="G24" s="50"/>
      <c r="H24" s="49"/>
      <c r="I24" s="48"/>
      <c r="J24" s="47"/>
      <c r="K24" s="47"/>
      <c r="L24" s="47"/>
      <c r="M24" s="11">
        <f>SUM(C24:L24)</f>
        <v>6972811.0350000001</v>
      </c>
    </row>
    <row r="25" spans="1:13" x14ac:dyDescent="0.25">
      <c r="A25" s="134" t="s">
        <v>128</v>
      </c>
      <c r="B25" s="37" t="s">
        <v>80</v>
      </c>
      <c r="C25" s="45">
        <v>2511056</v>
      </c>
      <c r="D25" s="45">
        <v>466158</v>
      </c>
      <c r="E25" s="46">
        <v>6384862</v>
      </c>
      <c r="F25" s="43"/>
      <c r="G25" s="44"/>
      <c r="H25" s="43"/>
      <c r="I25" s="46"/>
      <c r="J25" s="45"/>
      <c r="K25" s="45"/>
      <c r="L25" s="45"/>
      <c r="M25" s="38">
        <f>SUM(C25:L25)</f>
        <v>9362076</v>
      </c>
    </row>
    <row r="26" spans="1:13" x14ac:dyDescent="0.25">
      <c r="A26" s="132"/>
      <c r="B26" s="9"/>
      <c r="C26" s="45"/>
      <c r="D26" s="45"/>
      <c r="E26" s="46"/>
      <c r="F26" s="43"/>
      <c r="G26" s="44"/>
      <c r="H26" s="43"/>
      <c r="I26" s="46"/>
      <c r="J26" s="45"/>
      <c r="K26" s="45"/>
      <c r="L26" s="45"/>
      <c r="M26" s="8"/>
    </row>
    <row r="27" spans="1:13" x14ac:dyDescent="0.25">
      <c r="A27" s="133"/>
      <c r="B27" s="10" t="s">
        <v>81</v>
      </c>
      <c r="C27" s="45">
        <f>C25+0</f>
        <v>2511056</v>
      </c>
      <c r="D27" s="45">
        <f>D25+0</f>
        <v>466158</v>
      </c>
      <c r="E27" s="46">
        <f>E25+0</f>
        <v>6384862</v>
      </c>
      <c r="F27" s="43"/>
      <c r="G27" s="44"/>
      <c r="H27" s="43"/>
      <c r="I27" s="46"/>
      <c r="J27" s="45"/>
      <c r="K27" s="45"/>
      <c r="L27" s="45"/>
      <c r="M27" s="11">
        <f>SUM(C27:L27)</f>
        <v>9362076</v>
      </c>
    </row>
    <row r="28" spans="1:13" x14ac:dyDescent="0.25">
      <c r="A28" s="132" t="s">
        <v>85</v>
      </c>
      <c r="B28" s="37" t="s">
        <v>80</v>
      </c>
      <c r="C28" s="68">
        <v>4738006</v>
      </c>
      <c r="D28" s="68">
        <v>461956</v>
      </c>
      <c r="E28" s="69"/>
      <c r="F28" s="70"/>
      <c r="G28" s="71"/>
      <c r="H28" s="70"/>
      <c r="I28" s="69"/>
      <c r="J28" s="68"/>
      <c r="K28" s="68"/>
      <c r="L28" s="68"/>
      <c r="M28" s="38">
        <f>SUM(C28:L28)</f>
        <v>5199962</v>
      </c>
    </row>
    <row r="29" spans="1:13" x14ac:dyDescent="0.25">
      <c r="A29" s="132"/>
      <c r="B29" s="9"/>
      <c r="C29" s="45"/>
      <c r="D29" s="45"/>
      <c r="E29" s="46"/>
      <c r="F29" s="43"/>
      <c r="G29" s="44"/>
      <c r="H29" s="43"/>
      <c r="I29" s="46"/>
      <c r="J29" s="45"/>
      <c r="K29" s="45"/>
      <c r="L29" s="45"/>
      <c r="M29" s="8"/>
    </row>
    <row r="30" spans="1:13" x14ac:dyDescent="0.25">
      <c r="A30" s="132"/>
      <c r="B30" s="10" t="s">
        <v>81</v>
      </c>
      <c r="C30" s="45">
        <f>C28+0</f>
        <v>4738006</v>
      </c>
      <c r="D30" s="45">
        <f>D28+0</f>
        <v>461956</v>
      </c>
      <c r="E30" s="46"/>
      <c r="F30" s="43"/>
      <c r="G30" s="44"/>
      <c r="H30" s="43"/>
      <c r="I30" s="46"/>
      <c r="J30" s="45"/>
      <c r="K30" s="45"/>
      <c r="L30" s="45"/>
      <c r="M30" s="11">
        <f>SUM(C30:L30)</f>
        <v>5199962</v>
      </c>
    </row>
    <row r="31" spans="1:13" ht="15.75" x14ac:dyDescent="0.25">
      <c r="A31" s="123" t="s">
        <v>1</v>
      </c>
      <c r="B31" s="65" t="s">
        <v>80</v>
      </c>
      <c r="C31" s="22">
        <f>SUM(C13+C16)+C19+C22+C25+C28</f>
        <v>35680024</v>
      </c>
      <c r="D31" s="22">
        <f t="shared" ref="D31:L31" si="0">SUM(D13+D16)+D19+D22+D25+D28</f>
        <v>6105653</v>
      </c>
      <c r="E31" s="22">
        <f t="shared" si="0"/>
        <v>17064169</v>
      </c>
      <c r="F31" s="22">
        <f t="shared" si="0"/>
        <v>0</v>
      </c>
      <c r="G31" s="22">
        <f t="shared" si="0"/>
        <v>0</v>
      </c>
      <c r="H31" s="22">
        <f>SUM(H13+H16)+H19+H22+H25+H28</f>
        <v>0</v>
      </c>
      <c r="I31" s="22">
        <f t="shared" si="0"/>
        <v>0</v>
      </c>
      <c r="J31" s="22">
        <f t="shared" si="0"/>
        <v>0</v>
      </c>
      <c r="K31" s="22">
        <f t="shared" si="0"/>
        <v>0</v>
      </c>
      <c r="L31" s="22">
        <f t="shared" si="0"/>
        <v>0</v>
      </c>
      <c r="M31" s="22">
        <f>SUM(C31:L31)</f>
        <v>58849846</v>
      </c>
    </row>
    <row r="32" spans="1:13" ht="15.75" x14ac:dyDescent="0.25">
      <c r="A32" s="124"/>
      <c r="B32" s="66"/>
      <c r="C32" s="22"/>
      <c r="D32" s="22"/>
      <c r="E32" s="24"/>
      <c r="F32" s="24"/>
      <c r="G32" s="24"/>
      <c r="H32" s="24"/>
      <c r="I32" s="24"/>
      <c r="J32" s="22"/>
      <c r="K32" s="22"/>
      <c r="L32" s="22"/>
      <c r="M32" s="23"/>
    </row>
    <row r="33" spans="1:13" ht="15.75" x14ac:dyDescent="0.25">
      <c r="A33" s="125"/>
      <c r="B33" s="67" t="s">
        <v>81</v>
      </c>
      <c r="C33" s="25">
        <f>+C15+C18+C21+C24+C27+C30</f>
        <v>38127703</v>
      </c>
      <c r="D33" s="25">
        <f t="shared" ref="D33:L33" si="1">+D15+D18+D21+D24+D27+D30</f>
        <v>6582949.7599999998</v>
      </c>
      <c r="E33" s="25">
        <f t="shared" si="1"/>
        <v>17094169</v>
      </c>
      <c r="F33" s="25">
        <f t="shared" si="1"/>
        <v>0</v>
      </c>
      <c r="G33" s="25">
        <f t="shared" si="1"/>
        <v>0</v>
      </c>
      <c r="H33" s="25">
        <f>+H15+H18+H21+H24+H27+H30</f>
        <v>59000</v>
      </c>
      <c r="I33" s="25">
        <f t="shared" si="1"/>
        <v>0</v>
      </c>
      <c r="J33" s="25">
        <f t="shared" si="1"/>
        <v>0</v>
      </c>
      <c r="K33" s="25">
        <f t="shared" si="1"/>
        <v>0</v>
      </c>
      <c r="L33" s="25">
        <f t="shared" si="1"/>
        <v>0</v>
      </c>
      <c r="M33" s="23">
        <f>SUM(C33:L33)</f>
        <v>61863821.759999998</v>
      </c>
    </row>
    <row r="35" spans="1:13" s="2" customFormat="1" x14ac:dyDescent="0.25">
      <c r="A35" s="1" t="s">
        <v>131</v>
      </c>
      <c r="B35" s="3"/>
      <c r="C35" s="59"/>
      <c r="D35" s="59"/>
    </row>
    <row r="36" spans="1:13" s="2" customFormat="1" x14ac:dyDescent="0.25">
      <c r="A36" s="3"/>
      <c r="B36" s="3"/>
      <c r="C36" s="59"/>
      <c r="D36" s="59"/>
    </row>
    <row r="37" spans="1:13" s="2" customFormat="1" x14ac:dyDescent="0.25">
      <c r="A37" s="3"/>
      <c r="B37" s="3"/>
      <c r="C37" s="59"/>
      <c r="D37" s="59"/>
    </row>
    <row r="38" spans="1:13" s="2" customFormat="1" x14ac:dyDescent="0.25">
      <c r="A38" s="3"/>
      <c r="B38" s="3"/>
      <c r="C38" s="3"/>
      <c r="D38" s="59"/>
      <c r="E38" s="122" t="s">
        <v>13</v>
      </c>
      <c r="F38" s="122"/>
      <c r="I38" s="121" t="s">
        <v>11</v>
      </c>
      <c r="J38" s="121"/>
    </row>
    <row r="39" spans="1:13" s="2" customFormat="1" x14ac:dyDescent="0.25">
      <c r="A39" s="3"/>
      <c r="B39" s="3"/>
      <c r="C39" s="3"/>
      <c r="D39" s="59"/>
      <c r="E39" s="122" t="s">
        <v>14</v>
      </c>
      <c r="F39" s="122"/>
      <c r="I39" s="121" t="s">
        <v>12</v>
      </c>
      <c r="J39" s="12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mergeCells count="30">
    <mergeCell ref="I9:I11"/>
    <mergeCell ref="I38:J38"/>
    <mergeCell ref="E39:F39"/>
    <mergeCell ref="I39:J39"/>
    <mergeCell ref="A12:M12"/>
    <mergeCell ref="A13:A15"/>
    <mergeCell ref="A16:A18"/>
    <mergeCell ref="A19:A21"/>
    <mergeCell ref="A22:A24"/>
    <mergeCell ref="A25:A27"/>
    <mergeCell ref="A31:A33"/>
    <mergeCell ref="E38:F38"/>
    <mergeCell ref="J9:J11"/>
    <mergeCell ref="A28:A30"/>
    <mergeCell ref="A1:M1"/>
    <mergeCell ref="A4:M4"/>
    <mergeCell ref="L6:M6"/>
    <mergeCell ref="A7:A11"/>
    <mergeCell ref="B7:B11"/>
    <mergeCell ref="C7:G7"/>
    <mergeCell ref="H7:J7"/>
    <mergeCell ref="M7:M11"/>
    <mergeCell ref="C9:C11"/>
    <mergeCell ref="D9:D11"/>
    <mergeCell ref="K9:K11"/>
    <mergeCell ref="L9:L11"/>
    <mergeCell ref="E9:E11"/>
    <mergeCell ref="F9:F11"/>
    <mergeCell ref="G9:G11"/>
    <mergeCell ref="H9:H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49"/>
  <sheetViews>
    <sheetView topLeftCell="A34" zoomScaleNormal="100" workbookViewId="0">
      <selection activeCell="A44" sqref="A44:XFD44"/>
    </sheetView>
  </sheetViews>
  <sheetFormatPr defaultRowHeight="15" x14ac:dyDescent="0.25"/>
  <cols>
    <col min="1" max="1" width="18.85546875" style="1" customWidth="1"/>
    <col min="2" max="2" width="33.85546875" style="1" customWidth="1"/>
    <col min="3" max="3" width="14.28515625" style="1" bestFit="1" customWidth="1"/>
    <col min="4" max="4" width="11.5703125" style="1" customWidth="1"/>
    <col min="6" max="6" width="10" bestFit="1" customWidth="1"/>
  </cols>
  <sheetData>
    <row r="1" spans="1:13" s="26" customFormat="1" ht="30" customHeight="1" x14ac:dyDescent="0.25">
      <c r="A1" s="111" t="s">
        <v>132</v>
      </c>
      <c r="B1" s="111"/>
      <c r="C1" s="111"/>
      <c r="D1" s="111"/>
      <c r="E1" s="77"/>
      <c r="F1" s="77"/>
      <c r="G1" s="77"/>
      <c r="H1" s="77"/>
      <c r="I1" s="77"/>
      <c r="J1" s="77"/>
      <c r="K1" s="77"/>
      <c r="L1" s="77"/>
      <c r="M1" s="77"/>
    </row>
    <row r="2" spans="1:13" x14ac:dyDescent="0.25">
      <c r="A2" s="20" t="s">
        <v>54</v>
      </c>
      <c r="B2" s="20"/>
      <c r="C2" s="20"/>
      <c r="D2" s="20"/>
      <c r="E2" s="21"/>
      <c r="F2" s="21"/>
      <c r="G2" s="21"/>
      <c r="H2" s="21"/>
      <c r="I2" s="21"/>
      <c r="J2" s="20"/>
      <c r="K2" s="20"/>
      <c r="L2" s="20"/>
      <c r="M2" s="20"/>
    </row>
    <row r="3" spans="1:13" x14ac:dyDescent="0.25">
      <c r="C3" s="12"/>
      <c r="D3" s="12"/>
    </row>
    <row r="4" spans="1:13" ht="30" customHeight="1" x14ac:dyDescent="0.25">
      <c r="A4" s="112" t="s">
        <v>86</v>
      </c>
      <c r="B4" s="112"/>
      <c r="C4" s="112"/>
      <c r="D4" s="112"/>
    </row>
    <row r="5" spans="1:13" x14ac:dyDescent="0.25">
      <c r="A5" s="12"/>
      <c r="B5" s="12"/>
      <c r="C5" s="12"/>
      <c r="D5" s="12"/>
    </row>
    <row r="6" spans="1:13" ht="15.75" thickBot="1" x14ac:dyDescent="0.3">
      <c r="A6" s="12"/>
      <c r="B6" s="12"/>
      <c r="C6" s="12"/>
      <c r="D6" s="32" t="s">
        <v>79</v>
      </c>
    </row>
    <row r="7" spans="1:13" ht="39" thickBot="1" x14ac:dyDescent="0.3">
      <c r="A7" s="39" t="s">
        <v>3</v>
      </c>
      <c r="B7" s="39" t="s">
        <v>8</v>
      </c>
      <c r="C7" s="39" t="s">
        <v>77</v>
      </c>
      <c r="D7" s="39" t="s">
        <v>78</v>
      </c>
    </row>
    <row r="8" spans="1:13" x14ac:dyDescent="0.25">
      <c r="A8" s="140" t="s">
        <v>9</v>
      </c>
      <c r="B8" s="141"/>
      <c r="C8" s="92">
        <f>SUM(C9:C16)</f>
        <v>1287350</v>
      </c>
      <c r="D8" s="92">
        <f>SUM(D9:D16)</f>
        <v>1367350</v>
      </c>
    </row>
    <row r="9" spans="1:13" ht="25.5" x14ac:dyDescent="0.25">
      <c r="A9" s="27"/>
      <c r="B9" s="28" t="s">
        <v>38</v>
      </c>
      <c r="C9" s="93">
        <v>50000</v>
      </c>
      <c r="D9" s="93">
        <v>50000</v>
      </c>
    </row>
    <row r="10" spans="1:13" x14ac:dyDescent="0.25">
      <c r="A10" s="56"/>
      <c r="B10" s="28" t="s">
        <v>39</v>
      </c>
      <c r="C10" s="93">
        <v>88150</v>
      </c>
      <c r="D10" s="93">
        <v>88150</v>
      </c>
    </row>
    <row r="11" spans="1:13" ht="25.5" x14ac:dyDescent="0.25">
      <c r="A11" s="56"/>
      <c r="B11" s="30" t="s">
        <v>66</v>
      </c>
      <c r="C11" s="93">
        <v>24000</v>
      </c>
      <c r="D11" s="93">
        <v>24000</v>
      </c>
    </row>
    <row r="12" spans="1:13" x14ac:dyDescent="0.25">
      <c r="A12" s="56"/>
      <c r="B12" s="30" t="s">
        <v>41</v>
      </c>
      <c r="C12" s="93">
        <v>672600</v>
      </c>
      <c r="D12" s="93">
        <v>672600</v>
      </c>
    </row>
    <row r="13" spans="1:13" ht="25.5" x14ac:dyDescent="0.25">
      <c r="A13" s="56"/>
      <c r="B13" s="28" t="s">
        <v>40</v>
      </c>
      <c r="C13" s="93">
        <v>352600</v>
      </c>
      <c r="D13" s="93">
        <v>352600</v>
      </c>
    </row>
    <row r="14" spans="1:13" x14ac:dyDescent="0.25">
      <c r="A14" s="56"/>
      <c r="B14" s="28" t="s">
        <v>65</v>
      </c>
      <c r="C14" s="93">
        <v>50000</v>
      </c>
      <c r="D14" s="93">
        <v>50000</v>
      </c>
    </row>
    <row r="15" spans="1:13" ht="25.5" x14ac:dyDescent="0.25">
      <c r="A15" s="56"/>
      <c r="B15" s="28" t="s">
        <v>67</v>
      </c>
      <c r="C15" s="93">
        <v>50000</v>
      </c>
      <c r="D15" s="93">
        <v>50000</v>
      </c>
    </row>
    <row r="16" spans="1:13" x14ac:dyDescent="0.25">
      <c r="A16" s="56"/>
      <c r="B16" s="28" t="s">
        <v>69</v>
      </c>
      <c r="C16" s="93">
        <v>0</v>
      </c>
      <c r="D16" s="93">
        <f>C16+80000</f>
        <v>80000</v>
      </c>
    </row>
    <row r="17" spans="1:6" x14ac:dyDescent="0.25">
      <c r="A17" s="31"/>
      <c r="B17" s="29"/>
      <c r="C17" s="94"/>
      <c r="D17" s="95"/>
    </row>
    <row r="18" spans="1:6" x14ac:dyDescent="0.25">
      <c r="A18" s="139" t="s">
        <v>42</v>
      </c>
      <c r="B18" s="139"/>
      <c r="C18" s="96">
        <f>SUM(C19:C20)</f>
        <v>816000</v>
      </c>
      <c r="D18" s="97">
        <f>SUM(D19:D20)</f>
        <v>816000</v>
      </c>
    </row>
    <row r="19" spans="1:6" x14ac:dyDescent="0.25">
      <c r="A19" s="137"/>
      <c r="B19" s="30" t="s">
        <v>43</v>
      </c>
      <c r="C19" s="93">
        <v>660000</v>
      </c>
      <c r="D19" s="93">
        <v>660000</v>
      </c>
    </row>
    <row r="20" spans="1:6" x14ac:dyDescent="0.25">
      <c r="A20" s="138"/>
      <c r="B20" s="30" t="s">
        <v>44</v>
      </c>
      <c r="C20" s="93">
        <v>156000</v>
      </c>
      <c r="D20" s="93">
        <v>156000</v>
      </c>
    </row>
    <row r="21" spans="1:6" x14ac:dyDescent="0.25">
      <c r="A21" s="41"/>
      <c r="B21" s="40"/>
      <c r="C21" s="98"/>
      <c r="D21" s="98"/>
    </row>
    <row r="22" spans="1:6" x14ac:dyDescent="0.25">
      <c r="A22" s="139" t="s">
        <v>45</v>
      </c>
      <c r="B22" s="139"/>
      <c r="C22" s="99">
        <f>SUM(C23:C23)</f>
        <v>1959600</v>
      </c>
      <c r="D22" s="99">
        <f>SUM(D23:D23)</f>
        <v>1959600</v>
      </c>
    </row>
    <row r="23" spans="1:6" x14ac:dyDescent="0.25">
      <c r="A23" s="54"/>
      <c r="B23" s="30" t="s">
        <v>46</v>
      </c>
      <c r="C23" s="93">
        <v>1959600</v>
      </c>
      <c r="D23" s="93">
        <v>1959600</v>
      </c>
    </row>
    <row r="24" spans="1:6" x14ac:dyDescent="0.25">
      <c r="A24" s="57"/>
      <c r="B24" s="40"/>
      <c r="C24" s="100"/>
      <c r="D24" s="100"/>
    </row>
    <row r="25" spans="1:6" x14ac:dyDescent="0.25">
      <c r="A25" s="139" t="s">
        <v>47</v>
      </c>
      <c r="B25" s="139"/>
      <c r="C25" s="99">
        <f>SUM(C26:C26)</f>
        <v>280000</v>
      </c>
      <c r="D25" s="99">
        <f>SUM(D26:D26)</f>
        <v>280000</v>
      </c>
    </row>
    <row r="26" spans="1:6" x14ac:dyDescent="0.25">
      <c r="A26" s="55"/>
      <c r="B26" s="30" t="s">
        <v>48</v>
      </c>
      <c r="C26" s="93">
        <v>280000</v>
      </c>
      <c r="D26" s="93">
        <v>280000</v>
      </c>
    </row>
    <row r="27" spans="1:6" x14ac:dyDescent="0.25">
      <c r="A27" s="41"/>
      <c r="B27" s="41"/>
      <c r="C27" s="101"/>
      <c r="D27" s="101"/>
    </row>
    <row r="28" spans="1:6" x14ac:dyDescent="0.25">
      <c r="A28" s="139" t="s">
        <v>49</v>
      </c>
      <c r="B28" s="139"/>
      <c r="C28" s="99">
        <f>SUM(C29:C32)</f>
        <v>6399252</v>
      </c>
      <c r="D28" s="99">
        <f>SUM(D29:D32)</f>
        <v>6399252</v>
      </c>
    </row>
    <row r="29" spans="1:6" x14ac:dyDescent="0.25">
      <c r="A29" s="55"/>
      <c r="B29" s="30" t="s">
        <v>87</v>
      </c>
      <c r="C29" s="93">
        <v>3605200</v>
      </c>
      <c r="D29" s="93">
        <v>3605200</v>
      </c>
    </row>
    <row r="30" spans="1:6" x14ac:dyDescent="0.25">
      <c r="A30" s="41"/>
      <c r="B30" s="30" t="s">
        <v>50</v>
      </c>
      <c r="C30" s="93">
        <v>1433600</v>
      </c>
      <c r="D30" s="93">
        <v>1433600</v>
      </c>
      <c r="F30" s="78"/>
    </row>
    <row r="31" spans="1:6" x14ac:dyDescent="0.25">
      <c r="A31" s="41"/>
      <c r="B31" s="30" t="s">
        <v>51</v>
      </c>
      <c r="C31" s="93">
        <v>910452</v>
      </c>
      <c r="D31" s="93">
        <v>910452</v>
      </c>
    </row>
    <row r="32" spans="1:6" x14ac:dyDescent="0.25">
      <c r="A32" s="41"/>
      <c r="B32" s="30" t="s">
        <v>64</v>
      </c>
      <c r="C32" s="93">
        <v>450000</v>
      </c>
      <c r="D32" s="93">
        <v>450000</v>
      </c>
    </row>
    <row r="33" spans="1:4" x14ac:dyDescent="0.25">
      <c r="A33" s="41"/>
      <c r="B33" s="41"/>
      <c r="C33" s="101"/>
      <c r="D33" s="101"/>
    </row>
    <row r="34" spans="1:4" x14ac:dyDescent="0.25">
      <c r="A34" s="139" t="s">
        <v>52</v>
      </c>
      <c r="B34" s="139"/>
      <c r="C34" s="99">
        <f>SUM(C35:C35)</f>
        <v>3500000</v>
      </c>
      <c r="D34" s="99">
        <f>SUM(D35:D35)</f>
        <v>3500000</v>
      </c>
    </row>
    <row r="35" spans="1:4" x14ac:dyDescent="0.25">
      <c r="A35" s="55"/>
      <c r="B35" s="83" t="s">
        <v>53</v>
      </c>
      <c r="C35" s="102">
        <v>3500000</v>
      </c>
      <c r="D35" s="102">
        <v>3500000</v>
      </c>
    </row>
    <row r="36" spans="1:4" x14ac:dyDescent="0.25">
      <c r="A36" s="84"/>
      <c r="B36" s="83"/>
      <c r="C36" s="102"/>
      <c r="D36" s="102"/>
    </row>
    <row r="37" spans="1:4" ht="18" customHeight="1" x14ac:dyDescent="0.25">
      <c r="A37" s="139" t="s">
        <v>122</v>
      </c>
      <c r="B37" s="139"/>
      <c r="C37" s="99">
        <f>SUM(C38)</f>
        <v>0</v>
      </c>
      <c r="D37" s="99">
        <f>+D38</f>
        <v>12444095</v>
      </c>
    </row>
    <row r="38" spans="1:4" ht="25.5" x14ac:dyDescent="0.25">
      <c r="A38" s="57"/>
      <c r="B38" s="28" t="s">
        <v>70</v>
      </c>
      <c r="C38" s="93">
        <v>0</v>
      </c>
      <c r="D38" s="93">
        <f>C38+12444095</f>
        <v>12444095</v>
      </c>
    </row>
    <row r="39" spans="1:4" x14ac:dyDescent="0.25">
      <c r="A39" s="57"/>
      <c r="B39" s="90"/>
      <c r="C39" s="101"/>
      <c r="D39" s="101"/>
    </row>
    <row r="40" spans="1:4" ht="18" customHeight="1" x14ac:dyDescent="0.25">
      <c r="A40" s="139" t="s">
        <v>123</v>
      </c>
      <c r="B40" s="139"/>
      <c r="C40" s="99">
        <f>SUM(C41)</f>
        <v>0</v>
      </c>
      <c r="D40" s="99">
        <f>SUM(D41)</f>
        <v>7781502</v>
      </c>
    </row>
    <row r="41" spans="1:4" ht="25.5" x14ac:dyDescent="0.25">
      <c r="A41" s="57"/>
      <c r="B41" s="28" t="s">
        <v>88</v>
      </c>
      <c r="C41" s="93">
        <v>0</v>
      </c>
      <c r="D41" s="93">
        <v>7781502</v>
      </c>
    </row>
    <row r="42" spans="1:4" ht="15.75" thickBot="1" x14ac:dyDescent="0.3">
      <c r="A42" s="57"/>
      <c r="B42" s="91"/>
      <c r="C42" s="103"/>
      <c r="D42" s="103"/>
    </row>
    <row r="43" spans="1:4" ht="16.5" thickBot="1" x14ac:dyDescent="0.3">
      <c r="A43" s="135" t="s">
        <v>1</v>
      </c>
      <c r="B43" s="136"/>
      <c r="C43" s="104">
        <f>C8+C18+C22+C25+C28+C34+C37+C40</f>
        <v>14242202</v>
      </c>
      <c r="D43" s="104">
        <f>D8+D18+D22+D25+D28+D34+D37+D40</f>
        <v>34547799</v>
      </c>
    </row>
    <row r="45" spans="1:4" s="2" customFormat="1" x14ac:dyDescent="0.25">
      <c r="A45" s="1" t="s">
        <v>131</v>
      </c>
      <c r="B45" s="3"/>
      <c r="C45" s="59"/>
      <c r="D45" s="59"/>
    </row>
    <row r="46" spans="1:4" s="2" customFormat="1" x14ac:dyDescent="0.25">
      <c r="A46" s="3"/>
      <c r="B46" s="3"/>
      <c r="C46" s="59"/>
      <c r="D46" s="59"/>
    </row>
    <row r="47" spans="1:4" s="2" customFormat="1" x14ac:dyDescent="0.25">
      <c r="A47" s="3"/>
      <c r="B47" s="3"/>
      <c r="C47" s="59"/>
      <c r="D47" s="59"/>
    </row>
    <row r="48" spans="1:4" s="2" customFormat="1" x14ac:dyDescent="0.25">
      <c r="A48" s="3"/>
      <c r="B48" s="61" t="s">
        <v>57</v>
      </c>
      <c r="C48" s="113" t="s">
        <v>11</v>
      </c>
      <c r="D48" s="113"/>
    </row>
    <row r="49" spans="1:4" s="2" customFormat="1" x14ac:dyDescent="0.25">
      <c r="A49" s="3"/>
      <c r="B49" s="61" t="s">
        <v>56</v>
      </c>
      <c r="C49" s="113" t="s">
        <v>12</v>
      </c>
      <c r="D49" s="113"/>
    </row>
  </sheetData>
  <mergeCells count="14">
    <mergeCell ref="C48:D48"/>
    <mergeCell ref="C49:D49"/>
    <mergeCell ref="A43:B43"/>
    <mergeCell ref="A1:D1"/>
    <mergeCell ref="A4:D4"/>
    <mergeCell ref="A19:A20"/>
    <mergeCell ref="A25:B25"/>
    <mergeCell ref="A34:B34"/>
    <mergeCell ref="A8:B8"/>
    <mergeCell ref="A18:B18"/>
    <mergeCell ref="A22:B22"/>
    <mergeCell ref="A28:B28"/>
    <mergeCell ref="A37:B37"/>
    <mergeCell ref="A40:B4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2"/>
  <sheetViews>
    <sheetView topLeftCell="A37" zoomScaleNormal="100" workbookViewId="0">
      <selection activeCell="A46" sqref="A46"/>
    </sheetView>
  </sheetViews>
  <sheetFormatPr defaultRowHeight="15" x14ac:dyDescent="0.25"/>
  <cols>
    <col min="1" max="2" width="3.28515625" style="1" customWidth="1"/>
    <col min="3" max="3" width="14.7109375" style="1" customWidth="1"/>
    <col min="4" max="4" width="34.85546875" style="1" customWidth="1"/>
    <col min="5" max="5" width="15" style="1" customWidth="1"/>
    <col min="6" max="6" width="13.5703125" style="1" customWidth="1"/>
  </cols>
  <sheetData>
    <row r="1" spans="1:6" s="26" customFormat="1" ht="30" customHeight="1" x14ac:dyDescent="0.25">
      <c r="A1" s="111" t="s">
        <v>132</v>
      </c>
      <c r="B1" s="111"/>
      <c r="C1" s="111"/>
      <c r="D1" s="111"/>
      <c r="E1" s="111"/>
      <c r="F1" s="111"/>
    </row>
    <row r="2" spans="1:6" x14ac:dyDescent="0.25">
      <c r="A2" s="151" t="s">
        <v>73</v>
      </c>
      <c r="B2" s="151"/>
      <c r="C2" s="151"/>
    </row>
    <row r="4" spans="1:6" ht="15.75" x14ac:dyDescent="0.25">
      <c r="A4" s="112" t="s">
        <v>130</v>
      </c>
      <c r="B4" s="112"/>
      <c r="C4" s="112"/>
      <c r="D4" s="112"/>
      <c r="E4" s="112"/>
      <c r="F4" s="112"/>
    </row>
    <row r="5" spans="1:6" x14ac:dyDescent="0.25">
      <c r="A5" s="12"/>
      <c r="B5" s="12"/>
    </row>
    <row r="6" spans="1:6" ht="15.75" thickBot="1" x14ac:dyDescent="0.3">
      <c r="F6" s="34" t="s">
        <v>79</v>
      </c>
    </row>
    <row r="7" spans="1:6" ht="39" thickBot="1" x14ac:dyDescent="0.3">
      <c r="A7" s="152" t="s">
        <v>3</v>
      </c>
      <c r="B7" s="152"/>
      <c r="C7" s="152"/>
      <c r="D7" s="33" t="s">
        <v>0</v>
      </c>
      <c r="E7" s="62" t="s">
        <v>77</v>
      </c>
      <c r="F7" s="62" t="s">
        <v>78</v>
      </c>
    </row>
    <row r="8" spans="1:6" ht="15.75" thickBot="1" x14ac:dyDescent="0.3">
      <c r="A8" s="149" t="s">
        <v>55</v>
      </c>
      <c r="B8" s="150"/>
      <c r="C8" s="150"/>
      <c r="D8" s="150"/>
      <c r="E8" s="58">
        <f>SUM(E9:E33)</f>
        <v>9268000</v>
      </c>
      <c r="F8" s="58">
        <f>SUM(F9:F32)</f>
        <v>178243244</v>
      </c>
    </row>
    <row r="9" spans="1:6" x14ac:dyDescent="0.25">
      <c r="A9" s="142"/>
      <c r="B9" s="142"/>
      <c r="C9" s="143"/>
      <c r="D9" s="51" t="s">
        <v>68</v>
      </c>
      <c r="E9" s="15">
        <v>0</v>
      </c>
      <c r="F9" s="15">
        <v>0</v>
      </c>
    </row>
    <row r="10" spans="1:6" x14ac:dyDescent="0.25">
      <c r="A10" s="144"/>
      <c r="B10" s="144"/>
      <c r="C10" s="145"/>
      <c r="D10" s="52" t="s">
        <v>71</v>
      </c>
      <c r="E10" s="13">
        <v>0</v>
      </c>
      <c r="F10" s="13">
        <v>0</v>
      </c>
    </row>
    <row r="11" spans="1:6" x14ac:dyDescent="0.25">
      <c r="A11" s="73"/>
      <c r="B11" s="73"/>
      <c r="C11" s="73"/>
      <c r="D11" s="80" t="s">
        <v>89</v>
      </c>
      <c r="E11" s="13">
        <v>0</v>
      </c>
      <c r="F11" s="13">
        <v>0</v>
      </c>
    </row>
    <row r="12" spans="1:6" x14ac:dyDescent="0.25">
      <c r="A12" s="73"/>
      <c r="B12" s="73"/>
      <c r="C12" s="73"/>
      <c r="D12" s="80" t="s">
        <v>90</v>
      </c>
      <c r="E12" s="13">
        <v>2552000</v>
      </c>
      <c r="F12" s="13">
        <v>2552000</v>
      </c>
    </row>
    <row r="13" spans="1:6" x14ac:dyDescent="0.25">
      <c r="A13" s="73"/>
      <c r="B13" s="73"/>
      <c r="C13" s="73"/>
      <c r="D13" s="80" t="s">
        <v>91</v>
      </c>
      <c r="E13" s="13">
        <v>1716000</v>
      </c>
      <c r="F13" s="13">
        <v>1716000</v>
      </c>
    </row>
    <row r="14" spans="1:6" ht="25.5" x14ac:dyDescent="0.25">
      <c r="A14" s="73"/>
      <c r="B14" s="73"/>
      <c r="C14" s="73"/>
      <c r="D14" s="80" t="s">
        <v>92</v>
      </c>
      <c r="E14" s="13">
        <v>1500000</v>
      </c>
      <c r="F14" s="13">
        <v>1500000</v>
      </c>
    </row>
    <row r="15" spans="1:6" x14ac:dyDescent="0.25">
      <c r="A15" s="73"/>
      <c r="B15" s="73"/>
      <c r="C15" s="73"/>
      <c r="D15" s="80" t="s">
        <v>93</v>
      </c>
      <c r="E15" s="13">
        <v>600000</v>
      </c>
      <c r="F15" s="13">
        <v>600000</v>
      </c>
    </row>
    <row r="16" spans="1:6" x14ac:dyDescent="0.25">
      <c r="A16" s="73"/>
      <c r="B16" s="73"/>
      <c r="C16" s="73"/>
      <c r="D16" s="80" t="s">
        <v>94</v>
      </c>
      <c r="E16" s="13">
        <v>400000</v>
      </c>
      <c r="F16" s="13">
        <v>400000</v>
      </c>
    </row>
    <row r="17" spans="1:6" x14ac:dyDescent="0.25">
      <c r="A17" s="73"/>
      <c r="B17" s="73"/>
      <c r="C17" s="73"/>
      <c r="D17" s="80" t="s">
        <v>95</v>
      </c>
      <c r="E17" s="13">
        <v>2000000</v>
      </c>
      <c r="F17" s="13">
        <v>2000000</v>
      </c>
    </row>
    <row r="18" spans="1:6" x14ac:dyDescent="0.25">
      <c r="A18" s="73"/>
      <c r="B18" s="73"/>
      <c r="C18" s="73"/>
      <c r="D18" s="80" t="s">
        <v>96</v>
      </c>
      <c r="E18" s="13">
        <v>500000</v>
      </c>
      <c r="F18" s="13">
        <v>500000</v>
      </c>
    </row>
    <row r="19" spans="1:6" x14ac:dyDescent="0.25">
      <c r="A19" s="85"/>
      <c r="B19" s="85"/>
      <c r="C19" s="85"/>
      <c r="D19" s="80" t="s">
        <v>99</v>
      </c>
      <c r="E19" s="13">
        <v>0</v>
      </c>
      <c r="F19" s="13">
        <f>E19+36705882</f>
        <v>36705882</v>
      </c>
    </row>
    <row r="20" spans="1:6" x14ac:dyDescent="0.25">
      <c r="A20" s="85"/>
      <c r="B20" s="85"/>
      <c r="C20" s="85"/>
      <c r="D20" s="80" t="s">
        <v>100</v>
      </c>
      <c r="E20" s="13">
        <v>0</v>
      </c>
      <c r="F20" s="13">
        <f>E20+27597871</f>
        <v>27597871</v>
      </c>
    </row>
    <row r="21" spans="1:6" x14ac:dyDescent="0.25">
      <c r="A21" s="85"/>
      <c r="B21" s="85"/>
      <c r="C21" s="85"/>
      <c r="D21" s="80" t="s">
        <v>101</v>
      </c>
      <c r="E21" s="13">
        <v>0</v>
      </c>
      <c r="F21" s="13">
        <f>E21+3900000</f>
        <v>3900000</v>
      </c>
    </row>
    <row r="22" spans="1:6" x14ac:dyDescent="0.25">
      <c r="A22" s="85"/>
      <c r="B22" s="85"/>
      <c r="C22" s="85"/>
      <c r="D22" s="80" t="s">
        <v>102</v>
      </c>
      <c r="E22" s="13">
        <v>0</v>
      </c>
      <c r="F22" s="13">
        <f>E22+93345</f>
        <v>93345</v>
      </c>
    </row>
    <row r="23" spans="1:6" x14ac:dyDescent="0.25">
      <c r="A23" s="85"/>
      <c r="B23" s="85"/>
      <c r="C23" s="85"/>
      <c r="D23" s="80" t="s">
        <v>103</v>
      </c>
      <c r="E23" s="13">
        <v>0</v>
      </c>
      <c r="F23" s="13">
        <f>E23+203035</f>
        <v>203035</v>
      </c>
    </row>
    <row r="24" spans="1:6" x14ac:dyDescent="0.25">
      <c r="A24" s="85"/>
      <c r="B24" s="85"/>
      <c r="C24" s="85"/>
      <c r="D24" s="80" t="s">
        <v>104</v>
      </c>
      <c r="E24" s="13">
        <v>0</v>
      </c>
      <c r="F24" s="13">
        <f>E24+44275496</f>
        <v>44275496</v>
      </c>
    </row>
    <row r="25" spans="1:6" x14ac:dyDescent="0.25">
      <c r="A25" s="85"/>
      <c r="B25" s="85"/>
      <c r="C25" s="85"/>
      <c r="D25" s="80" t="s">
        <v>105</v>
      </c>
      <c r="E25" s="13">
        <v>0</v>
      </c>
      <c r="F25" s="13">
        <f>E25+1000000</f>
        <v>1000000</v>
      </c>
    </row>
    <row r="26" spans="1:6" x14ac:dyDescent="0.25">
      <c r="A26" s="85"/>
      <c r="B26" s="85"/>
      <c r="C26" s="85"/>
      <c r="D26" s="80" t="s">
        <v>106</v>
      </c>
      <c r="E26" s="13">
        <v>0</v>
      </c>
      <c r="F26" s="13">
        <f>E26+24999500</f>
        <v>24999500</v>
      </c>
    </row>
    <row r="27" spans="1:6" x14ac:dyDescent="0.25">
      <c r="A27" s="85"/>
      <c r="B27" s="85"/>
      <c r="C27" s="85"/>
      <c r="D27" s="80" t="s">
        <v>107</v>
      </c>
      <c r="E27" s="13">
        <v>0</v>
      </c>
      <c r="F27" s="13">
        <f>E27+1111123</f>
        <v>1111123</v>
      </c>
    </row>
    <row r="28" spans="1:6" x14ac:dyDescent="0.25">
      <c r="A28" s="85"/>
      <c r="B28" s="85"/>
      <c r="C28" s="85"/>
      <c r="D28" s="80" t="s">
        <v>108</v>
      </c>
      <c r="E28" s="13">
        <v>0</v>
      </c>
      <c r="F28" s="13">
        <f>E28+8661400</f>
        <v>8661400</v>
      </c>
    </row>
    <row r="29" spans="1:6" x14ac:dyDescent="0.25">
      <c r="A29" s="85"/>
      <c r="B29" s="85"/>
      <c r="C29" s="85"/>
      <c r="D29" s="80" t="s">
        <v>110</v>
      </c>
      <c r="E29" s="13">
        <v>0</v>
      </c>
      <c r="F29" s="13">
        <f>E29+12178810</f>
        <v>12178810</v>
      </c>
    </row>
    <row r="30" spans="1:6" x14ac:dyDescent="0.25">
      <c r="A30" s="85"/>
      <c r="B30" s="85"/>
      <c r="C30" s="85"/>
      <c r="D30" s="80" t="s">
        <v>111</v>
      </c>
      <c r="E30" s="13">
        <v>0</v>
      </c>
      <c r="F30" s="13">
        <f>E30+6548782</f>
        <v>6548782</v>
      </c>
    </row>
    <row r="31" spans="1:6" x14ac:dyDescent="0.25">
      <c r="A31" s="85"/>
      <c r="B31" s="85"/>
      <c r="C31" s="85"/>
      <c r="D31" s="80" t="s">
        <v>112</v>
      </c>
      <c r="E31" s="13">
        <v>0</v>
      </c>
      <c r="F31" s="13">
        <f>E31+1500000</f>
        <v>1500000</v>
      </c>
    </row>
    <row r="32" spans="1:6" ht="25.5" x14ac:dyDescent="0.25">
      <c r="A32" s="85"/>
      <c r="B32" s="85"/>
      <c r="C32" s="85"/>
      <c r="D32" s="80" t="s">
        <v>124</v>
      </c>
      <c r="E32" s="13">
        <v>0</v>
      </c>
      <c r="F32" s="13">
        <f>E32+200000</f>
        <v>200000</v>
      </c>
    </row>
    <row r="33" spans="1:6" ht="15.75" thickBot="1" x14ac:dyDescent="0.3">
      <c r="A33" s="73"/>
      <c r="B33" s="73"/>
      <c r="C33" s="73"/>
      <c r="D33" s="80"/>
      <c r="E33" s="13"/>
      <c r="F33" s="13"/>
    </row>
    <row r="34" spans="1:6" ht="17.25" customHeight="1" thickBot="1" x14ac:dyDescent="0.3">
      <c r="A34" s="153" t="s">
        <v>97</v>
      </c>
      <c r="B34" s="154"/>
      <c r="C34" s="154"/>
      <c r="D34" s="155"/>
      <c r="E34" s="105"/>
      <c r="F34" s="106">
        <f>+F35+F36</f>
        <v>219900</v>
      </c>
    </row>
    <row r="35" spans="1:6" x14ac:dyDescent="0.25">
      <c r="A35" s="35"/>
      <c r="B35" s="35"/>
      <c r="C35" s="35"/>
      <c r="D35" s="107" t="s">
        <v>98</v>
      </c>
      <c r="E35" s="13">
        <v>0</v>
      </c>
      <c r="F35" s="13">
        <f>E35+219900</f>
        <v>219900</v>
      </c>
    </row>
    <row r="36" spans="1:6" ht="15.75" thickBot="1" x14ac:dyDescent="0.3">
      <c r="A36" s="35"/>
      <c r="B36" s="35"/>
      <c r="C36" s="35"/>
      <c r="D36" s="81"/>
      <c r="E36" s="82"/>
      <c r="F36" s="82"/>
    </row>
    <row r="37" spans="1:6" ht="17.25" customHeight="1" thickBot="1" x14ac:dyDescent="0.3">
      <c r="A37" s="153" t="s">
        <v>125</v>
      </c>
      <c r="B37" s="154"/>
      <c r="C37" s="154"/>
      <c r="D37" s="156"/>
      <c r="E37" s="110">
        <f>SUM(E38)</f>
        <v>0</v>
      </c>
      <c r="F37" s="79">
        <f>SUM(F38)</f>
        <v>5215039</v>
      </c>
    </row>
    <row r="38" spans="1:6" x14ac:dyDescent="0.25">
      <c r="A38" s="35"/>
      <c r="B38" s="35"/>
      <c r="C38" s="35"/>
      <c r="D38" s="109" t="s">
        <v>109</v>
      </c>
      <c r="E38" s="15">
        <v>0</v>
      </c>
      <c r="F38" s="15">
        <f>E38+5215039</f>
        <v>5215039</v>
      </c>
    </row>
    <row r="39" spans="1:6" ht="15.75" thickBot="1" x14ac:dyDescent="0.3">
      <c r="A39" s="35"/>
      <c r="B39" s="35"/>
      <c r="C39" s="35"/>
      <c r="D39" s="81"/>
      <c r="E39" s="82"/>
      <c r="F39" s="108"/>
    </row>
    <row r="40" spans="1:6" ht="27.75" customHeight="1" thickBot="1" x14ac:dyDescent="0.3">
      <c r="A40" s="153" t="s">
        <v>126</v>
      </c>
      <c r="B40" s="154"/>
      <c r="C40" s="154"/>
      <c r="D40" s="156"/>
      <c r="E40" s="110">
        <f>SUM(E41)</f>
        <v>0</v>
      </c>
      <c r="F40" s="110">
        <f>SUM(F41)</f>
        <v>250470</v>
      </c>
    </row>
    <row r="41" spans="1:6" x14ac:dyDescent="0.25">
      <c r="A41" s="35"/>
      <c r="B41" s="35"/>
      <c r="C41" s="35"/>
      <c r="D41" s="109" t="s">
        <v>127</v>
      </c>
      <c r="E41" s="15">
        <v>0</v>
      </c>
      <c r="F41" s="15">
        <f>E41+250470</f>
        <v>250470</v>
      </c>
    </row>
    <row r="42" spans="1:6" ht="15.75" thickBot="1" x14ac:dyDescent="0.3">
      <c r="A42" s="35"/>
      <c r="B42" s="35"/>
      <c r="C42" s="35"/>
      <c r="D42" s="81"/>
      <c r="E42" s="82"/>
      <c r="F42" s="108"/>
    </row>
    <row r="43" spans="1:6" ht="16.5" thickBot="1" x14ac:dyDescent="0.3">
      <c r="A43" s="147" t="s">
        <v>1</v>
      </c>
      <c r="B43" s="148"/>
      <c r="C43" s="148"/>
      <c r="D43" s="18"/>
      <c r="E43" s="16">
        <f>E8+E34+E37</f>
        <v>9268000</v>
      </c>
      <c r="F43" s="17">
        <f>F8+F34+F37+F40</f>
        <v>183928653</v>
      </c>
    </row>
    <row r="44" spans="1:6" x14ac:dyDescent="0.25">
      <c r="E44" s="36"/>
      <c r="F44" s="14"/>
    </row>
    <row r="45" spans="1:6" x14ac:dyDescent="0.25">
      <c r="E45" s="36"/>
      <c r="F45" s="14"/>
    </row>
    <row r="46" spans="1:6" s="2" customFormat="1" x14ac:dyDescent="0.25">
      <c r="A46" s="1" t="s">
        <v>131</v>
      </c>
      <c r="B46" s="3"/>
      <c r="C46" s="59"/>
      <c r="D46" s="59"/>
    </row>
    <row r="47" spans="1:6" s="2" customFormat="1" x14ac:dyDescent="0.25">
      <c r="A47" s="3"/>
      <c r="B47" s="3"/>
      <c r="C47" s="59"/>
      <c r="D47" s="59"/>
    </row>
    <row r="48" spans="1:6" s="2" customFormat="1" x14ac:dyDescent="0.25">
      <c r="A48" s="3"/>
      <c r="B48" s="3"/>
      <c r="C48" s="59"/>
      <c r="D48" s="59"/>
    </row>
    <row r="49" spans="1:6" s="2" customFormat="1" x14ac:dyDescent="0.25">
      <c r="A49" s="3"/>
      <c r="B49" s="3"/>
      <c r="C49" s="59"/>
      <c r="D49" s="59"/>
    </row>
    <row r="50" spans="1:6" s="2" customFormat="1" x14ac:dyDescent="0.25">
      <c r="A50" s="3"/>
      <c r="B50" s="3"/>
      <c r="C50" s="3"/>
      <c r="D50" s="3" t="s">
        <v>57</v>
      </c>
      <c r="E50" s="4" t="s">
        <v>11</v>
      </c>
    </row>
    <row r="51" spans="1:6" s="2" customFormat="1" x14ac:dyDescent="0.25">
      <c r="A51" s="3"/>
      <c r="B51" s="3"/>
      <c r="C51" s="3"/>
      <c r="D51" s="60" t="s">
        <v>56</v>
      </c>
      <c r="E51" s="4" t="s">
        <v>12</v>
      </c>
    </row>
    <row r="52" spans="1:6" x14ac:dyDescent="0.25">
      <c r="D52" s="19"/>
      <c r="E52" s="146"/>
      <c r="F52" s="146"/>
    </row>
  </sheetData>
  <mergeCells count="11">
    <mergeCell ref="A9:C10"/>
    <mergeCell ref="E52:F52"/>
    <mergeCell ref="A43:C43"/>
    <mergeCell ref="A8:D8"/>
    <mergeCell ref="A1:F1"/>
    <mergeCell ref="A2:C2"/>
    <mergeCell ref="A4:F4"/>
    <mergeCell ref="A7:C7"/>
    <mergeCell ref="A34:D34"/>
    <mergeCell ref="A37:D37"/>
    <mergeCell ref="A40:D4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0"/>
  <sheetViews>
    <sheetView zoomScaleNormal="100" workbookViewId="0">
      <selection activeCell="A14" sqref="A14"/>
    </sheetView>
  </sheetViews>
  <sheetFormatPr defaultRowHeight="15" x14ac:dyDescent="0.25"/>
  <cols>
    <col min="1" max="2" width="3.28515625" style="1" customWidth="1"/>
    <col min="3" max="3" width="17.5703125" style="1" customWidth="1"/>
    <col min="4" max="4" width="34.85546875" style="1" customWidth="1"/>
    <col min="5" max="5" width="15.28515625" style="1" customWidth="1"/>
    <col min="6" max="6" width="13.5703125" style="1" customWidth="1"/>
  </cols>
  <sheetData>
    <row r="1" spans="1:6" s="26" customFormat="1" ht="39.75" customHeight="1" x14ac:dyDescent="0.25">
      <c r="A1" s="111" t="s">
        <v>133</v>
      </c>
      <c r="B1" s="111"/>
      <c r="C1" s="111"/>
      <c r="D1" s="111"/>
      <c r="E1" s="111"/>
      <c r="F1" s="111"/>
    </row>
    <row r="2" spans="1:6" x14ac:dyDescent="0.25">
      <c r="A2" s="151" t="s">
        <v>72</v>
      </c>
      <c r="B2" s="151"/>
      <c r="C2" s="151"/>
    </row>
    <row r="4" spans="1:6" ht="15.75" x14ac:dyDescent="0.25">
      <c r="A4" s="112" t="s">
        <v>129</v>
      </c>
      <c r="B4" s="112"/>
      <c r="C4" s="112"/>
      <c r="D4" s="112"/>
      <c r="E4" s="112"/>
      <c r="F4" s="112"/>
    </row>
    <row r="5" spans="1:6" x14ac:dyDescent="0.25">
      <c r="A5" s="12"/>
      <c r="B5" s="12"/>
    </row>
    <row r="6" spans="1:6" ht="15.75" thickBot="1" x14ac:dyDescent="0.3">
      <c r="F6" s="34" t="s">
        <v>2</v>
      </c>
    </row>
    <row r="7" spans="1:6" ht="39" thickBot="1" x14ac:dyDescent="0.3">
      <c r="A7" s="152" t="s">
        <v>3</v>
      </c>
      <c r="B7" s="152"/>
      <c r="C7" s="152"/>
      <c r="D7" s="76" t="s">
        <v>0</v>
      </c>
      <c r="E7" s="72" t="s">
        <v>77</v>
      </c>
      <c r="F7" s="72" t="s">
        <v>78</v>
      </c>
    </row>
    <row r="8" spans="1:6" ht="15.75" thickBot="1" x14ac:dyDescent="0.3">
      <c r="A8" s="149" t="s">
        <v>9</v>
      </c>
      <c r="B8" s="150"/>
      <c r="C8" s="150"/>
      <c r="D8" s="150"/>
      <c r="E8" s="58">
        <f>SUM(E9:E10)</f>
        <v>0</v>
      </c>
      <c r="F8" s="58">
        <f>SUM(F9:F10)</f>
        <v>1522551</v>
      </c>
    </row>
    <row r="9" spans="1:6" x14ac:dyDescent="0.25">
      <c r="A9" s="142"/>
      <c r="B9" s="142"/>
      <c r="C9" s="143"/>
      <c r="D9" s="51" t="s">
        <v>74</v>
      </c>
      <c r="E9" s="15">
        <v>0</v>
      </c>
      <c r="F9" s="15">
        <f>E9+240709</f>
        <v>240709</v>
      </c>
    </row>
    <row r="10" spans="1:6" ht="15.75" thickBot="1" x14ac:dyDescent="0.3">
      <c r="A10" s="144"/>
      <c r="B10" s="144"/>
      <c r="C10" s="145"/>
      <c r="D10" s="52" t="s">
        <v>113</v>
      </c>
      <c r="E10" s="13">
        <v>0</v>
      </c>
      <c r="F10" s="13">
        <f>E10+1281842</f>
        <v>1281842</v>
      </c>
    </row>
    <row r="11" spans="1:6" ht="16.5" thickBot="1" x14ac:dyDescent="0.3">
      <c r="A11" s="147" t="s">
        <v>1</v>
      </c>
      <c r="B11" s="148"/>
      <c r="C11" s="148"/>
      <c r="D11" s="75"/>
      <c r="E11" s="16">
        <f>+E8</f>
        <v>0</v>
      </c>
      <c r="F11" s="17">
        <f>+F8</f>
        <v>1522551</v>
      </c>
    </row>
    <row r="12" spans="1:6" x14ac:dyDescent="0.25">
      <c r="E12" s="36"/>
      <c r="F12" s="14"/>
    </row>
    <row r="13" spans="1:6" x14ac:dyDescent="0.25">
      <c r="E13" s="36"/>
      <c r="F13" s="14"/>
    </row>
    <row r="14" spans="1:6" s="2" customFormat="1" x14ac:dyDescent="0.25">
      <c r="A14" s="1" t="s">
        <v>131</v>
      </c>
      <c r="B14" s="3"/>
      <c r="C14" s="59"/>
      <c r="D14" s="59"/>
    </row>
    <row r="15" spans="1:6" s="2" customFormat="1" x14ac:dyDescent="0.25">
      <c r="A15" s="3"/>
      <c r="B15" s="3"/>
      <c r="C15" s="59"/>
      <c r="D15" s="59"/>
    </row>
    <row r="16" spans="1:6" s="2" customFormat="1" x14ac:dyDescent="0.25">
      <c r="A16" s="3"/>
      <c r="B16" s="3"/>
      <c r="C16" s="59"/>
      <c r="D16" s="59"/>
    </row>
    <row r="17" spans="1:6" s="2" customFormat="1" x14ac:dyDescent="0.25">
      <c r="A17" s="3"/>
      <c r="B17" s="3"/>
      <c r="C17" s="59"/>
      <c r="D17" s="59"/>
    </row>
    <row r="18" spans="1:6" s="2" customFormat="1" x14ac:dyDescent="0.25">
      <c r="A18" s="3"/>
      <c r="B18" s="3"/>
      <c r="C18" s="3"/>
      <c r="D18" s="3" t="s">
        <v>57</v>
      </c>
      <c r="E18" s="64" t="s">
        <v>11</v>
      </c>
    </row>
    <row r="19" spans="1:6" s="2" customFormat="1" x14ac:dyDescent="0.25">
      <c r="A19" s="3"/>
      <c r="B19" s="3"/>
      <c r="C19" s="3"/>
      <c r="D19" s="60" t="s">
        <v>56</v>
      </c>
      <c r="E19" s="64" t="s">
        <v>12</v>
      </c>
    </row>
    <row r="20" spans="1:6" x14ac:dyDescent="0.25">
      <c r="D20" s="74"/>
      <c r="E20" s="146"/>
      <c r="F20" s="146"/>
    </row>
  </sheetData>
  <mergeCells count="8">
    <mergeCell ref="A11:C11"/>
    <mergeCell ref="E20:F20"/>
    <mergeCell ref="A1:F1"/>
    <mergeCell ref="A2:C2"/>
    <mergeCell ref="A4:F4"/>
    <mergeCell ref="A7:C7"/>
    <mergeCell ref="A8:D8"/>
    <mergeCell ref="A9:C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21"/>
  <sheetViews>
    <sheetView zoomScaleNormal="100" workbookViewId="0">
      <selection activeCell="A15" sqref="A15"/>
    </sheetView>
  </sheetViews>
  <sheetFormatPr defaultRowHeight="15" x14ac:dyDescent="0.25"/>
  <cols>
    <col min="1" max="2" width="3.28515625" style="1" customWidth="1"/>
    <col min="3" max="3" width="17" style="1" customWidth="1"/>
    <col min="4" max="4" width="34.85546875" style="1" customWidth="1"/>
    <col min="5" max="5" width="16.28515625" style="1" customWidth="1"/>
    <col min="6" max="6" width="13.5703125" style="1" customWidth="1"/>
  </cols>
  <sheetData>
    <row r="1" spans="1:6" s="26" customFormat="1" ht="36" customHeight="1" x14ac:dyDescent="0.25">
      <c r="A1" s="111" t="s">
        <v>133</v>
      </c>
      <c r="B1" s="111"/>
      <c r="C1" s="111"/>
      <c r="D1" s="111"/>
      <c r="E1" s="111"/>
      <c r="F1" s="111"/>
    </row>
    <row r="2" spans="1:6" x14ac:dyDescent="0.25">
      <c r="A2" s="151" t="s">
        <v>75</v>
      </c>
      <c r="B2" s="151"/>
      <c r="C2" s="151"/>
    </row>
    <row r="4" spans="1:6" ht="15.75" x14ac:dyDescent="0.25">
      <c r="A4" s="112" t="s">
        <v>117</v>
      </c>
      <c r="B4" s="112"/>
      <c r="C4" s="112"/>
      <c r="D4" s="112"/>
      <c r="E4" s="112"/>
      <c r="F4" s="112"/>
    </row>
    <row r="5" spans="1:6" x14ac:dyDescent="0.25">
      <c r="A5" s="12"/>
      <c r="B5" s="12"/>
    </row>
    <row r="6" spans="1:6" ht="15.75" thickBot="1" x14ac:dyDescent="0.3">
      <c r="F6" s="34" t="s">
        <v>2</v>
      </c>
    </row>
    <row r="7" spans="1:6" ht="39" thickBot="1" x14ac:dyDescent="0.3">
      <c r="A7" s="152" t="s">
        <v>3</v>
      </c>
      <c r="B7" s="152"/>
      <c r="C7" s="152"/>
      <c r="D7" s="76" t="s">
        <v>0</v>
      </c>
      <c r="E7" s="72" t="s">
        <v>58</v>
      </c>
      <c r="F7" s="72" t="s">
        <v>59</v>
      </c>
    </row>
    <row r="8" spans="1:6" ht="15.75" thickBot="1" x14ac:dyDescent="0.3">
      <c r="A8" s="149" t="s">
        <v>76</v>
      </c>
      <c r="B8" s="150"/>
      <c r="C8" s="150"/>
      <c r="D8" s="150"/>
      <c r="E8" s="58">
        <f>SUM(E9:E11)</f>
        <v>500000</v>
      </c>
      <c r="F8" s="58">
        <f>SUM(F9:F11)</f>
        <v>1370375</v>
      </c>
    </row>
    <row r="9" spans="1:6" ht="15.75" thickBot="1" x14ac:dyDescent="0.3">
      <c r="A9" s="142"/>
      <c r="B9" s="142"/>
      <c r="C9" s="143"/>
      <c r="D9" s="51" t="s">
        <v>115</v>
      </c>
      <c r="E9" s="15">
        <v>500000</v>
      </c>
      <c r="F9" s="15">
        <f>E9+0</f>
        <v>500000</v>
      </c>
    </row>
    <row r="10" spans="1:6" ht="15.75" thickBot="1" x14ac:dyDescent="0.3">
      <c r="A10" s="142"/>
      <c r="B10" s="142"/>
      <c r="C10" s="143"/>
      <c r="D10" s="51" t="s">
        <v>114</v>
      </c>
      <c r="E10" s="15">
        <v>0</v>
      </c>
      <c r="F10" s="15">
        <f>E10+600000</f>
        <v>600000</v>
      </c>
    </row>
    <row r="11" spans="1:6" ht="15.75" thickBot="1" x14ac:dyDescent="0.3">
      <c r="A11" s="142"/>
      <c r="B11" s="142"/>
      <c r="C11" s="143"/>
      <c r="D11" s="51" t="s">
        <v>116</v>
      </c>
      <c r="E11" s="15">
        <v>0</v>
      </c>
      <c r="F11" s="15">
        <f>E11+270375</f>
        <v>270375</v>
      </c>
    </row>
    <row r="12" spans="1:6" ht="16.5" thickBot="1" x14ac:dyDescent="0.3">
      <c r="A12" s="147" t="s">
        <v>1</v>
      </c>
      <c r="B12" s="148"/>
      <c r="C12" s="148"/>
      <c r="D12" s="75"/>
      <c r="E12" s="16">
        <f>SUM(E8)</f>
        <v>500000</v>
      </c>
      <c r="F12" s="17">
        <f>+F8</f>
        <v>1370375</v>
      </c>
    </row>
    <row r="13" spans="1:6" x14ac:dyDescent="0.25">
      <c r="E13" s="36"/>
      <c r="F13" s="14"/>
    </row>
    <row r="14" spans="1:6" x14ac:dyDescent="0.25">
      <c r="E14" s="36"/>
      <c r="F14" s="14"/>
    </row>
    <row r="15" spans="1:6" s="2" customFormat="1" x14ac:dyDescent="0.25">
      <c r="A15" s="1" t="s">
        <v>131</v>
      </c>
      <c r="B15" s="3"/>
      <c r="C15" s="59"/>
      <c r="D15" s="59"/>
    </row>
    <row r="16" spans="1:6" s="2" customFormat="1" x14ac:dyDescent="0.25">
      <c r="A16" s="3"/>
      <c r="B16" s="3"/>
      <c r="C16" s="59"/>
      <c r="D16" s="59"/>
    </row>
    <row r="17" spans="1:6" s="2" customFormat="1" x14ac:dyDescent="0.25">
      <c r="A17" s="3"/>
      <c r="B17" s="3"/>
      <c r="C17" s="59"/>
      <c r="D17" s="59"/>
    </row>
    <row r="18" spans="1:6" s="2" customFormat="1" x14ac:dyDescent="0.25">
      <c r="A18" s="3"/>
      <c r="B18" s="3"/>
      <c r="C18" s="59"/>
      <c r="D18" s="59"/>
    </row>
    <row r="19" spans="1:6" s="2" customFormat="1" x14ac:dyDescent="0.25">
      <c r="A19" s="3"/>
      <c r="B19" s="3"/>
      <c r="C19" s="3"/>
      <c r="D19" s="3" t="s">
        <v>57</v>
      </c>
      <c r="E19" s="64" t="s">
        <v>11</v>
      </c>
    </row>
    <row r="20" spans="1:6" s="2" customFormat="1" x14ac:dyDescent="0.25">
      <c r="A20" s="3"/>
      <c r="B20" s="3"/>
      <c r="C20" s="3"/>
      <c r="D20" s="60" t="s">
        <v>56</v>
      </c>
      <c r="E20" s="64" t="s">
        <v>12</v>
      </c>
    </row>
    <row r="21" spans="1:6" x14ac:dyDescent="0.25">
      <c r="D21" s="74"/>
      <c r="E21" s="146"/>
      <c r="F21" s="146"/>
    </row>
  </sheetData>
  <mergeCells count="10">
    <mergeCell ref="A12:C12"/>
    <mergeCell ref="E21:F21"/>
    <mergeCell ref="A1:F1"/>
    <mergeCell ref="A2:C2"/>
    <mergeCell ref="A4:F4"/>
    <mergeCell ref="A7:C7"/>
    <mergeCell ref="A8:D8"/>
    <mergeCell ref="A9:C9"/>
    <mergeCell ref="A10:C10"/>
    <mergeCell ref="A11:C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19"/>
  <sheetViews>
    <sheetView zoomScaleNormal="100" workbookViewId="0">
      <selection activeCell="A13" sqref="A13"/>
    </sheetView>
  </sheetViews>
  <sheetFormatPr defaultRowHeight="15" x14ac:dyDescent="0.25"/>
  <cols>
    <col min="1" max="2" width="3.28515625" style="1" customWidth="1"/>
    <col min="3" max="3" width="17" style="1" customWidth="1"/>
    <col min="4" max="4" width="34.85546875" style="1" customWidth="1"/>
    <col min="5" max="5" width="16.28515625" style="1" customWidth="1"/>
    <col min="6" max="6" width="13.5703125" style="1" customWidth="1"/>
  </cols>
  <sheetData>
    <row r="1" spans="1:6" s="26" customFormat="1" ht="36" customHeight="1" x14ac:dyDescent="0.25">
      <c r="A1" s="111" t="s">
        <v>133</v>
      </c>
      <c r="B1" s="111"/>
      <c r="C1" s="111"/>
      <c r="D1" s="111"/>
      <c r="E1" s="111"/>
      <c r="F1" s="111"/>
    </row>
    <row r="2" spans="1:6" x14ac:dyDescent="0.25">
      <c r="A2" s="151" t="s">
        <v>118</v>
      </c>
      <c r="B2" s="151"/>
      <c r="C2" s="151"/>
    </row>
    <row r="4" spans="1:6" ht="15.75" x14ac:dyDescent="0.25">
      <c r="A4" s="112" t="s">
        <v>119</v>
      </c>
      <c r="B4" s="112"/>
      <c r="C4" s="112"/>
      <c r="D4" s="112"/>
      <c r="E4" s="112"/>
      <c r="F4" s="112"/>
    </row>
    <row r="5" spans="1:6" x14ac:dyDescent="0.25">
      <c r="A5" s="12"/>
      <c r="B5" s="12"/>
    </row>
    <row r="6" spans="1:6" ht="15.75" thickBot="1" x14ac:dyDescent="0.3">
      <c r="F6" s="34" t="s">
        <v>2</v>
      </c>
    </row>
    <row r="7" spans="1:6" ht="39" thickBot="1" x14ac:dyDescent="0.3">
      <c r="A7" s="152" t="s">
        <v>3</v>
      </c>
      <c r="B7" s="152"/>
      <c r="C7" s="152"/>
      <c r="D7" s="89" t="s">
        <v>0</v>
      </c>
      <c r="E7" s="86" t="s">
        <v>58</v>
      </c>
      <c r="F7" s="86" t="s">
        <v>59</v>
      </c>
    </row>
    <row r="8" spans="1:6" ht="15.75" thickBot="1" x14ac:dyDescent="0.3">
      <c r="A8" s="149" t="s">
        <v>120</v>
      </c>
      <c r="B8" s="150"/>
      <c r="C8" s="150"/>
      <c r="D8" s="150"/>
      <c r="E8" s="58">
        <f>SUM(E9:E9)</f>
        <v>0</v>
      </c>
      <c r="F8" s="58">
        <f>SUM(F9:F9)</f>
        <v>59000</v>
      </c>
    </row>
    <row r="9" spans="1:6" ht="15.75" thickBot="1" x14ac:dyDescent="0.3">
      <c r="A9" s="142"/>
      <c r="B9" s="142"/>
      <c r="C9" s="143"/>
      <c r="D9" s="51" t="s">
        <v>121</v>
      </c>
      <c r="E9" s="15">
        <v>0</v>
      </c>
      <c r="F9" s="15">
        <f>E9+59000</f>
        <v>59000</v>
      </c>
    </row>
    <row r="10" spans="1:6" ht="16.5" thickBot="1" x14ac:dyDescent="0.3">
      <c r="A10" s="147" t="s">
        <v>1</v>
      </c>
      <c r="B10" s="148"/>
      <c r="C10" s="148"/>
      <c r="D10" s="88"/>
      <c r="E10" s="16">
        <f>SUM(E8)</f>
        <v>0</v>
      </c>
      <c r="F10" s="17">
        <f>+F8</f>
        <v>59000</v>
      </c>
    </row>
    <row r="11" spans="1:6" x14ac:dyDescent="0.25">
      <c r="E11" s="36"/>
      <c r="F11" s="14"/>
    </row>
    <row r="12" spans="1:6" x14ac:dyDescent="0.25">
      <c r="E12" s="36"/>
      <c r="F12" s="14"/>
    </row>
    <row r="13" spans="1:6" s="2" customFormat="1" x14ac:dyDescent="0.25">
      <c r="A13" s="1" t="s">
        <v>131</v>
      </c>
      <c r="B13" s="3"/>
      <c r="C13" s="59"/>
      <c r="D13" s="59"/>
    </row>
    <row r="14" spans="1:6" s="2" customFormat="1" x14ac:dyDescent="0.25">
      <c r="A14" s="3"/>
      <c r="B14" s="3"/>
      <c r="C14" s="59"/>
      <c r="D14" s="59"/>
    </row>
    <row r="15" spans="1:6" s="2" customFormat="1" x14ac:dyDescent="0.25">
      <c r="A15" s="3"/>
      <c r="B15" s="3"/>
      <c r="C15" s="59"/>
      <c r="D15" s="59"/>
    </row>
    <row r="16" spans="1:6" s="2" customFormat="1" x14ac:dyDescent="0.25">
      <c r="A16" s="3"/>
      <c r="B16" s="3"/>
      <c r="C16" s="59"/>
      <c r="D16" s="59"/>
    </row>
    <row r="17" spans="1:6" s="2" customFormat="1" x14ac:dyDescent="0.25">
      <c r="A17" s="3"/>
      <c r="B17" s="3"/>
      <c r="C17" s="3"/>
      <c r="D17" s="3" t="s">
        <v>57</v>
      </c>
      <c r="E17" s="64" t="s">
        <v>11</v>
      </c>
    </row>
    <row r="18" spans="1:6" s="2" customFormat="1" x14ac:dyDescent="0.25">
      <c r="A18" s="3"/>
      <c r="B18" s="3"/>
      <c r="C18" s="3"/>
      <c r="D18" s="60" t="s">
        <v>56</v>
      </c>
      <c r="E18" s="64" t="s">
        <v>12</v>
      </c>
    </row>
    <row r="19" spans="1:6" x14ac:dyDescent="0.25">
      <c r="D19" s="87"/>
      <c r="E19" s="146"/>
      <c r="F19" s="146"/>
    </row>
  </sheetData>
  <mergeCells count="8">
    <mergeCell ref="A10:C10"/>
    <mergeCell ref="E19:F19"/>
    <mergeCell ref="A1:F1"/>
    <mergeCell ref="A2:C2"/>
    <mergeCell ref="A4:F4"/>
    <mergeCell ref="A7:C7"/>
    <mergeCell ref="A8:D8"/>
    <mergeCell ref="A9:C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3.3. BNVÓ Kiadások</vt:lpstr>
      <vt:lpstr>3.4. BNI Kiadások</vt:lpstr>
      <vt:lpstr>4. BÖ Társ. és szoc.pol. jut</vt:lpstr>
      <vt:lpstr>5.1. BÖ Felh kiad</vt:lpstr>
      <vt:lpstr>5.2. Hivatal Felh kiad</vt:lpstr>
      <vt:lpstr>5.3. BNVÓ Felh kiad</vt:lpstr>
      <vt:lpstr>5.4. BNI Felh kiad</vt:lpstr>
      <vt:lpstr>'3.3. BNVÓ Kiadások'!Nyomtatási_terület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Kisapostagi Polgármesteri Hivatal</dc:creator>
  <cp:lastModifiedBy>HZsolt</cp:lastModifiedBy>
  <cp:lastPrinted>2019-08-23T09:49:23Z</cp:lastPrinted>
  <dcterms:created xsi:type="dcterms:W3CDTF">2016-01-27T12:55:37Z</dcterms:created>
  <dcterms:modified xsi:type="dcterms:W3CDTF">2019-08-29T09:36:08Z</dcterms:modified>
</cp:coreProperties>
</file>